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22"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比较法-办公 (租金)" sheetId="7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2" hidden="1">'比较法-办公'!$A$1:$L$50</definedName>
    <definedName name="_xlnm._FilterDatabase" localSheetId="24"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24">'比较法-办公 (租金)'!$B$119:$M$119</definedName>
    <definedName name="办公层高">'比较法-办公'!$B$119:$M$119</definedName>
    <definedName name="办公朝向" localSheetId="24">'比较法-办公 (租金)'!$B$91:$M$91</definedName>
    <definedName name="办公朝向">'比较法-办公'!$B$91:$M$91</definedName>
    <definedName name="办公道路级别" localSheetId="24">'比较法-办公 (租金)'!$B$87:$M$87</definedName>
    <definedName name="办公道路级别">'比较法-办公'!$B$87:$M$87</definedName>
    <definedName name="办公公共部分装修" localSheetId="24">'比较法-办公 (租金)'!$B$108:$M$108</definedName>
    <definedName name="办公公共部分装修">'比较法-办公'!$B$108:$M$108</definedName>
    <definedName name="办公基础设施水平" localSheetId="24">'比较法-办公 (租金)'!$B$117:$M$117</definedName>
    <definedName name="办公基础设施水平">'比较法-办公'!$B$117:$M$117</definedName>
    <definedName name="办公集聚程度">定义!$M$1:$M$6</definedName>
    <definedName name="办公建筑结构" localSheetId="24">'比较法-办公 (租金)'!$B$106:$M$106</definedName>
    <definedName name="办公建筑结构">'比较法-办公'!$B$106:$M$106</definedName>
    <definedName name="办公建筑类型" localSheetId="24">'比较法-办公 (租金)'!$B$101:$M$101</definedName>
    <definedName name="办公建筑类型">'比较法-办公'!$B$101:$M$101</definedName>
    <definedName name="办公交易情况" localSheetId="24">'比较法-办公 (租金)'!$A$62:$M$62</definedName>
    <definedName name="办公交易情况">'比较法-办公'!$A$62:$M$62</definedName>
    <definedName name="办公楼层" localSheetId="24">'比较法-办公 (租金)'!$B$89:$M$89</definedName>
    <definedName name="办公楼层">'比较法-办公'!$B$89:$M$89</definedName>
    <definedName name="办公内部装修" localSheetId="24">'比较法-办公 (租金)'!$B$123:$M$123</definedName>
    <definedName name="办公内部装修">'比较法-办公'!$B$123:$M$123</definedName>
    <definedName name="办公物业管理" localSheetId="24">'比较法-办公 (租金)'!$B$115:$M$115</definedName>
    <definedName name="办公物业管理">'比较法-办公'!$B$115:$M$115</definedName>
    <definedName name="办公用途" localSheetId="2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4">'比较法-办公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L21" i="78" l="1"/>
  <c r="L22" i="78"/>
  <c r="L23" i="78"/>
  <c r="L24" i="78"/>
  <c r="L25" i="78"/>
  <c r="L26" i="78"/>
  <c r="L27" i="78"/>
  <c r="L28" i="78"/>
  <c r="L29" i="78"/>
  <c r="L30" i="78"/>
  <c r="L20" i="78"/>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M13" i="78"/>
  <c r="D124" i="77"/>
  <c r="E124" i="77"/>
  <c r="F43" i="77"/>
  <c r="AA43" i="77"/>
  <c r="R49" i="77"/>
  <c r="H43" i="77"/>
  <c r="AB43" i="77"/>
  <c r="T49" i="77"/>
  <c r="J43" i="77"/>
  <c r="AC43" i="77"/>
  <c r="V49" i="77"/>
  <c r="R50" i="77"/>
  <c r="C49" i="77"/>
  <c r="U6" i="1"/>
  <c r="D14" i="9"/>
  <c r="C34" i="77"/>
  <c r="C34" i="34"/>
  <c r="B131" i="77"/>
  <c r="B129" i="77"/>
  <c r="B127" i="77"/>
  <c r="D126" i="77"/>
  <c r="E126" i="77"/>
  <c r="F126" i="77"/>
  <c r="G126"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B95" i="77"/>
  <c r="B93" i="77"/>
  <c r="D92" i="77"/>
  <c r="E92" i="77"/>
  <c r="F92" i="77"/>
  <c r="G92" i="77"/>
  <c r="H92" i="77"/>
  <c r="I92" i="77"/>
  <c r="J92" i="77"/>
  <c r="K92" i="77"/>
  <c r="L92" i="77"/>
  <c r="M92" i="77"/>
  <c r="B91" i="77"/>
  <c r="D90" i="77"/>
  <c r="E90" i="77"/>
  <c r="F90" i="77"/>
  <c r="G90" i="77"/>
  <c r="H90" i="77"/>
  <c r="I90" i="77"/>
  <c r="J90" i="77"/>
  <c r="K90" i="77"/>
  <c r="L90" i="77"/>
  <c r="M90" i="77"/>
  <c r="B89" i="77"/>
  <c r="D88" i="77"/>
  <c r="E88" i="77"/>
  <c r="F88"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B75" i="77"/>
  <c r="B73" i="77"/>
  <c r="B71"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C64" i="77"/>
  <c r="C7" i="77"/>
  <c r="C59" i="77"/>
  <c r="D59" i="77"/>
  <c r="E59" i="77"/>
  <c r="F59" i="77"/>
  <c r="G59" i="77"/>
  <c r="H59" i="77"/>
  <c r="I59" i="77"/>
  <c r="J59" i="77"/>
  <c r="K59" i="77"/>
  <c r="L59" i="77"/>
  <c r="M59" i="77"/>
  <c r="N59" i="77"/>
  <c r="O59" i="77"/>
  <c r="I55" i="77"/>
  <c r="J55" i="77"/>
  <c r="G55" i="77"/>
  <c r="H55" i="77"/>
  <c r="E55" i="77"/>
  <c r="F55" i="77"/>
  <c r="V48" i="77"/>
  <c r="J7" i="77"/>
  <c r="AC7" i="77"/>
  <c r="J34" i="77"/>
  <c r="AC34" i="77"/>
  <c r="J27" i="77"/>
  <c r="AC27" i="77"/>
  <c r="I49" i="77"/>
  <c r="R48" i="77"/>
  <c r="F7" i="77"/>
  <c r="AA7" i="77"/>
  <c r="F34" i="77"/>
  <c r="AA34" i="77"/>
  <c r="F27" i="77"/>
  <c r="AA27" i="77"/>
  <c r="E49" i="77"/>
  <c r="I54" i="77"/>
  <c r="J54" i="77"/>
  <c r="T48" i="77"/>
  <c r="H7" i="77"/>
  <c r="AB7" i="77"/>
  <c r="H34" i="77"/>
  <c r="AB34" i="77"/>
  <c r="G49" i="77"/>
  <c r="G54" i="77"/>
  <c r="H54" i="77"/>
  <c r="E54" i="77"/>
  <c r="F54" i="77"/>
  <c r="I53" i="77"/>
  <c r="J53" i="77"/>
  <c r="G53" i="77"/>
  <c r="H53" i="77"/>
  <c r="E53" i="77"/>
  <c r="F53" i="77"/>
  <c r="P50" i="77"/>
  <c r="C50" i="77"/>
  <c r="P49" i="77"/>
  <c r="P48" i="77"/>
  <c r="J47" i="77"/>
  <c r="AC47" i="77"/>
  <c r="H47" i="77"/>
  <c r="AB47" i="77"/>
  <c r="F47" i="77"/>
  <c r="AA47" i="77"/>
  <c r="Q47" i="77"/>
  <c r="Z47" i="77"/>
  <c r="W47" i="77"/>
  <c r="U47" i="77"/>
  <c r="S47" i="77"/>
  <c r="J46" i="77"/>
  <c r="AC46" i="77"/>
  <c r="H46" i="77"/>
  <c r="AB46" i="77"/>
  <c r="F46" i="77"/>
  <c r="AA46" i="77"/>
  <c r="Q46" i="77"/>
  <c r="Z46" i="77"/>
  <c r="W46" i="77"/>
  <c r="U46" i="77"/>
  <c r="S46" i="77"/>
  <c r="J45" i="77"/>
  <c r="AC45" i="77"/>
  <c r="H45" i="77"/>
  <c r="AB45" i="77"/>
  <c r="F45" i="77"/>
  <c r="AA45" i="77"/>
  <c r="Q45" i="77"/>
  <c r="Z45" i="77"/>
  <c r="W45" i="77"/>
  <c r="U45" i="77"/>
  <c r="S45" i="77"/>
  <c r="J44" i="77"/>
  <c r="AC44" i="77"/>
  <c r="H44" i="77"/>
  <c r="AB44" i="77"/>
  <c r="F44" i="77"/>
  <c r="AA44" i="77"/>
  <c r="Q44" i="77"/>
  <c r="Z44" i="77"/>
  <c r="W44" i="77"/>
  <c r="U44" i="77"/>
  <c r="S44" i="77"/>
  <c r="Q43" i="77"/>
  <c r="Z43" i="77"/>
  <c r="W43" i="77"/>
  <c r="U43" i="77"/>
  <c r="S43" i="77"/>
  <c r="J42" i="77"/>
  <c r="AC42" i="77"/>
  <c r="H42" i="77"/>
  <c r="AB42" i="77"/>
  <c r="F42" i="77"/>
  <c r="AA42" i="77"/>
  <c r="Q42" i="77"/>
  <c r="Z42" i="77"/>
  <c r="W42" i="77"/>
  <c r="U42" i="77"/>
  <c r="S42" i="77"/>
  <c r="J41" i="77"/>
  <c r="AC41" i="77"/>
  <c r="H41" i="77"/>
  <c r="AB41" i="77"/>
  <c r="F41" i="77"/>
  <c r="AA41" i="77"/>
  <c r="Q41" i="77"/>
  <c r="Z41" i="77"/>
  <c r="W41" i="77"/>
  <c r="U41" i="77"/>
  <c r="S41" i="77"/>
  <c r="J40" i="77"/>
  <c r="AC40" i="77"/>
  <c r="H40" i="77"/>
  <c r="AB40" i="77"/>
  <c r="F40" i="77"/>
  <c r="AA40" i="77"/>
  <c r="Q40" i="77"/>
  <c r="Z40" i="77"/>
  <c r="W40" i="77"/>
  <c r="U40" i="77"/>
  <c r="S40" i="77"/>
  <c r="J39" i="77"/>
  <c r="AC39" i="77"/>
  <c r="H39" i="77"/>
  <c r="AB39" i="77"/>
  <c r="F39" i="77"/>
  <c r="AA39" i="77"/>
  <c r="Q39" i="77"/>
  <c r="Z39" i="77"/>
  <c r="W39" i="77"/>
  <c r="U39" i="77"/>
  <c r="S39" i="77"/>
  <c r="J38" i="77"/>
  <c r="AC38" i="77"/>
  <c r="H38" i="77"/>
  <c r="AB38" i="77"/>
  <c r="F38" i="77"/>
  <c r="AA38" i="77"/>
  <c r="Q38" i="77"/>
  <c r="Z38" i="77"/>
  <c r="W38" i="77"/>
  <c r="U38" i="77"/>
  <c r="S38" i="77"/>
  <c r="J37" i="77"/>
  <c r="AC37" i="77"/>
  <c r="H37" i="77"/>
  <c r="AB37" i="77"/>
  <c r="F37" i="77"/>
  <c r="AA37" i="77"/>
  <c r="Q37" i="77"/>
  <c r="Z37" i="77"/>
  <c r="W37" i="77"/>
  <c r="U37" i="77"/>
  <c r="S37" i="77"/>
  <c r="J36" i="77"/>
  <c r="AC36" i="77"/>
  <c r="H36" i="77"/>
  <c r="AB36" i="77"/>
  <c r="F36" i="77"/>
  <c r="AA36" i="77"/>
  <c r="Q36" i="77"/>
  <c r="Z36" i="77"/>
  <c r="W36" i="77"/>
  <c r="U36" i="77"/>
  <c r="S36" i="77"/>
  <c r="J35" i="77"/>
  <c r="AC35" i="77"/>
  <c r="H35" i="77"/>
  <c r="AB35" i="77"/>
  <c r="F35" i="77"/>
  <c r="AA35" i="77"/>
  <c r="Q35" i="77"/>
  <c r="Z35" i="77"/>
  <c r="W35" i="77"/>
  <c r="U35" i="77"/>
  <c r="S35" i="77"/>
  <c r="Q34" i="77"/>
  <c r="Z34" i="77"/>
  <c r="W34" i="77"/>
  <c r="U34" i="77"/>
  <c r="S34" i="77"/>
  <c r="J33" i="77"/>
  <c r="AC33" i="77"/>
  <c r="H33" i="77"/>
  <c r="AB33" i="77"/>
  <c r="F33" i="77"/>
  <c r="AA33" i="77"/>
  <c r="Q33" i="77"/>
  <c r="Z33" i="77"/>
  <c r="W33" i="77"/>
  <c r="U33" i="77"/>
  <c r="S33" i="77"/>
  <c r="J32" i="77"/>
  <c r="AC32" i="77"/>
  <c r="H32" i="77"/>
  <c r="AB32" i="77"/>
  <c r="F32" i="77"/>
  <c r="AA32" i="77"/>
  <c r="Q32" i="77"/>
  <c r="Z32" i="77"/>
  <c r="W32" i="77"/>
  <c r="U32" i="77"/>
  <c r="S32" i="77"/>
  <c r="J31" i="77"/>
  <c r="AC31" i="77"/>
  <c r="H31" i="77"/>
  <c r="AB31" i="77"/>
  <c r="F31" i="77"/>
  <c r="AA31" i="77"/>
  <c r="Q31" i="77"/>
  <c r="Z31" i="77"/>
  <c r="W31" i="77"/>
  <c r="U31" i="77"/>
  <c r="S31" i="77"/>
  <c r="J30" i="77"/>
  <c r="AC30" i="77"/>
  <c r="H30" i="77"/>
  <c r="AB30" i="77"/>
  <c r="F30" i="77"/>
  <c r="AA30" i="77"/>
  <c r="Q30" i="77"/>
  <c r="Z30" i="77"/>
  <c r="W30" i="77"/>
  <c r="U30" i="77"/>
  <c r="S30" i="77"/>
  <c r="J29" i="77"/>
  <c r="AC29" i="77"/>
  <c r="H29" i="77"/>
  <c r="AB29" i="77"/>
  <c r="F29" i="77"/>
  <c r="AA29" i="77"/>
  <c r="Q29" i="77"/>
  <c r="Z29" i="77"/>
  <c r="W29" i="77"/>
  <c r="U29" i="77"/>
  <c r="S29" i="77"/>
  <c r="J28" i="77"/>
  <c r="AC28" i="77"/>
  <c r="H28" i="77"/>
  <c r="AB28" i="77"/>
  <c r="F28" i="77"/>
  <c r="AA28" i="77"/>
  <c r="Q28" i="77"/>
  <c r="Z28" i="77"/>
  <c r="W28" i="77"/>
  <c r="U28" i="77"/>
  <c r="S28" i="77"/>
  <c r="H27" i="77"/>
  <c r="AB27" i="77"/>
  <c r="Q27" i="77"/>
  <c r="Z27" i="77"/>
  <c r="W27" i="77"/>
  <c r="U27" i="77"/>
  <c r="S27" i="77"/>
  <c r="J25" i="77"/>
  <c r="AC25" i="77"/>
  <c r="H25" i="77"/>
  <c r="AB25" i="77"/>
  <c r="F25" i="77"/>
  <c r="AA25" i="77"/>
  <c r="Q25" i="77"/>
  <c r="Z25" i="77"/>
  <c r="W25" i="77"/>
  <c r="U25" i="77"/>
  <c r="S25" i="77"/>
  <c r="J23" i="77"/>
  <c r="AC23" i="77"/>
  <c r="H23" i="77"/>
  <c r="AB23" i="77"/>
  <c r="F23" i="77"/>
  <c r="AA23" i="77"/>
  <c r="Q23" i="77"/>
  <c r="Z23" i="77"/>
  <c r="W23" i="77"/>
  <c r="U23" i="77"/>
  <c r="S23" i="77"/>
  <c r="C23" i="77"/>
  <c r="J21" i="77"/>
  <c r="AC21" i="77"/>
  <c r="H21" i="77"/>
  <c r="AB21" i="77"/>
  <c r="F21" i="77"/>
  <c r="AA21" i="77"/>
  <c r="Q21" i="77"/>
  <c r="Z21" i="77"/>
  <c r="W21" i="77"/>
  <c r="U21" i="77"/>
  <c r="S21" i="77"/>
  <c r="C21" i="77"/>
  <c r="J19" i="77"/>
  <c r="AC19" i="77"/>
  <c r="H19" i="77"/>
  <c r="AB19" i="77"/>
  <c r="F19" i="77"/>
  <c r="AA19" i="77"/>
  <c r="Q19" i="77"/>
  <c r="Z19" i="77"/>
  <c r="W19" i="77"/>
  <c r="U19" i="77"/>
  <c r="S19" i="77"/>
  <c r="C19" i="77"/>
  <c r="J17" i="77"/>
  <c r="AC17" i="77"/>
  <c r="H17" i="77"/>
  <c r="AB17" i="77"/>
  <c r="F17" i="77"/>
  <c r="AA17" i="77"/>
  <c r="Q17" i="77"/>
  <c r="Z17" i="77"/>
  <c r="W17" i="77"/>
  <c r="U17" i="77"/>
  <c r="S17" i="77"/>
  <c r="C17" i="77"/>
  <c r="J15" i="77"/>
  <c r="AC15" i="77"/>
  <c r="H15" i="77"/>
  <c r="AB15" i="77"/>
  <c r="F15" i="77"/>
  <c r="AA15" i="77"/>
  <c r="Q15" i="77"/>
  <c r="Z15" i="77"/>
  <c r="W15" i="77"/>
  <c r="U15" i="77"/>
  <c r="S15" i="77"/>
  <c r="C15" i="77"/>
  <c r="J14" i="77"/>
  <c r="AC14" i="77"/>
  <c r="H14" i="77"/>
  <c r="AB14" i="77"/>
  <c r="F14" i="77"/>
  <c r="AA14" i="77"/>
  <c r="Q14" i="77"/>
  <c r="Z14" i="77"/>
  <c r="W14" i="77"/>
  <c r="U14" i="77"/>
  <c r="S14" i="77"/>
  <c r="J13" i="77"/>
  <c r="AC13" i="77"/>
  <c r="H13" i="77"/>
  <c r="AB13" i="77"/>
  <c r="F13" i="77"/>
  <c r="AA13" i="77"/>
  <c r="Q13" i="77"/>
  <c r="Z13" i="77"/>
  <c r="W13" i="77"/>
  <c r="U13" i="77"/>
  <c r="S13" i="77"/>
  <c r="J12" i="77"/>
  <c r="AC12" i="77"/>
  <c r="H12" i="77"/>
  <c r="AB12" i="77"/>
  <c r="F12" i="77"/>
  <c r="AA12" i="77"/>
  <c r="Q12" i="77"/>
  <c r="Z12" i="77"/>
  <c r="W12" i="77"/>
  <c r="U12" i="77"/>
  <c r="S12" i="77"/>
  <c r="J11" i="77"/>
  <c r="AC11" i="77"/>
  <c r="H11" i="77"/>
  <c r="AB11" i="77"/>
  <c r="F11" i="77"/>
  <c r="AA11" i="77"/>
  <c r="Q11" i="77"/>
  <c r="Z11" i="77"/>
  <c r="W11" i="77"/>
  <c r="U11" i="77"/>
  <c r="S11" i="77"/>
  <c r="J10" i="77"/>
  <c r="AC10" i="77"/>
  <c r="H10" i="77"/>
  <c r="AB10" i="77"/>
  <c r="F10" i="77"/>
  <c r="AA10" i="77"/>
  <c r="Q10" i="77"/>
  <c r="Z10" i="77"/>
  <c r="W10" i="77"/>
  <c r="U10" i="77"/>
  <c r="S10" i="77"/>
  <c r="J9" i="77"/>
  <c r="AC9" i="77"/>
  <c r="H9" i="77"/>
  <c r="AB9" i="77"/>
  <c r="F9" i="77"/>
  <c r="AA9" i="77"/>
  <c r="Q9" i="77"/>
  <c r="Z9" i="77"/>
  <c r="W9" i="77"/>
  <c r="U9" i="77"/>
  <c r="S9" i="77"/>
  <c r="J8" i="77"/>
  <c r="AC8" i="77"/>
  <c r="H8" i="77"/>
  <c r="AB8" i="77"/>
  <c r="F8" i="77"/>
  <c r="AA8" i="77"/>
  <c r="W8" i="77"/>
  <c r="U8" i="77"/>
  <c r="S8" i="77"/>
  <c r="W7" i="77"/>
  <c r="U7" i="77"/>
  <c r="S7" i="77"/>
  <c r="D3" i="77"/>
  <c r="D2" i="77"/>
  <c r="B2" i="77"/>
  <c r="B3" i="77"/>
  <c r="F19" i="6"/>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0" i="67"/>
  <c r="J51" i="67"/>
  <c r="M47" i="15"/>
  <c r="J53" i="15"/>
  <c r="C18" i="43"/>
  <c r="AD5" i="3"/>
  <c r="AH5" i="3"/>
  <c r="AL5" i="3"/>
  <c r="AP5" i="3"/>
  <c r="I5" i="3"/>
  <c r="I4" i="6"/>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3" i="43"/>
  <c r="D115" i="43"/>
  <c r="D116" i="43"/>
  <c r="D117" i="43"/>
  <c r="D118" i="43"/>
  <c r="E6" i="76"/>
  <c r="E7" i="76"/>
  <c r="E8" i="76"/>
  <c r="E9" i="76"/>
  <c r="E10" i="76"/>
  <c r="E11" i="76"/>
  <c r="E12" i="76"/>
  <c r="E13" i="76"/>
  <c r="E2"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R26" i="31"/>
  <c r="C27" i="31"/>
  <c r="E27" i="31"/>
  <c r="R27" i="31"/>
  <c r="C28" i="31"/>
  <c r="E28" i="31"/>
  <c r="R28" i="31"/>
  <c r="C29" i="31"/>
  <c r="E29" i="31"/>
  <c r="R29" i="31"/>
  <c r="C30" i="31"/>
  <c r="E30" i="31"/>
  <c r="R30" i="31"/>
  <c r="C31" i="31"/>
  <c r="E31" i="31"/>
  <c r="R31" i="31"/>
  <c r="C32" i="31"/>
  <c r="E32" i="31"/>
  <c r="R32" i="31"/>
  <c r="C33" i="31"/>
  <c r="E33" i="31"/>
  <c r="R33" i="31"/>
  <c r="C34" i="31"/>
  <c r="E34"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R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M6" i="15"/>
  <c r="M23" i="15"/>
  <c r="M22" i="15"/>
  <c r="M26" i="67"/>
  <c r="F38" i="15"/>
  <c r="F42" i="15"/>
  <c r="F9" i="15"/>
  <c r="M28" i="15"/>
  <c r="F6" i="15"/>
  <c r="J15" i="15"/>
  <c r="F37" i="15"/>
  <c r="F36" i="15"/>
  <c r="L47" i="15"/>
  <c r="M9" i="15"/>
  <c r="J15" i="67"/>
  <c r="F40" i="15"/>
  <c r="M8" i="15"/>
  <c r="F8" i="15"/>
  <c r="C76" i="15"/>
  <c r="L47" i="67"/>
  <c r="M22" i="67"/>
  <c r="F26" i="15"/>
  <c r="F13" i="15"/>
  <c r="L48" i="15"/>
  <c r="F16" i="15"/>
  <c r="M28" i="67"/>
  <c r="F43" i="15"/>
  <c r="M26" i="15"/>
  <c r="M29" i="67"/>
  <c r="M29" i="15"/>
  <c r="M23" i="67"/>
  <c r="C10" i="15"/>
  <c r="C53" i="15"/>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L56"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F35" i="15"/>
  <c r="B6" i="76"/>
  <c r="I5" i="6"/>
  <c r="B2" i="76"/>
  <c r="B3" i="76"/>
  <c r="B3" i="43"/>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C14" i="15"/>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B2" i="67"/>
  <c r="AO8" i="1"/>
  <c r="AO6" i="1"/>
  <c r="E2" i="69"/>
  <c r="AO7" i="1"/>
  <c r="B8" i="70"/>
  <c r="B7" i="70"/>
  <c r="B6" i="70"/>
  <c r="C46" i="15"/>
  <c r="B2" i="69"/>
  <c r="B3" i="69"/>
  <c r="B2" i="68"/>
  <c r="D2" i="37"/>
  <c r="D2" i="36"/>
  <c r="D2" i="21"/>
  <c r="F20" i="31"/>
  <c r="D2" i="34"/>
  <c r="D2" i="33"/>
  <c r="B2" i="34"/>
  <c r="C19" i="9"/>
  <c r="E2" i="68"/>
  <c r="D2" i="35"/>
  <c r="B20" i="31"/>
  <c r="B2" i="36"/>
  <c r="B3" i="36"/>
  <c r="B2" i="35"/>
  <c r="B3" i="35"/>
  <c r="B2" i="37"/>
  <c r="B3" i="37"/>
  <c r="B3" i="34"/>
  <c r="B2" i="21"/>
  <c r="B3" i="21"/>
  <c r="B2" i="70"/>
  <c r="B3" i="70"/>
  <c r="C102" i="9"/>
  <c r="C21" i="9"/>
  <c r="B3" i="68"/>
  <c r="D19" i="9"/>
  <c r="G19" i="9"/>
  <c r="D102" i="9"/>
  <c r="D22" i="9"/>
  <c r="D21" i="9"/>
  <c r="C103" i="9"/>
  <c r="D103" i="9"/>
  <c r="C32" i="9"/>
  <c r="G21" i="9"/>
  <c r="D34" i="9"/>
  <c r="H109" i="9"/>
  <c r="I118"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G118" i="9"/>
  <c r="F118" i="9"/>
  <c r="G4" i="52"/>
  <c r="B52" i="72"/>
  <c r="E118" i="9"/>
  <c r="D118" i="9"/>
  <c r="D119" i="9"/>
  <c r="D5" i="52"/>
  <c r="B49" i="72"/>
  <c r="C104" i="9"/>
  <c r="D8" i="74"/>
  <c r="C8" i="74"/>
  <c r="M48" i="9"/>
  <c r="C105" i="9"/>
  <c r="H119" i="9"/>
  <c r="H5" i="52"/>
  <c r="F4" i="52"/>
  <c r="B51" i="72"/>
  <c r="F119" i="9"/>
  <c r="F5" i="52"/>
  <c r="B53" i="72"/>
  <c r="D14" i="74"/>
  <c r="H4" i="52"/>
  <c r="D4" i="52"/>
  <c r="B47" i="72"/>
  <c r="D45" i="9"/>
  <c r="D53" i="9"/>
  <c r="I4" i="52"/>
  <c r="D5" i="53"/>
  <c r="B20" i="72"/>
  <c r="H102" i="9"/>
  <c r="D7" i="53"/>
  <c r="B21" i="72"/>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<sst xmlns="http://schemas.openxmlformats.org/spreadsheetml/2006/main" count="7858" uniqueCount="3178">
  <si>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</si>
  <si>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</si>
  <si>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</si>
  <si>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</si>
  <si>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</si>
  <si>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</si>
  <si>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</si>
  <si>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</si>
  <si>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</si>
  <si>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</si>
  <si>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</si>
  <si>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</si>
  <si>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</si>
  <si>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</si>
  <si>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</si>
  <si>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</si>
  <si>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</si>
  <si>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</si>
  <si>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</si>
  <si>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</si>
  <si>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</si>
  <si>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</si>
  <si>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</si>
  <si>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</si>
  <si>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</si>
  <si>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</si>
  <si>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</si>
  <si>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</si>
  <si>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</si>
  <si>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</si>
  <si>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</si>
  <si>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</si>
  <si>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</si>
  <si>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</si>
  <si>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</si>
  <si>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</si>
  <si>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</si>
  <si>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</si>
  <si>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</si>
  <si>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</si>
  <si>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</si>
  <si>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</si>
  <si>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</si>
  <si>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</si>
  <si>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</si>
  <si>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</si>
  <si>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</si>
  <si>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</si>
  <si>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</si>
  <si>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</si>
  <si>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</si>
  <si>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</si>
  <si>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</si>
  <si>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</si>
  <si>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</si>
  <si>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</si>
  <si>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</si>
  <si>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</si>
  <si>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</si>
  <si>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</si>
  <si>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</si>
  <si>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</si>
  <si>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</si>
  <si>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</si>
  <si>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</si>
  <si>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</si>
  <si>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</si>
  <si>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</si>
  <si>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</si>
  <si>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</si>
  <si>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</si>
  <si>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</si>
  <si>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</si>
  <si>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</si>
  <si>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</si>
  <si>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</si>
  <si>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</si>
  <si>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</si>
  <si>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</si>
  <si>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</si>
  <si>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</si>
  <si>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</si>
  <si>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</si>
  <si>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</si>
  <si>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</si>
  <si>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</si>
  <si>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</si>
  <si>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</si>
  <si>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</si>
  <si>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</si>
  <si>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</si>
  <si>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</si>
  <si>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</si>
  <si>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</si>
  <si>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</si>
  <si>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</si>
  <si>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</si>
  <si>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</si>
  <si>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</si>
  <si>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</si>
  <si>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</si>
  <si>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</si>
  <si>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</si>
  <si>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</si>
  <si>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</si>
  <si>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</si>
  <si>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</si>
  <si>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</si>
  <si>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</si>
  <si>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</si>
  <si>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</si>
  <si>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</si>
  <si>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</si>
  <si>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</si>
  <si>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</si>
  <si>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</si>
  <si>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</si>
  <si>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</si>
  <si>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</si>
  <si>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</si>
  <si>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</si>
  <si>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</si>
  <si>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</si>
  <si>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</si>
  <si>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</si>
  <si>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</si>
  <si>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</si>
  <si>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</si>
  <si>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</si>
  <si>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</si>
  <si>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</si>
  <si>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</si>
  <si>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</si>
  <si>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</si>
  <si>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</si>
  <si>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</si>
  <si>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</si>
  <si>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</si>
  <si>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</si>
  <si>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</si>
  <si>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</si>
  <si>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</si>
  <si>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</si>
  <si>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</si>
  <si>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</si>
  <si>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</si>
  <si>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</si>
  <si>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</si>
  <si>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</si>
  <si>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</si>
  <si>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</si>
  <si>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</si>
  <si>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</si>
  <si>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</si>
  <si>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</si>
  <si>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</si>
  <si>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</si>
  <si>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</si>
  <si>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</si>
  <si>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</si>
  <si>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</si>
  <si>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</si>
  <si>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</si>
  <si>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</si>
  <si>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</si>
  <si>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</si>
  <si>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</si>
  <si>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</si>
  <si>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</si>
  <si>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</si>
  <si>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</si>
  <si>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</si>
  <si>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</si>
  <si>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</si>
  <si>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</si>
  <si>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</si>
  <si>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</si>
  <si>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</si>
  <si>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</si>
  <si>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</si>
  <si>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</si>
  <si>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</si>
  <si>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</si>
  <si>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</si>
  <si>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</si>
  <si>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</si>
  <si>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</si>
  <si>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</si>
  <si>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</si>
  <si>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</si>
  <si>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</si>
  <si>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</si>
  <si>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</si>
  <si>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</si>
  <si>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</si>
  <si>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</si>
  <si>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</si>
  <si>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</si>
  <si>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</si>
  <si>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</si>
  <si>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</si>
  <si>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</si>
  <si>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</si>
  <si>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</si>
  <si>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</si>
  <si>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</si>
  <si>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</si>
  <si>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</si>
  <si>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</si>
  <si>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</si>
  <si>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</si>
  <si>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</si>
  <si>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</si>
  <si>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</si>
  <si>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</si>
  <si>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</si>
  <si>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</si>
  <si>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</si>
  <si>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</si>
  <si>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</si>
  <si>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</si>
  <si>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</si>
  <si>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</si>
  <si>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</si>
  <si>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</si>
  <si>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</si>
  <si>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</si>
  <si>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</si>
  <si>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</si>
  <si>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</si>
  <si>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</si>
  <si>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</si>
  <si>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</si>
  <si>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</si>
  <si>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</si>
  <si>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</si>
  <si>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</si>
  <si>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</si>
  <si>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</si>
  <si>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</si>
  <si>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</si>
  <si>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</si>
  <si>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</si>
  <si>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</si>
  <si>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</si>
  <si>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</si>
  <si>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</si>
  <si>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</si>
  <si>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</si>
  <si>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</si>
  <si>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</si>
  <si>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</si>
  <si>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</si>
  <si>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</si>
  <si>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</si>
  <si>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</si>
  <si>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</si>
  <si>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</si>
  <si>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</si>
  <si>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</si>
  <si>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</si>
  <si>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</si>
  <si>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</si>
  <si>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</si>
  <si>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</si>
  <si>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</si>
  <si>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</si>
  <si>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</si>
  <si>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</si>
  <si>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</si>
  <si>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</si>
  <si>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</si>
  <si>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</si>
  <si>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</si>
  <si>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</si>
  <si>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</si>
  <si>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</si>
  <si>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</si>
  <si>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</si>
  <si>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</si>
  <si>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</si>
  <si>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</si>
  <si>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</si>
  <si>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</si>
  <si>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</si>
  <si>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</si>
  <si>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</si>
  <si>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</si>
  <si>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</si>
  <si>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</si>
  <si>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</si>
  <si>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</si>
  <si>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</si>
  <si>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</si>
  <si>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</si>
  <si>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</si>
  <si>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</si>
  <si>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</si>
  <si>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</si>
  <si>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</si>
  <si>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</si>
  <si>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</si>
  <si>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</si>
  <si>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</si>
  <si>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</si>
  <si>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</si>
  <si>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</si>
  <si>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</si>
  <si>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</si>
  <si>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</si>
  <si>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</si>
  <si>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</si>
  <si>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</si>
  <si>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</si>
  <si>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</si>
  <si>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</si>
  <si>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</si>
  <si>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</si>
  <si>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</si>
  <si>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</si>
  <si>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</si>
  <si>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</si>
  <si>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</si>
  <si>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</si>
  <si>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</si>
  <si>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</si>
  <si>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</si>
  <si>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</si>
  <si>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</si>
  <si>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</si>
  <si>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</si>
  <si>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</si>
  <si>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</si>
  <si>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</si>
  <si>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</si>
  <si>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</si>
  <si>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</si>
  <si>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</si>
  <si>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</si>
  <si>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</si>
  <si>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</si>
  <si>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</si>
  <si>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</si>
  <si>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</si>
  <si>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</si>
  <si>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</si>
  <si>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</si>
  <si>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</si>
  <si>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</si>
  <si>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</si>
  <si>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</si>
  <si>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</si>
  <si>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</si>
  <si>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</si>
  <si>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</si>
  <si>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</si>
  <si>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</si>
  <si>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</si>
  <si>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</si>
  <si>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</si>
  <si>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</si>
  <si>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</si>
  <si>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</si>
  <si>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</si>
  <si>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</si>
  <si>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</si>
  <si>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</si>
  <si>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</si>
  <si>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</si>
  <si>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</si>
  <si>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</si>
  <si>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</si>
  <si>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</si>
  <si>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</si>
  <si>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</si>
  <si>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</si>
  <si>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</si>
  <si>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</si>
  <si>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</si>
  <si>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</si>
  <si>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</si>
  <si>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</si>
  <si>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</si>
  <si>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</si>
  <si>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</si>
  <si>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</si>
  <si>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</si>
  <si>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</si>
  <si>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</si>
  <si>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</si>
  <si>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</si>
  <si>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</si>
  <si>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</si>
  <si>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</si>
  <si>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</si>
  <si>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</si>
  <si>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</si>
  <si>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</si>
  <si>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</si>
  <si>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</si>
  <si>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</si>
  <si>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</si>
  <si>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</si>
  <si>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</si>
  <si>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</si>
  <si>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</si>
  <si>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</si>
  <si>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</si>
  <si>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</si>
  <si>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</si>
  <si>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</si>
  <si>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</si>
  <si>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</si>
  <si>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</si>
  <si>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</si>
  <si>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</si>
  <si>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</si>
  <si>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</si>
  <si>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</si>
  <si>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</si>
  <si>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</si>
  <si>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</si>
  <si>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</si>
  <si>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</si>
  <si>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</si>
  <si>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</si>
  <si>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</si>
  <si>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</si>
  <si>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</si>
  <si>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</si>
  <si>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</si>
  <si>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</si>
  <si>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</si>
  <si>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</si>
  <si>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</si>
  <si>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</si>
  <si>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</si>
  <si>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</si>
  <si>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</si>
  <si>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</si>
  <si>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</si>
  <si>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</si>
  <si>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</si>
  <si>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</si>
  <si>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</si>
  <si>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</si>
  <si>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</si>
  <si>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</si>
  <si>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</si>
  <si>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</si>
  <si>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</si>
  <si>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</si>
  <si>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</si>
  <si>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</si>
  <si>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</si>
  <si>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</si>
  <si>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</si>
  <si>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</si>
  <si>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</si>
  <si>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</si>
  <si>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</si>
  <si>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</si>
  <si>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</si>
  <si>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</si>
  <si>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</si>
  <si>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</si>
  <si>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</si>
  <si>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</si>
  <si>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</si>
  <si>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</si>
  <si>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</si>
  <si>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</si>
  <si>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</si>
  <si>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</si>
  <si>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</si>
  <si>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</si>
  <si>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</si>
  <si>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</si>
  <si>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</si>
  <si>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</si>
  <si>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</si>
  <si>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</si>
  <si>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</si>
  <si>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</si>
  <si>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</si>
  <si>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</si>
  <si>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</si>
  <si>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</si>
  <si>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</si>
  <si>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</si>
  <si>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</si>
  <si>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</si>
  <si>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</si>
  <si>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</si>
  <si>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</si>
  <si>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</si>
  <si>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</si>
  <si>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</si>
  <si>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</si>
  <si>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</si>
  <si>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</si>
  <si>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</si>
  <si>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</si>
  <si>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</si>
  <si>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</si>
  <si>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</si>
  <si>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</si>
  <si>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</si>
  <si>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</si>
  <si>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</si>
  <si>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</si>
  <si>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</si>
  <si>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</si>
  <si>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</si>
  <si>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</si>
  <si>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</si>
  <si>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</si>
  <si>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</si>
  <si>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</si>
  <si>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</si>
  <si>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</si>
  <si>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</si>
  <si>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</si>
  <si>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</si>
  <si>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</si>
  <si>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</si>
  <si>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</si>
  <si>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</si>
  <si>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</si>
  <si>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</si>
  <si>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</si>
  <si>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</si>
  <si>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</si>
  <si>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</si>
  <si>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</si>
  <si>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</si>
  <si>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</si>
  <si>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</si>
  <si>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</si>
  <si>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</si>
  <si>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</si>
  <si>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</si>
  <si>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</si>
  <si>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</si>
  <si>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</si>
  <si>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</si>
  <si>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</si>
  <si>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</si>
  <si>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</si>
  <si>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</si>
  <si>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</si>
  <si>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</si>
  <si>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</si>
  <si>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</si>
  <si>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</si>
  <si>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</si>
  <si>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</si>
  <si>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</si>
  <si>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</si>
  <si>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</si>
  <si>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</si>
  <si>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</si>
  <si>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</si>
  <si>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</si>
  <si>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</si>
  <si>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</si>
  <si>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</si>
  <si>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</si>
  <si>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</si>
  <si>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</si>
  <si>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</si>
  <si>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</si>
  <si>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</si>
  <si>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</si>
  <si>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</si>
  <si>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</si>
  <si>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</si>
  <si>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</si>
  <si>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</si>
  <si>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</si>
  <si>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</si>
  <si>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</si>
  <si>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</si>
  <si>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</si>
  <si>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</si>
  <si>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</si>
  <si>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</si>
  <si>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</si>
  <si>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</si>
  <si>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</si>
  <si>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</si>
  <si>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</si>
  <si>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</si>
  <si>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</si>
  <si>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</si>
  <si>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</si>
  <si>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</si>
  <si>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</si>
  <si>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</si>
  <si>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</si>
  <si>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</si>
  <si>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</si>
  <si>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</si>
  <si>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</si>
  <si>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</si>
  <si>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</si>
  <si>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</si>
  <si>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</si>
  <si>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</si>
  <si>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</si>
  <si>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</si>
  <si>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</si>
  <si>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</si>
  <si>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</si>
  <si>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</si>
  <si>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</si>
  <si>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</si>
  <si>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</si>
  <si>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</si>
  <si>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</si>
  <si>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</si>
  <si>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</si>
  <si>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</si>
  <si>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</si>
  <si>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</si>
  <si>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</si>
  <si>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</si>
  <si>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</si>
  <si>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</si>
  <si>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</si>
  <si>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</si>
  <si>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</si>
  <si>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</si>
  <si>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</si>
  <si>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</si>
  <si>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</si>
  <si>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</si>
  <si>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</si>
  <si>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</si>
  <si>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</si>
  <si>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</si>
  <si>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</si>
  <si>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</si>
  <si>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</si>
  <si>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</si>
  <si>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</si>
  <si>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</si>
  <si>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</si>
  <si>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</si>
  <si>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</si>
  <si>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</si>
  <si>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</si>
  <si>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</si>
  <si>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</si>
  <si>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</si>
  <si>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</si>
  <si>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</si>
  <si>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</si>
  <si>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</si>
  <si>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</si>
  <si>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</si>
  <si>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</si>
  <si>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</si>
  <si>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</si>
  <si>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</si>
  <si>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</si>
  <si>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</si>
  <si>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</si>
  <si>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</si>
  <si>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</si>
  <si>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</si>
  <si>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</si>
  <si>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</si>
  <si>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</si>
  <si>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</si>
  <si>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</si>
  <si>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</si>
  <si>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</si>
  <si>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</si>
  <si>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</si>
  <si>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</si>
  <si>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</si>
  <si>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</si>
  <si>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</si>
  <si>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</si>
  <si>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</si>
  <si>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</si>
  <si>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</si>
  <si>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</si>
  <si>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</si>
  <si>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</si>
  <si>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</si>
  <si>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</si>
  <si>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</si>
  <si>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</si>
  <si>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</si>
  <si>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</si>
  <si>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</si>
  <si>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</si>
  <si>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</si>
  <si>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</si>
  <si>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</si>
  <si>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</si>
  <si>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</si>
  <si>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</si>
  <si>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</si>
  <si>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</si>
  <si>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</si>
  <si>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</si>
  <si>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</si>
  <si>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</si>
  <si>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</si>
  <si>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</si>
  <si>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</si>
  <si>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</si>
  <si>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</si>
  <si>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</si>
  <si>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</si>
  <si>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</si>
  <si>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</si>
  <si>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</si>
  <si>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</si>
  <si>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</si>
  <si>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</si>
  <si>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</si>
  <si>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</si>
  <si>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</si>
  <si>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</si>
  <si>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</si>
  <si>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</si>
  <si>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</si>
  <si>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</si>
  <si>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</si>
  <si>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</si>
  <si>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</si>
  <si>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</si>
  <si>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</si>
  <si>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</si>
  <si>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</si>
  <si>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</si>
  <si>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</si>
  <si>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</si>
  <si>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</si>
  <si>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</si>
  <si>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</si>
  <si>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</si>
  <si>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</si>
  <si>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</si>
  <si>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</si>
  <si>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</si>
  <si>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</si>
  <si>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</si>
  <si>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</si>
  <si>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</si>
  <si>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</si>
  <si>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</si>
  <si>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</si>
  <si>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</si>
  <si>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</si>
  <si>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</si>
  <si>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</si>
  <si>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</si>
  <si>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</si>
  <si>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</si>
  <si>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</si>
  <si>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</si>
  <si>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</si>
  <si>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</si>
  <si>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</si>
  <si>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</si>
  <si>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</si>
  <si>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</si>
  <si>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</si>
  <si>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</si>
  <si>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</si>
  <si>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</si>
  <si>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</si>
  <si>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</si>
  <si>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</si>
  <si>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</si>
  <si>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</si>
  <si>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</si>
  <si>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</si>
  <si>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</si>
  <si>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</si>
  <si>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</si>
  <si>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</si>
  <si>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</si>
  <si>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</si>
  <si>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</si>
  <si>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</si>
  <si>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</si>
  <si>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</si>
  <si>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</si>
  <si>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</si>
  <si>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</si>
  <si>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</si>
  <si>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</si>
  <si>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</si>
  <si>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</si>
  <si>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</si>
  <si>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</si>
  <si>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</si>
  <si>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</si>
  <si>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</si>
  <si>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</si>
  <si>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</si>
  <si>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</si>
  <si>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</si>
  <si>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</si>
  <si>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</si>
  <si>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</si>
  <si>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</si>
  <si>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</si>
  <si>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</si>
  <si>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</si>
  <si>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</si>
  <si>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</si>
  <si>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</si>
  <si>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</si>
  <si>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</si>
  <si>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</si>
  <si>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</si>
  <si>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</si>
  <si>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</si>
  <si>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</si>
  <si>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</si>
  <si>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</si>
  <si>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</si>
  <si>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</si>
  <si>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</si>
  <si>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</si>
  <si>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</si>
  <si>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</si>
  <si>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</si>
  <si>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</si>
  <si>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</si>
  <si>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</si>
  <si>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</si>
  <si>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</si>
  <si>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</si>
  <si>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</si>
  <si>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</si>
  <si>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</si>
  <si>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</si>
  <si>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</si>
  <si>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</si>
  <si>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</si>
  <si>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</si>
  <si>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</si>
  <si>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</si>
  <si>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</si>
  <si>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</si>
  <si>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</si>
  <si>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</si>
  <si>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</si>
  <si>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</si>
  <si>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</si>
  <si>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</si>
  <si>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</si>
  <si>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</si>
  <si>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</si>
  <si>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</si>
  <si>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</si>
  <si>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</si>
  <si>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</si>
  <si>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</si>
  <si>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</si>
  <si>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</si>
  <si>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</si>
  <si>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</si>
  <si>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</si>
  <si>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</si>
  <si>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</si>
  <si>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</si>
  <si>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</si>
  <si>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</si>
  <si>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</si>
  <si>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</si>
  <si>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</si>
  <si>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</si>
  <si>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</si>
  <si>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</si>
  <si>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</si>
  <si>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</si>
  <si>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</si>
  <si>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</si>
  <si>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</si>
  <si>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</si>
  <si>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</si>
  <si>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</si>
  <si>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</si>
  <si>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</si>
  <si>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</si>
  <si>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</si>
  <si>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</si>
  <si>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</si>
  <si>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</si>
  <si>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</si>
  <si>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</si>
  <si>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</si>
  <si>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</si>
  <si>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</si>
  <si>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</si>
  <si>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</si>
  <si>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</si>
  <si>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</si>
  <si>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</si>
  <si>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</si>
  <si>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</si>
  <si>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</si>
  <si>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</si>
  <si>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</si>
  <si>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</si>
  <si>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</si>
  <si>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</si>
  <si>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</si>
  <si>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</si>
  <si>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</si>
  <si>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</si>
  <si>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</si>
  <si>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</si>
  <si>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</si>
  <si>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</si>
  <si>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</si>
  <si>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</si>
  <si>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</si>
  <si>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</si>
  <si>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</si>
  <si>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</si>
  <si>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</si>
  <si>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</si>
  <si>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</si>
  <si>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</si>
  <si>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</si>
  <si>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</si>
  <si>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</si>
  <si>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</si>
  <si>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</si>
  <si>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</si>
  <si>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</si>
  <si>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</si>
  <si>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</si>
  <si>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</si>
  <si>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</si>
  <si>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</si>
  <si>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</si>
  <si>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</si>
  <si>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</si>
  <si>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</si>
  <si>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</si>
  <si>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</si>
  <si>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</si>
  <si>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</si>
  <si>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</si>
  <si>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</si>
  <si>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</si>
  <si>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</si>
  <si>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</si>
  <si>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</si>
  <si>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</si>
  <si>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</si>
  <si>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</si>
  <si>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</si>
  <si>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</si>
  <si>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</si>
  <si>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</si>
  <si>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</si>
  <si>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</si>
  <si>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</si>
  <si>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</si>
  <si>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</si>
  <si>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</si>
  <si>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</si>
  <si>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</si>
  <si>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</si>
  <si>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</si>
  <si>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</si>
  <si>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</si>
  <si>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</si>
  <si>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</si>
  <si>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</si>
  <si>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</si>
  <si>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</si>
  <si>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</si>
  <si>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</si>
  <si>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</si>
  <si>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</si>
  <si>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</si>
  <si>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</si>
  <si>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</si>
  <si>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</si>
  <si>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</si>
  <si>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</si>
  <si>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</si>
  <si>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</si>
  <si>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</si>
  <si>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</si>
  <si>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</si>
  <si>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</si>
  <si>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</si>
  <si>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</si>
  <si>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</si>
  <si>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</si>
  <si>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</si>
  <si>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</si>
  <si>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</si>
  <si>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</si>
  <si>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</si>
  <si>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</si>
  <si>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</si>
  <si>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</si>
  <si>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</si>
  <si>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</si>
  <si>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</si>
  <si>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</si>
  <si>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</si>
  <si>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</si>
  <si>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</si>
  <si>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</si>
  <si>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</si>
  <si>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</si>
  <si>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</si>
  <si>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</si>
  <si>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</si>
  <si>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</si>
  <si>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</si>
  <si>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</si>
  <si>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</si>
  <si>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</si>
  <si>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</si>
  <si>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</si>
  <si>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</si>
  <si>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</si>
  <si>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</si>
  <si>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</si>
  <si>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</si>
  <si>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</si>
  <si>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</si>
  <si>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</si>
  <si>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</si>
  <si>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</si>
  <si>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</si>
  <si>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</si>
  <si>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</si>
  <si>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</si>
  <si>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</si>
  <si>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</si>
  <si>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</si>
  <si>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</si>
  <si>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</si>
  <si>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</si>
  <si>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</si>
  <si>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</si>
  <si>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</si>
  <si>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</si>
  <si>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</si>
  <si>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</si>
  <si>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</si>
  <si>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</si>
  <si>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</si>
  <si>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</si>
  <si>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</si>
  <si>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</si>
  <si>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</si>
  <si>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</si>
  <si>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</si>
  <si>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</si>
  <si>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</si>
  <si>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</si>
  <si>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</si>
  <si>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</si>
  <si>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</si>
  <si>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</si>
  <si>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</si>
  <si>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</si>
  <si>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</si>
  <si>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</si>
  <si>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</si>
  <si>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</si>
  <si>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</si>
  <si>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</si>
  <si>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</si>
  <si>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</si>
  <si>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</si>
  <si>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</si>
  <si>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</si>
  <si>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</si>
  <si>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</si>
  <si>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</si>
  <si>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</si>
  <si>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</si>
  <si>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</si>
  <si>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</si>
  <si>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</si>
  <si>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</si>
  <si>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</si>
  <si>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</si>
  <si>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</si>
  <si>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</si>
  <si>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</si>
  <si>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</si>
  <si>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</si>
  <si>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</si>
  <si>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</si>
  <si>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</si>
  <si>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</si>
  <si>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</si>
  <si>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</si>
  <si>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</si>
  <si>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</si>
  <si>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</si>
  <si>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</si>
  <si>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</si>
  <si>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</si>
  <si>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</si>
  <si>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</si>
  <si>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</si>
  <si>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</si>
  <si>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</si>
  <si>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</si>
  <si>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</si>
  <si>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</si>
  <si>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</si>
  <si>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</si>
  <si>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</si>
  <si>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</si>
  <si>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</si>
  <si>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</si>
  <si>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</si>
  <si>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</si>
  <si>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</si>
  <si>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</si>
  <si>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</si>
  <si>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</si>
  <si>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</si>
  <si>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</si>
  <si>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</si>
  <si>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</si>
  <si>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</si>
  <si>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</si>
  <si>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</si>
  <si>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</si>
  <si>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</si>
  <si>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</si>
  <si>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</si>
  <si>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</si>
  <si>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</si>
  <si>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</si>
  <si>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</si>
  <si>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</si>
  <si>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</si>
  <si>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</si>
  <si>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</si>
  <si>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</si>
  <si>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</si>
  <si>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</si>
  <si>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</si>
  <si>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</si>
  <si>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</si>
  <si>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</si>
  <si>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</si>
  <si>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</si>
  <si>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</si>
  <si>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</si>
  <si>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</si>
  <si>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</si>
  <si>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</si>
  <si>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</si>
  <si>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</si>
  <si>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</si>
  <si>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</si>
  <si>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</si>
  <si>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</si>
  <si>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</si>
  <si>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</si>
  <si>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</si>
  <si>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</si>
  <si>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</si>
  <si>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</si>
  <si>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</si>
  <si>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</si>
  <si>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</si>
  <si>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</si>
  <si>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</si>
  <si>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</si>
  <si>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</si>
  <si>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</si>
  <si>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</si>
  <si>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</si>
  <si>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</si>
  <si>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</si>
  <si>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</si>
  <si>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</si>
  <si>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</si>
  <si>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</si>
  <si>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</si>
  <si>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</si>
  <si>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</si>
  <si>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</si>
  <si>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</si>
  <si>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</si>
  <si>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</si>
  <si>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</si>
  <si>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</si>
  <si>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</si>
  <si>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</si>
  <si>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</si>
  <si>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</si>
  <si>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</si>
  <si>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</si>
  <si>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</si>
  <si>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</si>
  <si>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</si>
  <si>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</si>
  <si>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</si>
  <si>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</si>
  <si>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</si>
  <si>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</si>
  <si>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</si>
  <si>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</si>
  <si>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</si>
  <si>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</si>
  <si>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</si>
  <si>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</si>
  <si>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</si>
  <si>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</si>
  <si>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</si>
  <si>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</si>
  <si>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</si>
  <si>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</si>
  <si>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</si>
  <si>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</si>
  <si>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</si>
  <si>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</si>
  <si>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</si>
  <si>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</si>
  <si>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</si>
  <si>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</si>
  <si>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</si>
  <si>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</si>
  <si>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</si>
  <si>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</si>
  <si>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</si>
  <si>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</si>
  <si>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</si>
  <si>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</si>
  <si>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</si>
  <si>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</si>
  <si>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</si>
  <si>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</si>
  <si>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</si>
  <si>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</si>
  <si>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</si>
  <si>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</si>
  <si>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</si>
  <si>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</si>
  <si>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</si>
  <si>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</si>
  <si>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</si>
  <si>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</si>
  <si>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</si>
  <si>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</si>
  <si>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</si>
  <si>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</si>
  <si>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</si>
  <si>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</si>
  <si>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</si>
  <si>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</si>
  <si>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</si>
  <si>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</si>
  <si>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</si>
  <si>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</si>
  <si>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</si>
  <si>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</si>
  <si>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</si>
  <si>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</si>
  <si>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</si>
  <si>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</si>
  <si>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</si>
  <si>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</si>
  <si>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</si>
  <si>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</si>
  <si>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</si>
  <si>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</si>
  <si>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</si>
  <si>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</si>
  <si>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</si>
  <si>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</si>
  <si>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</si>
  <si>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</si>
  <si>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</si>
  <si>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</si>
  <si>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</si>
  <si>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</si>
  <si>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</si>
  <si>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</si>
  <si>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</si>
  <si>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</si>
  <si>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</si>
  <si>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</si>
  <si>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</si>
  <si>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</si>
  <si>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</si>
  <si>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</si>
  <si>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</si>
  <si>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</si>
  <si>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</si>
  <si>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</si>
  <si>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</si>
  <si>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</si>
  <si>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</si>
  <si>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</si>
  <si>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</si>
  <si>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</si>
  <si>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</si>
  <si>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</si>
  <si>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</si>
  <si>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</si>
  <si>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</si>
  <si>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</si>
  <si>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</si>
  <si>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</si>
  <si>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</si>
  <si>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</si>
  <si>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</si>
  <si>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</si>
  <si>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</si>
  <si>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</si>
  <si>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</si>
  <si>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</si>
  <si>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</si>
  <si>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</si>
  <si>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</si>
  <si>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</si>
  <si>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</si>
  <si>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</si>
  <si>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</si>
  <si>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</si>
  <si>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</si>
  <si>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</si>
  <si>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</si>
  <si>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</si>
  <si>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</si>
  <si>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</si>
  <si>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</si>
  <si>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</si>
  <si>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</si>
  <si>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</si>
  <si>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</si>
  <si>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</si>
  <si>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</si>
  <si>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</si>
  <si>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</si>
  <si>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</si>
  <si>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</si>
  <si>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</si>
  <si>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</si>
  <si>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</si>
  <si>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</si>
  <si>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</si>
  <si>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</si>
  <si>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</si>
  <si>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</si>
  <si>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</si>
  <si>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</si>
  <si>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</si>
  <si>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</si>
  <si>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</si>
  <si>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</si>
  <si>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</si>
  <si>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</si>
  <si>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</si>
  <si>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</si>
  <si>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</si>
  <si>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</si>
  <si>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</si>
  <si>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</si>
  <si>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</si>
  <si>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</si>
  <si>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</si>
  <si>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</si>
  <si>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</si>
  <si>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</si>
  <si>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</si>
  <si>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</si>
  <si>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</si>
  <si>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</si>
  <si>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</si>
  <si>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</si>
  <si>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</si>
  <si>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</si>
  <si>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</si>
  <si>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</si>
  <si>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</si>
  <si>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</si>
  <si>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</si>
  <si>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</si>
  <si>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</si>
  <si>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</si>
  <si>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</si>
  <si>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</si>
  <si>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</si>
  <si>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</si>
  <si>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</si>
  <si>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</si>
  <si>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</si>
  <si>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</si>
  <si>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</si>
  <si>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</si>
  <si>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</si>
  <si>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</si>
  <si>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</si>
  <si>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</si>
  <si>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</si>
  <si>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</si>
  <si>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</si>
  <si>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</si>
  <si>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</si>
  <si>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</si>
  <si>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</si>
  <si>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</si>
  <si>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</si>
  <si>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</si>
  <si>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</si>
  <si>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</si>
  <si>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</si>
  <si>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</si>
  <si>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</si>
  <si>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</si>
  <si>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</si>
  <si>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</si>
  <si>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</si>
  <si>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</si>
  <si>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</si>
  <si>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</si>
  <si>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</si>
  <si>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</si>
  <si>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</si>
  <si>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</si>
  <si>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</si>
  <si>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</si>
  <si>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</si>
  <si>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</si>
  <si>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</si>
  <si>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</si>
  <si>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</si>
  <si>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</si>
  <si>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</si>
  <si>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</si>
  <si>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</si>
  <si>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</si>
  <si>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</si>
  <si>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</si>
  <si>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</si>
  <si>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</si>
  <si>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</si>
  <si>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</si>
  <si>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</si>
  <si>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</si>
  <si>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</si>
  <si>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</si>
  <si>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</si>
  <si>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</si>
  <si>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</si>
  <si>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</si>
  <si>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</si>
  <si>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</si>
  <si>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</si>
  <si>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</si>
  <si>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</si>
  <si>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</si>
  <si>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</si>
  <si>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</si>
  <si>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</si>
  <si>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</si>
  <si>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</si>
  <si>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</si>
  <si>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</si>
  <si>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</si>
  <si>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</si>
  <si>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</si>
  <si>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</si>
  <si>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</si>
  <si>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</si>
  <si>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</si>
  <si>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</si>
  <si>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</si>
  <si>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</si>
  <si>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</si>
  <si>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</si>
  <si>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</si>
  <si>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</si>
  <si>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</si>
  <si>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</si>
  <si>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</si>
  <si>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</si>
  <si>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</si>
  <si>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</si>
  <si>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</si>
  <si>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</si>
  <si>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</si>
  <si>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</si>
  <si>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</si>
  <si>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</si>
  <si>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</si>
  <si>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</si>
  <si>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</si>
  <si>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</si>
  <si>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</si>
  <si>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</si>
  <si>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</si>
  <si>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</si>
  <si>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</si>
  <si>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</si>
  <si>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</si>
  <si>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</si>
  <si>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</si>
  <si>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</si>
  <si>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</si>
  <si>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</si>
  <si>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</si>
  <si>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</si>
  <si>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</si>
  <si>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</si>
  <si>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</si>
  <si>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</si>
  <si>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</si>
  <si>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</si>
  <si>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</si>
  <si>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</si>
  <si>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</si>
  <si>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</si>
  <si>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</si>
  <si>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</si>
  <si>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</si>
  <si>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</si>
  <si>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</si>
  <si>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</si>
  <si>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</si>
  <si>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</si>
  <si>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</si>
  <si>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</si>
  <si>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</si>
  <si>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</si>
  <si>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</si>
  <si>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</si>
  <si>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</si>
  <si>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</si>
  <si>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</si>
  <si>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</si>
  <si>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</si>
  <si>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</si>
  <si>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</si>
  <si>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</si>
  <si>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</si>
  <si>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</si>
  <si>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</si>
  <si>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</si>
  <si>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</si>
  <si>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</si>
  <si>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</si>
  <si>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</si>
  <si>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</si>
  <si>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</si>
  <si>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</si>
  <si>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</si>
  <si>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</si>
  <si>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</si>
  <si>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</si>
  <si>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</si>
  <si>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</si>
  <si>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</si>
  <si>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</si>
  <si>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</si>
  <si>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</si>
  <si>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</si>
  <si>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</si>
  <si>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</si>
  <si>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</si>
  <si>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</si>
  <si>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</si>
  <si>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</si>
  <si>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</si>
  <si>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</si>
  <si>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</si>
  <si>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</si>
  <si>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</si>
  <si>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</si>
  <si>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</si>
  <si>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</si>
  <si>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</si>
  <si>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</si>
  <si>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</si>
  <si>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</si>
  <si>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</si>
  <si>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</si>
  <si>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</si>
  <si>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</si>
  <si>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</si>
  <si>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</si>
  <si>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</si>
  <si>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</si>
  <si>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</si>
  <si>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</si>
  <si>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</si>
  <si>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</si>
  <si>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</si>
  <si>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</si>
  <si>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</si>
  <si>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</si>
  <si>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</si>
  <si>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</si>
  <si>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</si>
  <si>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</si>
  <si>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</si>
  <si>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</si>
  <si>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</si>
  <si>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</si>
  <si>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</si>
  <si>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</si>
  <si>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</si>
  <si>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</si>
  <si>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</si>
  <si>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</si>
  <si>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</si>
  <si>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</si>
  <si>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</si>
  <si>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</si>
  <si>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</si>
  <si>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</si>
  <si>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</si>
  <si>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</si>
  <si>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</si>
  <si>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</si>
  <si>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</si>
  <si>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</si>
  <si>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</si>
  <si>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</si>
  <si>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</si>
  <si>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</si>
  <si>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</si>
  <si>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</si>
  <si>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</si>
  <si>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</si>
  <si>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</si>
  <si>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</si>
  <si>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</si>
  <si>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</si>
  <si>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</si>
  <si>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</si>
  <si>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</si>
  <si>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</si>
  <si>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</si>
  <si>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</si>
  <si>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</si>
  <si>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</si>
  <si>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</si>
  <si>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</si>
  <si>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</si>
  <si>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</si>
  <si>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</si>
  <si>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</si>
  <si>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</si>
  <si>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</si>
  <si>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</si>
  <si>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</si>
  <si>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</si>
  <si>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</si>
  <si>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</si>
  <si>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</si>
  <si>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</si>
  <si>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</si>
  <si>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</si>
  <si>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</si>
  <si>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</si>
  <si>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</si>
  <si>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</si>
  <si>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</si>
  <si>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</si>
  <si>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</si>
  <si>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</si>
  <si>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</si>
  <si>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</si>
  <si>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</si>
  <si>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</si>
  <si>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</si>
  <si>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</si>
  <si>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</si>
  <si>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</si>
  <si>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</si>
  <si>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</si>
  <si>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</si>
  <si>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</si>
  <si>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</si>
  <si>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</si>
  <si>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</si>
  <si>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</si>
  <si>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</si>
  <si>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</si>
  <si>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</si>
  <si>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</si>
  <si>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</si>
  <si>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</si>
  <si>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</si>
  <si>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</si>
  <si>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</si>
  <si>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</si>
  <si>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</si>
  <si>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</si>
  <si>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</si>
  <si>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</si>
  <si>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</si>
  <si>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</si>
  <si>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</si>
  <si>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</si>
  <si>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</si>
  <si>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</si>
  <si>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</si>
  <si>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</si>
  <si>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</si>
  <si>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</si>
  <si>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</si>
  <si>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</si>
  <si>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</si>
  <si>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</si>
  <si>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</si>
  <si>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</si>
  <si>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</si>
  <si>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</si>
  <si>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</si>
  <si>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</si>
  <si>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</si>
  <si>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</si>
  <si>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</si>
  <si>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</si>
  <si>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</si>
  <si>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</si>
  <si>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</si>
  <si>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</si>
  <si>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</si>
  <si>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</si>
  <si>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</si>
  <si>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</si>
  <si>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</si>
  <si>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</si>
  <si>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</si>
  <si>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</si>
  <si>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</si>
  <si>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</si>
  <si>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</si>
  <si>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</si>
  <si>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</si>
  <si>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</si>
  <si>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</si>
  <si>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</si>
  <si>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</si>
  <si>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</si>
  <si>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</si>
  <si>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</si>
  <si>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</si>
  <si>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</si>
  <si>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</si>
  <si>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</si>
  <si>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</si>
  <si>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</si>
  <si>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</si>
  <si>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</si>
  <si>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</si>
  <si>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</si>
  <si>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</si>
  <si>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</si>
  <si>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</si>
  <si>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</si>
  <si>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</si>
  <si>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</si>
  <si>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</si>
  <si>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</si>
  <si>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</si>
  <si>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</si>
  <si>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</si>
  <si>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</si>
  <si>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</si>
  <si>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</si>
  <si>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</si>
  <si>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</si>
  <si>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</si>
  <si>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</si>
  <si>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</si>
  <si>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</si>
  <si>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</si>
  <si>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</si>
  <si>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</si>
  <si>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</si>
  <si>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</si>
  <si>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</si>
  <si>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</si>
  <si>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</si>
  <si>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</si>
  <si>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</si>
  <si>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</si>
  <si>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</si>
  <si>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</si>
  <si>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</si>
  <si>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</si>
  <si>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</si>
  <si>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</si>
  <si>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</si>
  <si>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</si>
  <si>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</si>
  <si>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</si>
  <si>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</si>
  <si>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</si>
  <si>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</si>
  <si>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</si>
  <si>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</si>
  <si>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</si>
  <si>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</si>
  <si>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</si>
  <si>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</si>
  <si>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</si>
  <si>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</si>
  <si>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</si>
  <si>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</si>
  <si>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</si>
  <si>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</si>
  <si>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</si>
  <si>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</si>
  <si>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</si>
  <si>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</si>
  <si>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</si>
  <si>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</si>
  <si>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</si>
  <si>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</si>
  <si>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</si>
  <si>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</si>
  <si>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</si>
  <si>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</si>
  <si>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</si>
  <si>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</si>
  <si>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</si>
  <si>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</si>
  <si>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</si>
  <si>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</si>
  <si>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</si>
  <si>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</si>
  <si>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</si>
  <si>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</si>
  <si>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</si>
  <si>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</si>
  <si>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</si>
  <si>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</si>
  <si>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</si>
  <si>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</si>
  <si>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</si>
  <si>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</si>
  <si>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</si>
  <si>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</si>
  <si>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</si>
  <si>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</si>
  <si>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</si>
  <si>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</si>
  <si>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</si>
  <si>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</si>
  <si>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</si>
  <si>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</si>
  <si>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</si>
  <si>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</si>
  <si>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</si>
  <si>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</si>
  <si>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</si>
  <si>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</si>
  <si>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</si>
  <si>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</si>
  <si>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</si>
  <si>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</si>
  <si>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</si>
  <si>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</si>
  <si>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</si>
  <si>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</si>
  <si>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</si>
  <si>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</si>
  <si>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</si>
  <si>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</si>
  <si>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</si>
  <si>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</si>
  <si>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</si>
  <si>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</si>
  <si>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</si>
  <si>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</si>
  <si>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</si>
  <si>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</si>
  <si>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</si>
  <si>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</si>
  <si>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</si>
  <si>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</si>
  <si>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</si>
  <si>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</si>
  <si>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</si>
  <si>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</si>
  <si>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</si>
  <si>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</si>
  <si>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</si>
  <si>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</si>
  <si>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</si>
  <si>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</si>
  <si>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</si>
  <si>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</si>
  <si>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</si>
  <si>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</si>
  <si>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</si>
  <si>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</si>
  <si>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</si>
  <si>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</si>
  <si>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</si>
  <si>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</si>
  <si>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</si>
  <si>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</si>
  <si>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</si>
  <si>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</si>
  <si>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</si>
  <si>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</si>
  <si>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</si>
  <si>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</si>
  <si>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</si>
  <si>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</si>
  <si>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</si>
  <si>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</si>
  <si>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</si>
  <si>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</si>
  <si>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</si>
  <si>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</si>
  <si>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</si>
  <si>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</si>
  <si>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</si>
  <si>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</si>
  <si>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</si>
  <si>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</si>
  <si>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</si>
  <si>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</si>
  <si>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</si>
  <si>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</si>
  <si>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</si>
  <si>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</si>
  <si>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</si>
  <si>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</si>
  <si>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</si>
  <si>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</si>
  <si>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</si>
  <si>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</si>
  <si>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</si>
  <si>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</si>
  <si>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</si>
  <si>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</si>
  <si>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</si>
  <si>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</si>
  <si>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</si>
  <si>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</si>
  <si>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</si>
  <si>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</si>
  <si>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</si>
  <si>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</si>
  <si>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</si>
  <si>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</si>
  <si>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</si>
  <si>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</si>
  <si>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</si>
  <si>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</si>
  <si>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</si>
  <si>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</si>
  <si>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</si>
  <si>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</si>
  <si>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</si>
  <si>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</si>
  <si>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</si>
  <si>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</si>
  <si>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</si>
  <si>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</si>
  <si>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</si>
  <si>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</si>
  <si>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</si>
  <si>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</si>
  <si>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</si>
  <si>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</si>
  <si>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</si>
  <si>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</si>
  <si>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</si>
  <si>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</si>
  <si>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</si>
  <si>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</si>
  <si>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</si>
  <si>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</si>
  <si>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</si>
  <si>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</si>
  <si>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</si>
  <si>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</si>
  <si>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</si>
  <si>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</si>
  <si>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</si>
  <si>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</si>
  <si>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</si>
  <si>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</si>
  <si>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</si>
  <si>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</si>
  <si>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</si>
  <si>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</si>
  <si>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</si>
  <si>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</si>
  <si>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</si>
  <si>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</si>
  <si>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</si>
  <si>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</si>
  <si>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</si>
  <si>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</si>
  <si>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</si>
  <si>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</si>
  <si>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</si>
  <si>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</si>
  <si>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</si>
  <si>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</si>
  <si>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</si>
  <si>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</si>
  <si>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</si>
  <si>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</si>
  <si>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</si>
  <si>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</si>
  <si>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</si>
  <si>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</si>
  <si>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</si>
  <si>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</si>
  <si>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</si>
  <si>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</si>
  <si>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</si>
  <si>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</si>
  <si>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</si>
  <si>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</si>
  <si>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</si>
  <si>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</si>
  <si>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</si>
  <si>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</si>
  <si>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</si>
  <si>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</si>
  <si>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</si>
  <si>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</si>
  <si>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</si>
  <si>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</si>
  <si>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</si>
  <si>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</si>
  <si>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</si>
  <si>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</si>
  <si>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</si>
  <si>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</si>
  <si>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</si>
  <si>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</si>
  <si>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</si>
  <si>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</si>
  <si>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</si>
  <si>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</si>
  <si>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</si>
  <si>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</si>
  <si>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</si>
  <si>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</si>
  <si>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</si>
  <si>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</si>
  <si>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</si>
  <si>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</si>
  <si>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</si>
  <si>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</si>
  <si>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</si>
  <si>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</si>
  <si>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</si>
  <si>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</si>
  <si>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</si>
  <si>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</si>
  <si>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</si>
  <si>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</si>
  <si>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</si>
  <si>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</si>
  <si>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</si>
  <si>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</si>
  <si>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</si>
  <si>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</si>
  <si>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</si>
  <si>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</si>
  <si>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</si>
  <si>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</si>
  <si>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</si>
  <si>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</si>
  <si>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</si>
  <si>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</si>
  <si>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</si>
  <si>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</si>
  <si>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</si>
  <si>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</si>
  <si>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</si>
  <si>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</si>
  <si>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</si>
  <si>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</si>
  <si>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</si>
  <si>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</si>
  <si>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</si>
  <si>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</si>
  <si>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</si>
  <si>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</si>
  <si>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</si>
  <si>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</si>
  <si>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</si>
  <si>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</si>
  <si>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</si>
  <si>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</si>
  <si>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</si>
  <si>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</si>
  <si>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</si>
  <si>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</si>
  <si>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</si>
  <si>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</si>
  <si>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</si>
  <si>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</si>
  <si>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</si>
  <si>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</si>
  <si>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</si>
  <si>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</si>
  <si>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</si>
  <si>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</si>
  <si>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</si>
  <si>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</si>
  <si>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</si>
  <si>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</si>
  <si>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</si>
  <si>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</si>
  <si>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</si>
  <si>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</si>
  <si>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</si>
  <si>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</si>
  <si>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</si>
  <si>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</si>
  <si>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</si>
  <si>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</si>
  <si>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</si>
  <si>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</si>
  <si>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</si>
  <si>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</si>
  <si>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</si>
  <si>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</si>
  <si>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</si>
  <si>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</si>
  <si>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</si>
  <si>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</si>
  <si>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</si>
  <si>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</si>
  <si>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</si>
  <si>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</si>
  <si>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</si>
  <si>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</si>
  <si>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</si>
  <si>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</si>
  <si>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</si>
  <si>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</si>
  <si>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</si>
  <si>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</si>
  <si>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</si>
  <si>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</si>
  <si>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</si>
  <si>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</si>
  <si>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</si>
  <si>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</si>
  <si>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</si>
  <si>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</si>
  <si>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</si>
  <si>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</si>
  <si>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</si>
  <si>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</si>
  <si>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</si>
  <si>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</si>
  <si>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</si>
  <si>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</si>
  <si>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</si>
  <si>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</si>
  <si>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</si>
  <si>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</si>
  <si>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</si>
  <si>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</si>
  <si>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</si>
  <si>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</si>
  <si>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</si>
  <si>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</si>
  <si>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</si>
  <si>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</si>
  <si>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</si>
  <si>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</si>
  <si>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</si>
  <si>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</si>
  <si>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</si>
  <si>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</si>
  <si>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</si>
  <si>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</si>
  <si>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</si>
  <si>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</si>
  <si>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</si>
  <si>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</si>
  <si>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</si>
  <si>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</si>
  <si>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</si>
  <si>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</si>
  <si>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</si>
  <si>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</si>
  <si>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</si>
  <si>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</si>
  <si>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</si>
  <si>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</si>
  <si>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</si>
  <si>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</si>
  <si>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</si>
  <si>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</si>
  <si>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</si>
  <si>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</si>
  <si>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</si>
  <si>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</si>
  <si>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</si>
  <si>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</si>
  <si>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</si>
  <si>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</si>
  <si>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</si>
  <si>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</si>
  <si>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</si>
  <si>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</si>
  <si>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</si>
  <si>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</si>
  <si>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</si>
  <si>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</si>
  <si>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</si>
  <si>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</si>
  <si>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</si>
  <si>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</si>
  <si>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</si>
  <si>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</si>
  <si>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</si>
  <si>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</si>
  <si>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</si>
  <si>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</si>
  <si>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</si>
  <si>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</si>
  <si>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</si>
  <si>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</si>
  <si>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</si>
  <si>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</si>
  <si>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</si>
  <si>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</si>
  <si>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</si>
  <si>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</si>
  <si>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</si>
  <si>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</si>
  <si>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</si>
  <si>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</si>
  <si>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</si>
  <si>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</si>
  <si>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</si>
  <si>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</si>
  <si>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</si>
  <si>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</si>
  <si>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</si>
  <si>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</si>
  <si>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</si>
  <si>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</si>
  <si>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</si>
  <si>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</si>
  <si>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</si>
  <si>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</si>
  <si>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</si>
  <si>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</si>
  <si>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</si>
  <si>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</si>
  <si>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</si>
  <si>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</si>
  <si>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</si>
  <si>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</si>
  <si>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</si>
  <si>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</si>
  <si>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</si>
  <si>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</si>
  <si>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</si>
  <si>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</si>
  <si>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</si>
  <si>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</si>
  <si>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</si>
  <si>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</si>
  <si>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</si>
  <si>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</si>
  <si>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</si>
  <si>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</si>
  <si>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</si>
  <si>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</si>
  <si>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</si>
  <si>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</si>
  <si>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</si>
  <si>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</si>
  <si>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</si>
  <si>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</si>
  <si>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</si>
  <si>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</si>
  <si>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</si>
  <si>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</si>
  <si>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</si>
  <si>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</si>
  <si>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</si>
  <si>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</si>
  <si>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</si>
  <si>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</si>
  <si>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</si>
  <si>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</si>
  <si>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</si>
  <si>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</si>
  <si>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</si>
  <si>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</si>
  <si>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</si>
  <si>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</si>
  <si>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</si>
  <si>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</si>
  <si>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</si>
  <si>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</si>
  <si>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</si>
  <si>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</si>
  <si>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</si>
  <si>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</si>
  <si>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</si>
  <si>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</si>
  <si>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</si>
  <si>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</si>
  <si>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</si>
  <si>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</si>
  <si>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</si>
  <si>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</si>
  <si>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</si>
  <si>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</si>
  <si>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</si>
  <si>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</si>
  <si>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</si>
  <si>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</si>
  <si>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</si>
  <si>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</si>
  <si>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</si>
  <si>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</si>
  <si>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</si>
  <si>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</si>
  <si>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</si>
  <si>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</si>
  <si>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</si>
  <si>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</si>
  <si>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</si>
  <si>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</si>
  <si>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</si>
  <si>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</si>
  <si>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</si>
  <si>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</si>
  <si>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</si>
  <si>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</si>
  <si>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</si>
  <si>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</si>
  <si>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</si>
  <si>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</si>
  <si>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</si>
  <si>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</si>
  <si>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</si>
  <si>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</si>
  <si>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</si>
  <si>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</si>
  <si>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</si>
  <si>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</si>
  <si>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</si>
  <si>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</si>
  <si>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</si>
  <si>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</si>
  <si>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</si>
  <si>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</si>
  <si>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</si>
  <si>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</si>
  <si>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</si>
  <si>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</si>
  <si>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</si>
  <si>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</si>
  <si>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</si>
  <si>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</si>
  <si>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</si>
  <si>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</si>
  <si>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</si>
  <si>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</si>
  <si>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</si>
  <si>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</si>
  <si>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</si>
  <si>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</si>
  <si>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</si>
  <si>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</si>
  <si>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</si>
  <si>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</si>
  <si>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</si>
  <si>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</si>
  <si>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</si>
  <si>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</si>
  <si>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</si>
  <si>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</si>
  <si>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</si>
  <si>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</si>
  <si>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</si>
  <si>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</si>
  <si>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</si>
  <si>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</si>
  <si>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</si>
  <si>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</si>
  <si>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</si>
  <si>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</si>
  <si>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</si>
  <si>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</si>
  <si>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</si>
  <si>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</si>
  <si>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</si>
  <si>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</si>
  <si>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</si>
  <si>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</si>
  <si>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</si>
  <si>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</si>
  <si>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</si>
  <si>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</si>
  <si>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</si>
  <si>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</si>
  <si>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</si>
  <si>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</si>
  <si>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</si>
  <si>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</si>
  <si>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</si>
  <si>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</si>
  <si>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</si>
  <si>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</si>
  <si>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</si>
  <si>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</si>
  <si>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</si>
  <si>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</si>
  <si>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</si>
  <si>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</si>
  <si>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</si>
  <si>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</si>
  <si>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</si>
  <si>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</si>
  <si>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</si>
  <si>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</si>
  <si>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</si>
  <si>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</si>
  <si>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</si>
  <si>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</si>
  <si>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</si>
  <si>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</si>
  <si>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</si>
  <si>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</si>
  <si>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</si>
  <si>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</si>
  <si>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</si>
  <si>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</si>
  <si>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</si>
  <si>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</si>
  <si>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</si>
  <si>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</si>
  <si>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</si>
  <si>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</si>
  <si>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</si>
  <si>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</si>
  <si>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</si>
  <si>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</si>
  <si>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</si>
  <si>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</si>
  <si>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</si>
  <si>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</si>
  <si>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</si>
  <si>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</si>
  <si>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</si>
  <si>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</si>
  <si>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</si>
  <si>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</si>
  <si>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</si>
  <si>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</si>
  <si>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</si>
  <si>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</si>
  <si>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</si>
  <si>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</si>
  <si>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</si>
  <si>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</si>
  <si>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</si>
  <si>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</si>
  <si>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</si>
  <si>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</si>
  <si>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</si>
  <si>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</si>
  <si>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</si>
  <si>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</si>
  <si>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</si>
  <si>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</si>
  <si>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</si>
  <si>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</si>
  <si>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</si>
  <si>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</si>
  <si>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</si>
  <si>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</si>
  <si>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</si>
  <si>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</si>
  <si>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</si>
  <si>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</si>
  <si>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</si>
  <si>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</si>
  <si>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</si>
  <si>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</si>
  <si>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</si>
  <si>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</si>
  <si>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</si>
  <si>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</si>
  <si>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</si>
  <si>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</si>
  <si>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</si>
  <si>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</si>
  <si>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</si>
  <si>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</si>
  <si>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</si>
  <si>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</si>
  <si>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</si>
  <si>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</si>
  <si>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</si>
  <si>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</si>
  <si>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</si>
  <si>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</si>
  <si>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</si>
  <si>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</si>
  <si>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</si>
  <si>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</si>
  <si>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</si>
  <si>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</si>
  <si>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</si>
  <si>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</si>
  <si>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</si>
  <si>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</si>
  <si>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</si>
  <si>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</si>
  <si>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</si>
  <si>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</si>
  <si>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</si>
  <si>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</si>
  <si>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</si>
  <si>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</si>
  <si>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</si>
  <si>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</si>
  <si>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</si>
  <si>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</si>
  <si>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</si>
  <si>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</si>
  <si>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</si>
  <si>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</si>
  <si>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</si>
  <si>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</si>
  <si>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</si>
  <si>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</si>
  <si>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</si>
  <si>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</si>
  <si>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</si>
  <si>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</si>
  <si>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</si>
  <si>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</si>
  <si>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</si>
  <si>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</si>
  <si>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</si>
  <si>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</si>
  <si>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</si>
  <si>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</si>
  <si>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</si>
  <si>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</si>
  <si>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</si>
  <si>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</si>
  <si>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</si>
  <si>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</si>
  <si>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</si>
  <si>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</si>
  <si>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</si>
  <si>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</si>
  <si>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</si>
  <si>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</si>
  <si>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</si>
  <si>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</si>
  <si>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</si>
  <si>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</si>
  <si>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</si>
  <si>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</si>
  <si>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</si>
  <si>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</si>
  <si>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</si>
  <si>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</si>
  <si>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</si>
  <si>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</si>
  <si>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</si>
  <si>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</si>
  <si>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</si>
  <si>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</si>
  <si>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</si>
  <si>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</si>
  <si>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</si>
  <si>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</si>
  <si>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</si>
  <si>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</si>
  <si>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</si>
  <si>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</si>
  <si>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</si>
  <si>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</si>
  <si>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</si>
  <si>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</si>
  <si>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</si>
  <si>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</si>
  <si>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</si>
  <si>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</si>
  <si>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</si>
  <si>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</si>
  <si>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</si>
  <si>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</si>
  <si>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</si>
  <si>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</si>
  <si>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</si>
  <si>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</si>
  <si>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</si>
  <si>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</si>
  <si>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</si>
  <si>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</si>
  <si>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</si>
  <si>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</si>
  <si>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</si>
  <si>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</si>
  <si>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</si>
  <si>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</si>
  <si>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</si>
  <si>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</si>
  <si>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</si>
  <si>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</si>
  <si>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</si>
  <si>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</si>
  <si>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</si>
  <si>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</si>
  <si>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</si>
  <si>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</si>
  <si>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</si>
  <si>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</si>
  <si>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</si>
  <si>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</si>
  <si>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</si>
  <si>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</si>
  <si>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</si>
  <si>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</si>
  <si>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</si>
  <si>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</si>
  <si>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</si>
  <si>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</si>
  <si>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</si>
  <si>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</si>
  <si>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</si>
  <si>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</si>
  <si>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</si>
  <si>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</si>
  <si>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</si>
  <si>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</si>
  <si>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</si>
  <si>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</si>
  <si>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</si>
  <si>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</si>
  <si>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</si>
  <si>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</si>
  <si>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</si>
  <si>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</si>
  <si>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</si>
  <si>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</si>
  <si>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</si>
  <si>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</si>
  <si>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</si>
  <si>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</si>
  <si>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</si>
  <si>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</si>
  <si>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</si>
  <si>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</si>
  <si>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</si>
  <si>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</si>
  <si>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</si>
  <si>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</si>
  <si>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</si>
  <si>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</si>
  <si>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</si>
  <si>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</si>
  <si>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</si>
  <si>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</si>
  <si>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</si>
  <si>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</si>
  <si>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</si>
  <si>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</si>
  <si>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</si>
  <si>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</si>
  <si>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</si>
  <si>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</si>
  <si>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</si>
  <si>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</si>
  <si>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</si>
  <si>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</si>
  <si>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</si>
  <si>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</si>
  <si>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</si>
  <si>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</si>
  <si>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</si>
  <si>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</si>
  <si>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</si>
  <si>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</si>
  <si>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</si>
  <si>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</si>
  <si>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</si>
  <si>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</si>
  <si>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</si>
  <si>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</si>
  <si>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</si>
  <si>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</si>
  <si>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</si>
  <si>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</si>
  <si>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</si>
  <si>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</si>
  <si>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</si>
  <si>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</si>
  <si>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</si>
  <si>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</si>
  <si>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</si>
  <si>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</si>
  <si>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</si>
  <si>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</si>
  <si>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</si>
  <si>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</si>
  <si>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</si>
  <si>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</si>
  <si>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</si>
  <si>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</si>
  <si>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</si>
  <si>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</si>
  <si>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</si>
  <si>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</si>
  <si>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</si>
  <si>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</si>
  <si>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</si>
  <si>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</si>
  <si>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</si>
  <si>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</si>
  <si>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</si>
  <si>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</si>
  <si>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</si>
  <si>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</si>
  <si>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</si>
  <si>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</si>
  <si>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</si>
  <si>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</si>
  <si>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</si>
  <si>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</si>
  <si>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</si>
  <si>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</si>
  <si>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</si>
  <si>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</si>
  <si>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</si>
  <si>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</si>
  <si>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</si>
  <si>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</si>
  <si>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</si>
  <si>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</si>
  <si>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</si>
  <si>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</si>
  <si>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</si>
  <si>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</si>
  <si>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</si>
  <si>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</si>
  <si>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</si>
  <si>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</si>
  <si>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</si>
  <si>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</si>
  <si>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</si>
  <si>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</si>
  <si>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</si>
  <si>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</si>
  <si>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</si>
  <si>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</si>
  <si>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</si>
  <si>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</si>
  <si>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</si>
  <si>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</si>
  <si>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</si>
  <si>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</si>
  <si>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</si>
  <si>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</si>
  <si>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</si>
  <si>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</si>
  <si>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</si>
  <si>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</si>
  <si>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</si>
  <si>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</si>
  <si>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</si>
  <si>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</si>
  <si>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</si>
  <si>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</si>
  <si>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</si>
  <si>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</si>
  <si>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</si>
  <si>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</si>
  <si>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</si>
  <si>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</si>
  <si>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</si>
  <si>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</si>
  <si>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</si>
  <si>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</si>
  <si>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</si>
  <si>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</si>
  <si>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</si>
  <si>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</si>
  <si>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</si>
  <si>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</si>
  <si>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</si>
  <si>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</si>
  <si>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</si>
  <si>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</si>
  <si>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</si>
  <si>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</si>
  <si>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</si>
  <si>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</si>
  <si>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</si>
  <si>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</si>
  <si>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</si>
  <si>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</si>
  <si>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</si>
  <si>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</si>
  <si>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</si>
  <si>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</si>
  <si>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</si>
  <si>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</si>
  <si>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</si>
  <si>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</si>
  <si>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</si>
  <si>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</si>
  <si>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</si>
  <si>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</si>
  <si>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</si>
  <si>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</si>
  <si>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</si>
  <si>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</si>
  <si>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</si>
  <si>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</si>
  <si>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</si>
  <si>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</si>
  <si>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</si>
  <si>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</si>
  <si>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</si>
  <si>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</si>
  <si>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</si>
  <si>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</si>
  <si>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</si>
  <si>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</si>
  <si>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</si>
  <si>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</si>
  <si>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</si>
  <si>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</si>
  <si>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</si>
  <si>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</si>
  <si>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</si>
  <si>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</si>
  <si>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</si>
  <si>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</si>
  <si>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</si>
  <si>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</si>
  <si>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</si>
  <si>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</si>
  <si>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</si>
  <si>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</si>
  <si>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</si>
  <si>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</si>
  <si>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</si>
  <si>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</si>
  <si>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</si>
  <si>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</si>
  <si>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</si>
  <si>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</si>
  <si>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</si>
  <si>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</si>
  <si>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</si>
  <si>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</si>
  <si>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</si>
  <si>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</si>
  <si>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</si>
  <si>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</si>
  <si>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</si>
  <si>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</si>
  <si>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</si>
  <si>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</si>
  <si>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</si>
  <si>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</si>
  <si>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</si>
  <si>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</si>
  <si>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</si>
  <si>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</si>
  <si>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</si>
  <si>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</si>
  <si>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</si>
  <si>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</si>
  <si>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</si>
  <si>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</si>
  <si>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</si>
  <si>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</si>
  <si>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</si>
  <si>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</si>
  <si>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</si>
  <si>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</si>
  <si>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</si>
  <si>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</si>
  <si>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</si>
  <si>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</si>
  <si>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</si>
  <si>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</si>
  <si>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</si>
  <si>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</si>
  <si>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</si>
  <si>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</si>
  <si>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</si>
  <si>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</si>
  <si>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</si>
  <si>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</si>
  <si>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</si>
  <si>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</si>
  <si>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</si>
  <si>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</si>
  <si>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</si>
  <si>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</si>
  <si>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</si>
  <si>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</si>
  <si>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</si>
  <si>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</si>
  <si>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</si>
  <si>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</si>
  <si>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</si>
  <si>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</si>
  <si>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</si>
  <si>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</si>
  <si>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</si>
  <si>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</si>
  <si>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</si>
  <si>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</si>
  <si>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</si>
  <si>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</si>
  <si>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</si>
  <si>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</si>
  <si>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</si>
  <si>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</si>
  <si>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</si>
  <si>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</si>
  <si>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</si>
  <si>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</si>
  <si>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</si>
  <si>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</si>
  <si>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</si>
  <si>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</si>
  <si>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</si>
  <si>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</si>
  <si>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</si>
  <si>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</si>
  <si>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</si>
  <si>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</si>
  <si>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</si>
  <si>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</si>
  <si>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</si>
  <si>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</si>
  <si>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</si>
  <si>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</si>
  <si>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</si>
  <si>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</si>
  <si>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</si>
  <si>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</si>
  <si>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</si>
  <si>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</si>
  <si>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</si>
  <si>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</si>
  <si>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</si>
  <si>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</si>
  <si>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</si>
  <si>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</si>
  <si>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</si>
  <si>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</si>
  <si>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</si>
  <si>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</si>
  <si>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</si>
  <si>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</si>
  <si>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</si>
  <si>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</si>
  <si>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</si>
  <si>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</si>
  <si>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</si>
  <si>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</si>
  <si>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</si>
  <si>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</si>
  <si>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</si>
  <si>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</si>
  <si>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</si>
  <si>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</si>
  <si>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</si>
  <si>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</si>
  <si>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</si>
  <si>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</si>
  <si>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</si>
  <si>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</si>
  <si>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</si>
  <si>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</si>
  <si>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</si>
  <si>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</si>
  <si>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</si>
  <si>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</si>
  <si>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</si>
  <si>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</si>
  <si>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</si>
  <si>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</si>
  <si>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</si>
  <si>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</si>
  <si>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</si>
  <si>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</si>
  <si>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</si>
  <si>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</si>
  <si>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</si>
  <si>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</si>
  <si>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</si>
  <si>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</si>
  <si>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</si>
  <si>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</si>
  <si>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</si>
  <si>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</si>
  <si>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</si>
  <si>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</si>
  <si>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</si>
  <si>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</si>
  <si>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</si>
  <si>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</si>
  <si>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</si>
  <si>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</si>
  <si>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</si>
  <si>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</si>
  <si>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</si>
  <si>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</si>
  <si>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</si>
  <si>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</si>
  <si>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</si>
  <si>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</si>
  <si>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</si>
  <si>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</si>
  <si>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</si>
  <si>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</si>
  <si>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</si>
  <si>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</si>
  <si>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</si>
  <si>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</si>
  <si>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抵押</t>
  </si>
  <si>
    <t>房地产抵押价值</t>
  </si>
  <si>
    <t>北京市</t>
  </si>
  <si>
    <t>企业</t>
  </si>
  <si>
    <t>出让</t>
  </si>
  <si>
    <t>办公项目</t>
  </si>
  <si>
    <t>现房</t>
  </si>
  <si>
    <t>Ⅵ-亦1</t>
  </si>
  <si>
    <t>是</t>
  </si>
  <si>
    <t>地上</t>
  </si>
  <si>
    <t>办公</t>
    <phoneticPr fontId="7" type="noConversion"/>
  </si>
  <si>
    <t>成新度</t>
  </si>
  <si>
    <t>收益法 (元)</t>
  </si>
  <si>
    <t>富兴国际中心</t>
    <phoneticPr fontId="3" type="noConversion"/>
  </si>
  <si>
    <t>天华北街11号</t>
    <phoneticPr fontId="3" type="noConversion"/>
  </si>
  <si>
    <t>办公</t>
    <phoneticPr fontId="32" type="noConversion"/>
  </si>
  <si>
    <t>40-50（含）</t>
  </si>
  <si>
    <t>城市次干道——荣京西街</t>
  </si>
  <si>
    <t>次干道</t>
  </si>
  <si>
    <t>高区</t>
  </si>
  <si>
    <r>
      <rPr>
        <sz val="11"/>
        <rFont val="宋体"/>
        <family val="3"/>
        <charset val="134"/>
      </rPr>
      <t>城市次干道</t>
    </r>
    <r>
      <rPr>
        <sz val="11"/>
        <rFont val="Arial"/>
        <family val="2"/>
      </rPr>
      <t>——</t>
    </r>
    <r>
      <rPr>
        <sz val="11"/>
        <rFont val="宋体"/>
        <family val="3"/>
        <charset val="134"/>
      </rPr>
      <t>荣京东街</t>
    </r>
    <phoneticPr fontId="3" type="noConversion"/>
  </si>
  <si>
    <t>中区</t>
  </si>
  <si>
    <r>
      <rPr>
        <sz val="11"/>
        <rFont val="宋体"/>
        <family val="3"/>
        <charset val="134"/>
      </rPr>
      <t>城市次干道</t>
    </r>
    <r>
      <rPr>
        <sz val="11"/>
        <rFont val="Arial"/>
        <family val="2"/>
      </rPr>
      <t>——</t>
    </r>
    <r>
      <rPr>
        <sz val="11"/>
        <rFont val="宋体"/>
        <family val="3"/>
        <charset val="134"/>
      </rPr>
      <t>荣华中路</t>
    </r>
    <phoneticPr fontId="3" type="noConversion"/>
  </si>
  <si>
    <t>低区</t>
  </si>
  <si>
    <t>标准写字楼</t>
  </si>
  <si>
    <t>钢混</t>
  </si>
  <si>
    <t>精装修</t>
  </si>
  <si>
    <t>甲级</t>
  </si>
  <si>
    <t>专业</t>
  </si>
  <si>
    <t>七通</t>
  </si>
  <si>
    <t>标准层高</t>
  </si>
  <si>
    <t>简装</t>
  </si>
  <si>
    <t>好</t>
  </si>
  <si>
    <t>有</t>
  </si>
  <si>
    <t>高档</t>
    <phoneticPr fontId="143" type="noConversion"/>
  </si>
  <si>
    <t>六通</t>
  </si>
  <si>
    <t>普通装修</t>
  </si>
  <si>
    <t>无</t>
    <phoneticPr fontId="3" type="noConversion"/>
  </si>
  <si>
    <t>普通</t>
    <phoneticPr fontId="143"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</si>
  <si>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</si>
  <si>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</si>
  <si>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</si>
  <si>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</si>
  <si>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</si>
  <si>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</si>
  <si>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</si>
  <si>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</si>
  <si>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</si>
  <si>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</si>
  <si>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</si>
  <si>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</si>
  <si>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</si>
  <si>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</si>
  <si>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</si>
  <si>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</si>
  <si>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</si>
  <si>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</si>
  <si>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</si>
  <si>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大族广场</t>
    <phoneticPr fontId="3" type="noConversion"/>
  </si>
  <si>
    <t>大族广场</t>
    <phoneticPr fontId="3" type="noConversion"/>
  </si>
  <si>
    <t>朝林广场</t>
    <phoneticPr fontId="3" type="noConversion"/>
  </si>
  <si>
    <t>中航技广场</t>
    <phoneticPr fontId="3" type="noConversion"/>
  </si>
  <si>
    <t>荣京东街与荣华南路交汇处</t>
    <phoneticPr fontId="143" type="noConversion"/>
  </si>
  <si>
    <t>荣华中路与荣京东街交汇处</t>
    <phoneticPr fontId="143" type="noConversion"/>
  </si>
  <si>
    <r>
      <rPr>
        <sz val="11"/>
        <color theme="9" tint="-0.249977111117893"/>
        <rFont val="宋体"/>
        <family val="3"/>
        <charset val="134"/>
      </rPr>
      <t>荣华南路</t>
    </r>
    <r>
      <rPr>
        <sz val="11"/>
        <color theme="9" tint="-0.249977111117893"/>
        <rFont val="Arial"/>
        <family val="2"/>
      </rPr>
      <t>18</t>
    </r>
    <r>
      <rPr>
        <sz val="11"/>
        <color theme="9" tint="-0.249977111117893"/>
        <rFont val="宋体"/>
        <family val="3"/>
        <charset val="134"/>
      </rPr>
      <t>号</t>
    </r>
    <phoneticPr fontId="143" type="noConversion"/>
  </si>
  <si>
    <t>城市次干道——荣华南路</t>
    <phoneticPr fontId="3" type="noConversion"/>
  </si>
  <si>
    <t>城市次干道——荣京西街</t>
    <phoneticPr fontId="3" type="noConversion"/>
  </si>
  <si>
    <t>好</t>
    <phoneticPr fontId="143" type="noConversion"/>
  </si>
  <si>
    <t>林肯公园</t>
    <phoneticPr fontId="32" type="noConversion"/>
  </si>
  <si>
    <t>荣华北路</t>
    <phoneticPr fontId="3" type="noConversion"/>
  </si>
  <si>
    <r>
      <rPr>
        <sz val="11"/>
        <rFont val="宋体"/>
        <family val="3"/>
        <charset val="134"/>
      </rPr>
      <t>城市次干道</t>
    </r>
    <r>
      <rPr>
        <sz val="11"/>
        <rFont val="Arial"/>
        <family val="2"/>
      </rPr>
      <t>——</t>
    </r>
    <r>
      <rPr>
        <sz val="11"/>
        <rFont val="宋体"/>
        <family val="3"/>
        <charset val="134"/>
      </rPr>
      <t>荣华北路</t>
    </r>
    <phoneticPr fontId="3" type="noConversion"/>
  </si>
  <si>
    <t>售价</t>
  </si>
  <si>
    <t>项目局部</t>
  </si>
  <si>
    <t>比较法-办公</t>
  </si>
  <si>
    <t>按租金收入计税</t>
  </si>
  <si>
    <t>非生产用房</t>
  </si>
  <si>
    <t>否</t>
  </si>
  <si>
    <t>押二</t>
  </si>
  <si>
    <t>租金</t>
  </si>
  <si>
    <t>序号</t>
  </si>
  <si>
    <t>《不动产权证书》证号</t>
  </si>
  <si>
    <t>房号</t>
  </si>
  <si>
    <r>
      <t>建筑面积（</t>
    </r>
    <r>
      <rPr>
        <b/>
        <sz val="9"/>
        <color theme="1"/>
        <rFont val="Arial"/>
        <family val="2"/>
      </rPr>
      <t>m</t>
    </r>
    <r>
      <rPr>
        <b/>
        <vertAlign val="superscript"/>
        <sz val="9"/>
        <color theme="1"/>
        <rFont val="Arial"/>
        <family val="2"/>
      </rPr>
      <t>2</t>
    </r>
    <r>
      <rPr>
        <b/>
        <sz val="9"/>
        <color theme="1"/>
        <rFont val="华文细黑"/>
        <family val="3"/>
        <charset val="134"/>
      </rPr>
      <t>）</t>
    </r>
  </si>
  <si>
    <t>规划用途</t>
  </si>
  <si>
    <r>
      <t>京（</t>
    </r>
    <r>
      <rPr>
        <sz val="9"/>
        <color theme="1"/>
        <rFont val="Arial"/>
        <family val="2"/>
      </rPr>
      <t>2018</t>
    </r>
    <r>
      <rPr>
        <sz val="9"/>
        <color theme="1"/>
        <rFont val="华文细黑"/>
        <family val="3"/>
        <charset val="134"/>
      </rPr>
      <t>）开不动产权第</t>
    </r>
    <r>
      <rPr>
        <sz val="9"/>
        <color theme="1"/>
        <rFont val="Arial"/>
        <family val="2"/>
      </rPr>
      <t>0019902</t>
    </r>
    <r>
      <rPr>
        <sz val="9"/>
        <color theme="1"/>
        <rFont val="华文细黑"/>
        <family val="3"/>
        <charset val="134"/>
      </rPr>
      <t>号</t>
    </r>
    <phoneticPr fontId="143" type="noConversion"/>
  </si>
  <si>
    <t>跃层</t>
  </si>
  <si>
    <t>跃层</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</si>
  <si>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0019882</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</si>
  <si>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25</t>
    </r>
    <r>
      <rPr>
        <sz val="9"/>
        <color theme="1"/>
        <rFont val="华文细黑"/>
        <family val="3"/>
        <charset val="134"/>
      </rPr>
      <t>层</t>
    </r>
    <r>
      <rPr>
        <sz val="9"/>
        <color theme="1"/>
        <rFont val="Arial"/>
        <family val="2"/>
      </rPr>
      <t>2504</t>
    </r>
    <r>
      <rPr>
        <sz val="9"/>
        <color theme="1"/>
        <rFont val="华文细黑"/>
        <family val="3"/>
        <charset val="134"/>
      </rPr>
      <t>办公用房房地产</t>
    </r>
    <phoneticPr fontId="143" type="noConversion"/>
  </si>
  <si>
    <t>办公</t>
    <phoneticPr fontId="143" type="noConversion"/>
  </si>
  <si>
    <r>
      <t>2</t>
    </r>
    <r>
      <rPr>
        <sz val="9"/>
        <color theme="1"/>
        <rFont val="华文细黑"/>
        <family val="3"/>
        <charset val="134"/>
      </rPr>
      <t>号楼</t>
    </r>
    <r>
      <rPr>
        <sz val="9"/>
        <color theme="1"/>
        <rFont val="Arial"/>
        <family val="2"/>
      </rPr>
      <t>26</t>
    </r>
    <r>
      <rPr>
        <sz val="9"/>
        <color theme="1"/>
        <rFont val="华文细黑"/>
        <family val="3"/>
        <charset val="134"/>
      </rPr>
      <t>层</t>
    </r>
    <r>
      <rPr>
        <sz val="9"/>
        <color theme="1"/>
        <rFont val="Arial"/>
        <family val="2"/>
      </rPr>
      <t>2604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</si>
  <si>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0019904</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</si>
  <si>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27</t>
    </r>
    <r>
      <rPr>
        <sz val="9"/>
        <color theme="1"/>
        <rFont val="华文细黑"/>
        <family val="3"/>
        <charset val="134"/>
      </rPr>
      <t>层</t>
    </r>
    <r>
      <rPr>
        <sz val="9"/>
        <color theme="1"/>
        <rFont val="Arial"/>
        <family val="2"/>
      </rPr>
      <t>2704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</si>
  <si>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0019899</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</si>
  <si>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28</t>
    </r>
    <r>
      <rPr>
        <sz val="9"/>
        <color theme="1"/>
        <rFont val="华文细黑"/>
        <family val="3"/>
        <charset val="134"/>
      </rPr>
      <t>层</t>
    </r>
    <r>
      <rPr>
        <sz val="9"/>
        <color theme="1"/>
        <rFont val="Arial"/>
        <family val="2"/>
      </rPr>
      <t>2804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</si>
  <si>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0019905</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</si>
  <si>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29</t>
    </r>
    <r>
      <rPr>
        <sz val="9"/>
        <color theme="1"/>
        <rFont val="华文细黑"/>
        <family val="3"/>
        <charset val="134"/>
      </rPr>
      <t>层</t>
    </r>
    <r>
      <rPr>
        <sz val="9"/>
        <color theme="1"/>
        <rFont val="Arial"/>
        <family val="2"/>
      </rPr>
      <t>2904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</si>
  <si>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</si>
  <si>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30</t>
    </r>
    <r>
      <rPr>
        <sz val="9"/>
        <color theme="1"/>
        <rFont val="华文细黑"/>
        <family val="3"/>
        <charset val="134"/>
      </rPr>
      <t>层</t>
    </r>
    <r>
      <rPr>
        <sz val="9"/>
        <color theme="1"/>
        <rFont val="Arial"/>
        <family val="2"/>
      </rPr>
      <t>3004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</si>
  <si>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0019881</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</si>
  <si>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32</t>
    </r>
    <r>
      <rPr>
        <sz val="9"/>
        <color theme="1"/>
        <rFont val="华文细黑"/>
        <family val="3"/>
        <charset val="134"/>
      </rPr>
      <t>层</t>
    </r>
    <r>
      <rPr>
        <sz val="9"/>
        <color theme="1"/>
        <rFont val="Arial"/>
        <family val="2"/>
      </rPr>
      <t>3204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</si>
  <si>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</si>
  <si>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33</t>
    </r>
    <r>
      <rPr>
        <sz val="9"/>
        <color theme="1"/>
        <rFont val="华文细黑"/>
        <family val="3"/>
        <charset val="134"/>
      </rPr>
      <t>层</t>
    </r>
    <r>
      <rPr>
        <sz val="9"/>
        <color theme="1"/>
        <rFont val="Arial"/>
        <family val="2"/>
      </rPr>
      <t>3304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</si>
  <si>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0019907</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</si>
  <si>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3501</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</si>
  <si>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0019908</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</si>
  <si>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3502</t>
    </r>
    <r>
      <rPr>
        <sz val="9"/>
        <color theme="1"/>
        <rFont val="华文细黑"/>
        <family val="3"/>
        <charset val="134"/>
      </rPr>
      <t>办公用房房地产</t>
    </r>
    <phoneticPr fontId="143" type="noConversion"/>
  </si>
  <si>
    <r>
      <t>2</t>
    </r>
    <r>
      <rPr>
        <sz val="9"/>
        <color theme="1"/>
        <rFont val="宋体"/>
        <family val="3"/>
        <charset val="134"/>
      </rPr>
      <t>号楼</t>
    </r>
    <r>
      <rPr>
        <sz val="9"/>
        <color theme="1"/>
        <rFont val="Arial"/>
        <family val="2"/>
      </rPr>
      <t>31</t>
    </r>
    <r>
      <rPr>
        <sz val="9"/>
        <color theme="1"/>
        <rFont val="宋体"/>
        <family val="3"/>
        <charset val="134"/>
      </rPr>
      <t>层</t>
    </r>
    <r>
      <rPr>
        <sz val="9"/>
        <color theme="1"/>
        <rFont val="Arial"/>
        <family val="2"/>
      </rPr>
      <t>3104</t>
    </r>
    <r>
      <rPr>
        <sz val="9"/>
        <color theme="1"/>
        <rFont val="宋体"/>
        <family val="3"/>
        <charset val="134"/>
      </rPr>
      <t>办公用房房地产</t>
    </r>
    <phoneticPr fontId="143" type="noConversion"/>
  </si>
  <si>
    <t>2号楼25层2504办公用房房地产</t>
  </si>
  <si>
    <t>2号楼26层2604办公用房房地产</t>
  </si>
  <si>
    <t>2号楼27层2704办公用房房地产</t>
  </si>
  <si>
    <t>2号楼28层2804办公用房房地产</t>
  </si>
  <si>
    <t>2号楼29层2904办公用房房地产</t>
  </si>
  <si>
    <t>2号楼30层3004办公用房房地产</t>
  </si>
  <si>
    <t>2号楼31层3104办公用房房地产</t>
  </si>
  <si>
    <t>2号楼32层3204办公用房房地产</t>
  </si>
  <si>
    <t>2号楼33层3304办公用房房地产</t>
  </si>
  <si>
    <t>2号楼35至36层3501办公用房房地产</t>
  </si>
  <si>
    <t>2号楼35至36层3502办公用房房地产</t>
  </si>
  <si>
    <t>建筑类型</t>
    <phoneticPr fontId="3" type="noConversion"/>
  </si>
  <si>
    <t>跃层</t>
    <phoneticPr fontId="25" type="noConversion"/>
  </si>
  <si>
    <t>平层</t>
  </si>
  <si>
    <t>平层</t>
    <phoneticPr fontId="25" type="noConversion"/>
  </si>
  <si>
    <t>楼面单价</t>
  </si>
  <si>
    <t>北京经济技术开发区荣华南路1号院</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</si>
  <si>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0019878</t>
    </r>
    <r>
      <rPr>
        <sz val="9"/>
        <color theme="1"/>
        <rFont val="宋体"/>
        <family val="3"/>
        <charset val="134"/>
      </rPr>
      <t>号</t>
    </r>
    <r>
      <rPr>
        <sz val="9"/>
        <color theme="1"/>
        <rFont val="华文细黑"/>
        <family val="3"/>
        <charset val="134"/>
      </rPr>
      <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</si>
</sst>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华文细黑"/>
      <family val="3"/>
      <charset val="134"/>
    </font>
    <font>
      <b/>
      <sz val="9"/>
      <color theme="1"/>
      <name val="Arial"/>
      <family val="2"/>
    </font>
    <font>
      <b/>
      <vertAlign val="superscript"/>
      <sz val="9"/>
      <color theme="1"/>
      <name val="Arial"/>
      <family val="2"/>
    </font>
    <font>
      <sz val="9"/>
      <color theme="1"/>
      <name val="Arial"/>
      <family val="2"/>
    </font>
    <font>
      <sz val="9"/>
      <color theme="1"/>
      <name val="华文细黑"/>
      <family val="3"/>
      <charset val="134"/>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50" fillId="7" borderId="8" xfId="0" applyNumberFormat="1" applyFont="1" applyFill="1" applyBorder="1" applyAlignment="1" applyProtection="1">
      <alignment horizontal="center" vertical="center"/>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8" fillId="0" borderId="158" xfId="0" applyFont="1" applyBorder="1" applyAlignment="1">
      <alignment horizontal="justify" vertical="center"/>
    </xf>
    <xf numFmtId="0" fontId="257" fillId="0" borderId="158" xfId="0" applyFont="1" applyBorder="1" applyAlignment="1">
      <alignment horizontal="justify" vertical="center"/>
    </xf>
    <xf numFmtId="0" fontId="258" fillId="0" borderId="159" xfId="0" applyFont="1" applyBorder="1" applyAlignment="1">
      <alignment horizontal="justify" vertical="center"/>
    </xf>
    <xf numFmtId="0" fontId="258" fillId="0" borderId="160" xfId="0" applyFont="1" applyBorder="1" applyAlignment="1">
      <alignment horizontal="justify" vertical="center"/>
    </xf>
    <xf numFmtId="0" fontId="258" fillId="0" borderId="157" xfId="0" applyFont="1" applyBorder="1" applyAlignment="1">
      <alignment horizontal="justify" vertical="center"/>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161925</xdr:colOff>
      <xdr:row>15</xdr:row>
      <xdr:rowOff>16911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62525" cy="2874411"/>
        </a:xfrm>
        <a:prstGeom prst="rect">
          <a:avLst/>
        </a:prstGeom>
      </xdr:spPr>
    </xdr:pic>
    <xdr:clientData/>
  </xdr:twoCellAnchor>
  <xdr:twoCellAnchor editAs="oneCell">
    <xdr:from>
      <xdr:col>0</xdr:col>
      <xdr:colOff>1</xdr:colOff>
      <xdr:row>19</xdr:row>
      <xdr:rowOff>0</xdr:rowOff>
    </xdr:from>
    <xdr:to>
      <xdr:col>7</xdr:col>
      <xdr:colOff>166157</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914650"/>
          <a:ext cx="4966756" cy="2638425"/>
        </a:xfrm>
        <a:prstGeom prst="rect">
          <a:avLst/>
        </a:prstGeom>
      </xdr:spPr>
    </xdr:pic>
    <xdr:clientData/>
  </xdr:twoCellAnchor>
  <xdr:twoCellAnchor editAs="oneCell">
    <xdr:from>
      <xdr:col>0</xdr:col>
      <xdr:colOff>0</xdr:colOff>
      <xdr:row>35</xdr:row>
      <xdr:rowOff>1</xdr:rowOff>
    </xdr:from>
    <xdr:to>
      <xdr:col>7</xdr:col>
      <xdr:colOff>44824</xdr:colOff>
      <xdr:row>50</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1"/>
          <a:ext cx="4845424" cy="2628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估价对象为北京市房地产，为所有。根据《国有土地使用证》[]，估价对象（分摊）出让国有建设用地使用权面积为0平方米，建筑面积为589.49平方米。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估价对象为北京市房地产,属开发建设的办公项目，该项目尚在开发建设中。根据《国有土地使用证》[]，估价对象（分摊）出让国有建设用地使用权面积为0平方米，规划建筑面积为589.49平方米。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2018年9月12日（评估专业人员实地查勘之日）</v>
      </c>
    </row>
    <row r="13" spans="1:2" s="1595" customFormat="1">
      <c r="A13" s="1593" t="s">
        <v>1227</v>
      </c>
      <c r="B13" s="1594" t="str">
        <f>'预评函-1'!A18</f>
        <v>本次估价的“房地产价值”是指在正常市场情况下，在价值时点2018年9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2318</v>
      </c>
    </row>
    <row r="21" spans="1:2" s="1595" customFormat="1">
      <c r="A21" s="1593" t="s">
        <v>1235</v>
      </c>
      <c r="B21" s="1594">
        <f ca="1">'预评函-2'!D7</f>
        <v>39325</v>
      </c>
    </row>
    <row r="22" spans="1:2" s="1595" customFormat="1">
      <c r="A22" s="1593" t="s">
        <v>1236</v>
      </c>
      <c r="B22" s="1594" t="str">
        <f ca="1">'预评函-2'!D6</f>
        <v>贰仟叁佰壹拾捌万元整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2318</v>
      </c>
    </row>
    <row r="31" spans="1:2" s="1595" customFormat="1">
      <c r="A31" s="1593" t="s">
        <v>1274</v>
      </c>
      <c r="B31" s="1594">
        <f ca="1">'预评函-2'!D15</f>
        <v>39322</v>
      </c>
    </row>
    <row r="32" spans="1:2" s="1595" customFormat="1">
      <c r="A32" s="1593" t="s">
        <v>1241</v>
      </c>
      <c r="B32" s="1594" t="str">
        <f ca="1">'预评函-2'!D14</f>
        <v>贰仟叁佰壹拾捌万元整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589.49</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4" t="s">
        <v>864</v>
      </c>
      <c r="C54" s="2021" t="s">
        <v>1281</v>
      </c>
    </row>
    <row r="55" spans="1:4">
      <c r="A55" s="3000"/>
      <c r="B55" s="2024" t="s">
        <v>865</v>
      </c>
      <c r="C55" s="2021" t="s">
        <v>1282</v>
      </c>
    </row>
    <row r="56" spans="1:4">
      <c r="A56" s="3000"/>
      <c r="B56" s="2024" t="s">
        <v>866</v>
      </c>
      <c r="C56" s="2021" t="s">
        <v>1286</v>
      </c>
    </row>
    <row r="57" spans="1:4">
      <c r="A57" s="3000"/>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4" sqref="D4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09" t="str">
        <f>IF(B10="北京市","北京市",C10)&amp;F10&amp;IF(结果表!G1="在建","出让国有建设用地使用权及在建建筑物",IF(结果表!G1="土地","出让国有建设用地使用权",))&amp;B9&amp;"预评估"</f>
        <v>北京市房地产抵押价值预评估</v>
      </c>
      <c r="C1" s="3010"/>
      <c r="D1" s="3010"/>
      <c r="E1" s="3010"/>
      <c r="F1" s="3010"/>
      <c r="G1" s="3010"/>
      <c r="H1" s="3010"/>
      <c r="I1" s="301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1778</v>
      </c>
      <c r="B3" s="2038">
        <v>43355</v>
      </c>
      <c r="C3" s="2039" t="s">
        <v>1779</v>
      </c>
      <c r="D3" s="2038">
        <v>43355</v>
      </c>
      <c r="E3" s="2028"/>
      <c r="F3" s="2028"/>
      <c r="G3" s="2028"/>
      <c r="H3" s="2028"/>
      <c r="I3" s="2028"/>
      <c r="J3" s="2028"/>
      <c r="K3" s="2029"/>
      <c r="L3" s="2030"/>
      <c r="M3" s="2030"/>
      <c r="N3" s="2031"/>
      <c r="O3" s="2032"/>
      <c r="P3" s="2031"/>
      <c r="Q3" s="2031"/>
      <c r="R3" s="2031"/>
      <c r="S3" s="2033"/>
    </row>
    <row r="4" spans="1:19" ht="18" customHeight="1" thickBot="1">
      <c r="A4" s="2040" t="s">
        <v>1780</v>
      </c>
      <c r="B4" s="2041" t="s">
        <v>3050</v>
      </c>
      <c r="C4" s="1039">
        <f ca="1">SUMIF(注册房地产估价师,B4,估价师及机构信息!B3:B24)</f>
        <v>1419970001</v>
      </c>
      <c r="D4" s="2041" t="s">
        <v>3051</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3052</v>
      </c>
      <c r="C8" s="2058"/>
      <c r="D8" s="3012" t="s">
        <v>1785</v>
      </c>
      <c r="E8" s="2059" t="s">
        <v>3053</v>
      </c>
      <c r="F8" s="2060"/>
      <c r="G8" s="2028"/>
      <c r="H8" s="2028"/>
      <c r="I8" s="2028"/>
      <c r="J8" s="2044"/>
      <c r="K8" s="2045"/>
      <c r="L8" s="2030"/>
      <c r="M8" s="2030"/>
      <c r="N8" s="2031"/>
      <c r="O8" s="2032"/>
      <c r="P8" s="2031"/>
      <c r="Q8" s="2031"/>
      <c r="R8" s="2031"/>
    </row>
    <row r="9" spans="1:19" ht="18" customHeight="1" thickBot="1">
      <c r="A9" s="2042" t="s">
        <v>1786</v>
      </c>
      <c r="B9" s="2061" t="s">
        <v>3053</v>
      </c>
      <c r="C9" s="2062"/>
      <c r="D9" s="3013"/>
      <c r="E9" s="2061"/>
      <c r="F9" s="2063"/>
      <c r="G9" s="2064"/>
      <c r="H9" s="2064"/>
      <c r="I9" s="2064"/>
      <c r="J9" s="2044"/>
      <c r="K9" s="2056"/>
      <c r="L9" s="2030"/>
      <c r="M9" s="2030"/>
      <c r="N9" s="2031"/>
      <c r="O9" s="2032"/>
      <c r="P9" s="2031"/>
      <c r="Q9" s="2031"/>
      <c r="R9" s="2031"/>
    </row>
    <row r="10" spans="1:19" ht="18" customHeight="1" thickTop="1">
      <c r="A10" s="2065" t="s">
        <v>1787</v>
      </c>
      <c r="B10" s="2066" t="s">
        <v>3054</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3055</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3056</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2082">
        <v>58247</v>
      </c>
      <c r="G13" s="2082"/>
      <c r="H13" s="2082"/>
      <c r="I13" s="1049"/>
      <c r="J13" s="2044"/>
      <c r="K13" s="2056"/>
      <c r="L13" s="2030"/>
      <c r="M13" s="2030"/>
      <c r="N13" s="2031"/>
      <c r="O13" s="2032"/>
      <c r="P13" s="2031"/>
      <c r="Q13" s="2031"/>
      <c r="R13" s="2031"/>
    </row>
    <row r="14" spans="1:19" ht="18" customHeight="1">
      <c r="A14" s="2079"/>
      <c r="B14" s="2080"/>
      <c r="C14" s="2081" t="s">
        <v>1799</v>
      </c>
      <c r="D14" s="1052"/>
      <c r="E14" s="1052"/>
      <c r="F14" s="1052">
        <v>50</v>
      </c>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t="str">
        <f>IF(B12="出让",IF(E13="","",ROUNDDOWN(MIN((E13-$D$3)/365,E14),2)),E14)</f>
        <v/>
      </c>
      <c r="F15" s="1051">
        <f>IF(B12="出让",IF(F13="","",ROUNDDOWN(MIN((F13-$D$3)/365,F14),2)),F14)</f>
        <v>40.799999999999997</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019"/>
      <c r="C16" s="3020"/>
      <c r="D16" s="3021"/>
      <c r="E16" s="2088" t="s">
        <v>1802</v>
      </c>
      <c r="F16" s="3022"/>
      <c r="G16" s="3023"/>
      <c r="H16" s="3023"/>
      <c r="I16" s="3024"/>
      <c r="J16" s="2031"/>
      <c r="K16" s="2085"/>
      <c r="L16" s="2086"/>
      <c r="M16" s="2086"/>
      <c r="N16" s="2087"/>
      <c r="O16" s="2086"/>
      <c r="P16" s="2087"/>
      <c r="Q16" s="2031"/>
      <c r="R16" s="2031"/>
    </row>
    <row r="17" spans="1:22" ht="18" customHeight="1">
      <c r="A17" s="2089" t="s">
        <v>1803</v>
      </c>
      <c r="B17" s="2037" t="s">
        <v>1804</v>
      </c>
      <c r="C17" s="1056">
        <f>'数据-汇总表'!E3</f>
        <v>589.49</v>
      </c>
      <c r="D17" s="2090" t="s">
        <v>1805</v>
      </c>
      <c r="E17" s="3025" t="s">
        <v>1806</v>
      </c>
      <c r="F17" s="3026"/>
      <c r="G17" s="3026"/>
      <c r="H17" s="3026"/>
      <c r="I17" s="3027"/>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028" t="s">
        <v>1809</v>
      </c>
      <c r="F18" s="3029"/>
      <c r="G18" s="3029"/>
      <c r="H18" s="3029"/>
      <c r="I18" s="3030"/>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015" t="s">
        <v>1814</v>
      </c>
      <c r="C20" s="3016"/>
      <c r="D20" s="3017" t="s">
        <v>1815</v>
      </c>
      <c r="E20" s="3018"/>
      <c r="F20" s="2100" t="s">
        <v>1816</v>
      </c>
      <c r="G20" s="2044"/>
      <c r="H20" s="2044"/>
      <c r="I20" s="2044"/>
      <c r="J20" s="2044"/>
      <c r="K20" s="3014"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01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01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02" t="s">
        <v>1829</v>
      </c>
      <c r="B27" s="2065" t="s">
        <v>1830</v>
      </c>
      <c r="C27" s="2122" t="s">
        <v>3057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02"/>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02"/>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03"/>
      <c r="B30" s="2037" t="s">
        <v>1833</v>
      </c>
      <c r="C30" s="3004"/>
      <c r="D30" s="3005"/>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06" t="s">
        <v>1834</v>
      </c>
      <c r="B31" s="2129" t="s">
        <v>3058</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07"/>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07"/>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001" t="s">
        <v>1843</v>
      </c>
      <c r="T34" s="2137" t="str">
        <f>NUMBERSTRING(7-K34,1)&amp;"通"</f>
        <v>七通</v>
      </c>
      <c r="U34" s="2031"/>
      <c r="V34" s="2031"/>
    </row>
    <row r="35" spans="1:22" ht="18" customHeight="1">
      <c r="A35" s="2138"/>
      <c r="B35" s="3008" t="s">
        <v>1844</v>
      </c>
      <c r="C35" s="3008"/>
      <c r="D35" s="3008"/>
      <c r="E35" s="3008"/>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1"/>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3059</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589.49</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589.49</v>
      </c>
      <c r="H5" s="16">
        <f t="shared" ref="H5:AT5" si="0">SUM(H13:H656)</f>
        <v>589.49</v>
      </c>
      <c r="I5" s="16">
        <f t="shared" si="0"/>
        <v>589.49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589.49</v>
      </c>
      <c r="BA5" s="18">
        <f t="shared" si="1"/>
        <v>589.49</v>
      </c>
      <c r="BB5" s="18">
        <f t="shared" si="1"/>
        <v>589.49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3061</v>
      </c>
      <c r="J9" s="983"/>
      <c r="K9" s="2194"/>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3282">
        <v>3004</v>
      </c>
      <c r="D13" s="2216" t="s">
        <v>3060</v>
      </c>
      <c r="E13" s="16">
        <f>IF($C$3="是",ROUND($A$3*G13/$B$3,2),ROUND($A$3*(G13-AT13)/$B$3,2))</f>
        <v>0</v>
      </c>
      <c r="F13" s="32"/>
      <c r="G13" s="33">
        <f>H13+AC13+AT13</f>
        <v>589.49</v>
      </c>
      <c r="H13" s="20">
        <f>SUMIF(I$12:AB$12,"总值",I13:AB13)</f>
        <v>589.49</v>
      </c>
      <c r="I13" s="2217">
        <v>589.49</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3004</v>
      </c>
      <c r="AY13" s="1808">
        <f>ROUND($AY$6*AZ13/$AZ$5,2)</f>
        <v>0</v>
      </c>
      <c r="AZ13" s="16">
        <f>BA13+BL13</f>
        <v>589.49</v>
      </c>
      <c r="BA13" s="16">
        <f>SUM(BB13:BK13)</f>
        <v>589.49</v>
      </c>
      <c r="BB13" s="16">
        <f>IF($D13="是",I13-J13,0)</f>
        <v>589.49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042" t="s">
        <v>1940</v>
      </c>
      <c r="B2" s="3042"/>
      <c r="C2" s="3042"/>
      <c r="D2" s="969" t="s">
        <v>1916</v>
      </c>
      <c r="E2" s="2230" t="s">
        <v>1917</v>
      </c>
      <c r="F2" s="1394"/>
      <c r="G2" s="2231"/>
      <c r="H2" s="2232"/>
      <c r="I2" s="2233" t="s">
        <v>1941</v>
      </c>
      <c r="J2" s="1394"/>
      <c r="K2" s="1394"/>
      <c r="L2" s="1394"/>
      <c r="M2" s="1394"/>
      <c r="N2" s="1429"/>
      <c r="O2" s="1394"/>
      <c r="P2" s="1394"/>
    </row>
    <row r="3" spans="1:16" ht="15.75" thickBot="1">
      <c r="A3" s="3043" t="s">
        <v>1914</v>
      </c>
      <c r="B3" s="3043"/>
      <c r="C3" s="3043"/>
      <c r="D3" s="46">
        <f>'数据-基础表'!AY6</f>
        <v>0</v>
      </c>
      <c r="E3" s="46">
        <f>'数据-基础表'!AZ5</f>
        <v>589.49</v>
      </c>
      <c r="F3" s="1394"/>
      <c r="G3" s="1401"/>
      <c r="H3" s="1249" t="s">
        <v>1915</v>
      </c>
      <c r="I3" s="55" t="e">
        <f>ROUND('数据-基础表'!B3/'数据-基础表'!A3,2)</f>
        <v>#DIV/0!</v>
      </c>
      <c r="J3" s="1394"/>
      <c r="K3" s="1394"/>
      <c r="L3" s="1394"/>
      <c r="M3" s="1394"/>
      <c r="N3" s="1429"/>
      <c r="O3" s="1394"/>
      <c r="P3" s="1394"/>
    </row>
    <row r="4" spans="1:16" ht="15">
      <c r="A4" s="3044"/>
      <c r="B4" s="3045"/>
      <c r="C4" s="3046"/>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047" t="s">
        <v>1919</v>
      </c>
      <c r="C5" s="3047"/>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047" t="s">
        <v>1920</v>
      </c>
      <c r="C6" s="3047"/>
      <c r="D6" s="48">
        <f>ROUND($D$3*E6/$E$3,2)</f>
        <v>0</v>
      </c>
      <c r="E6" s="49">
        <f>E3-E5</f>
        <v>589.49</v>
      </c>
      <c r="F6" s="1394"/>
      <c r="G6" s="2238" t="s">
        <v>1921</v>
      </c>
      <c r="H6" s="1401" t="s">
        <v>1922</v>
      </c>
      <c r="I6" s="941" t="e">
        <f>ROUND(F31/D31,2)</f>
        <v>#DIV/0!</v>
      </c>
      <c r="J6" s="1394"/>
      <c r="K6" s="1394"/>
      <c r="L6" s="1394"/>
      <c r="M6" s="1394"/>
      <c r="N6" s="1394"/>
      <c r="O6" s="1394"/>
      <c r="P6" s="1394"/>
    </row>
    <row r="7" spans="1:16" ht="15">
      <c r="A7" s="3039"/>
      <c r="B7" s="3040"/>
      <c r="C7" s="3041"/>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589.49</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589.49</v>
      </c>
      <c r="F16" s="1394"/>
      <c r="G16" s="2240"/>
      <c r="H16" s="2243" t="s">
        <v>1944</v>
      </c>
      <c r="I16" s="2244"/>
      <c r="J16" s="1394"/>
      <c r="K16" s="3036" t="s">
        <v>1944</v>
      </c>
      <c r="L16" s="3037"/>
      <c r="M16" s="3037"/>
      <c r="N16" s="3037"/>
      <c r="O16" s="3037"/>
      <c r="P16" s="3038"/>
    </row>
    <row r="17" spans="1:19" ht="15">
      <c r="A17" s="2245" t="s">
        <v>1945</v>
      </c>
      <c r="B17" s="2246" t="s">
        <v>1946</v>
      </c>
      <c r="C17" s="2247" t="s">
        <v>1947</v>
      </c>
      <c r="D17" s="2248" t="s">
        <v>1935</v>
      </c>
      <c r="E17" s="2249" t="s">
        <v>1936</v>
      </c>
      <c r="F17" s="2250"/>
      <c r="G17" s="2251"/>
      <c r="H17" s="2252" t="s">
        <v>1948</v>
      </c>
      <c r="I17" s="2253" t="s">
        <v>1933</v>
      </c>
      <c r="J17" s="1394"/>
      <c r="K17" s="3033" t="s">
        <v>1949</v>
      </c>
      <c r="L17" s="3034"/>
      <c r="M17" s="3035"/>
      <c r="N17" s="3033" t="s">
        <v>1950</v>
      </c>
      <c r="O17" s="3034"/>
      <c r="P17" s="3035"/>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3283" t="s">
        <v>3062</v>
      </c>
      <c r="D19" s="48">
        <f>ROUND($D$3*E19/$E$3,2)</f>
        <v>0</v>
      </c>
      <c r="E19" s="56">
        <f t="shared" ref="E19:E26" si="1">SUM(F19:G19)</f>
        <v>589.49</v>
      </c>
      <c r="F19" s="57">
        <f>'数据-基础表'!I13</f>
        <v>589.49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0</v>
      </c>
      <c r="S19" s="1250">
        <f t="shared" si="5"/>
        <v>589.49</v>
      </c>
    </row>
    <row r="20" spans="1:19">
      <c r="A20" s="2266"/>
      <c r="B20" s="50" t="s">
        <v>1962</v>
      </c>
      <c r="C20" s="2263"/>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1962</v>
      </c>
      <c r="C21" s="2263"/>
      <c r="D21" s="48">
        <f t="shared" si="6"/>
        <v>0</v>
      </c>
      <c r="E21" s="56">
        <f t="shared" si="1"/>
        <v>0</v>
      </c>
      <c r="F21" s="57"/>
      <c r="G21" s="58"/>
      <c r="H21" s="722">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1963</v>
      </c>
      <c r="D27" s="1395">
        <f>SUM(D19:D26)</f>
        <v>0</v>
      </c>
      <c r="E27" s="1396">
        <f>IF(SUM(E19:E26)='数据-基础表'!BA5,SUM(E19:E26),IF(F27="地上面积有误","面积有误","地下面积有误"))</f>
        <v>589.49</v>
      </c>
      <c r="F27" s="1395">
        <f>IF(SUM(F19:F26)=E8,SUM(F19:F26),"地上面积有误")</f>
        <v>589.49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589.49</v>
      </c>
    </row>
    <row r="28" spans="1:19">
      <c r="A28" s="2266"/>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1964</v>
      </c>
      <c r="C29" s="2270"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09" t="s">
        <v>1967</v>
      </c>
      <c r="D31" s="728">
        <f>D27+D30</f>
        <v>0</v>
      </c>
      <c r="E31" s="728">
        <f>E27+E30</f>
        <v>589.49</v>
      </c>
      <c r="F31" s="729">
        <f>F27+F30</f>
        <v>589.49</v>
      </c>
      <c r="G31" s="730">
        <f>G27+G30</f>
        <v>0</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33"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1"/>
      <c r="C1" s="1583"/>
      <c r="D1" s="2276"/>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1970</v>
      </c>
      <c r="B2" s="1268">
        <f>项目基本情况!D3</f>
        <v>43355</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1977</v>
      </c>
      <c r="B5" s="2293" t="s">
        <v>1978</v>
      </c>
      <c r="C5" s="2294" t="s">
        <v>1979</v>
      </c>
      <c r="D5" s="2295" t="s">
        <v>1980</v>
      </c>
      <c r="E5" s="1270" t="s">
        <v>1981</v>
      </c>
      <c r="F5" s="2296" t="s">
        <v>1982</v>
      </c>
      <c r="G5" s="1270" t="s">
        <v>1983</v>
      </c>
      <c r="H5" s="1270" t="s">
        <v>1984</v>
      </c>
      <c r="I5" s="1270" t="s">
        <v>1985</v>
      </c>
      <c r="J5" s="2297" t="s">
        <v>1986</v>
      </c>
      <c r="K5" s="2298" t="s">
        <v>1987</v>
      </c>
      <c r="L5" s="2299" t="s">
        <v>1988</v>
      </c>
      <c r="M5" s="2300" t="s">
        <v>1989</v>
      </c>
      <c r="N5" s="2301" t="s">
        <v>3063</v>
      </c>
      <c r="O5" s="2299" t="s">
        <v>1990</v>
      </c>
      <c r="P5" s="2302" t="s">
        <v>1991</v>
      </c>
      <c r="Q5" s="69" t="s">
        <v>1992</v>
      </c>
      <c r="R5" s="2303" t="s">
        <v>1993</v>
      </c>
      <c r="S5" s="2304" t="s">
        <v>1994</v>
      </c>
      <c r="T5" s="2305" t="s">
        <v>1995</v>
      </c>
      <c r="U5" s="1269" t="s">
        <v>1996</v>
      </c>
      <c r="V5" s="1270" t="s">
        <v>1997</v>
      </c>
      <c r="W5" s="1270" t="s">
        <v>1998</v>
      </c>
      <c r="X5" s="71"/>
      <c r="Y5" s="70" t="s">
        <v>1999</v>
      </c>
      <c r="Z5" s="2306" t="s">
        <v>1996</v>
      </c>
      <c r="AA5" s="1270" t="s">
        <v>1997</v>
      </c>
      <c r="AB5" s="1270" t="s">
        <v>1998</v>
      </c>
      <c r="AC5" s="71"/>
      <c r="AD5" s="71" t="s">
        <v>1999</v>
      </c>
      <c r="AE5" s="1269" t="s">
        <v>2000</v>
      </c>
      <c r="AF5" s="1270" t="s">
        <v>2001</v>
      </c>
      <c r="AG5" s="70" t="s">
        <v>2002</v>
      </c>
      <c r="AH5" s="1269" t="s">
        <v>2003</v>
      </c>
      <c r="AI5" s="2306" t="s">
        <v>2004</v>
      </c>
      <c r="AJ5" s="2306" t="s">
        <v>2005</v>
      </c>
      <c r="AK5" s="1270" t="s">
        <v>2006</v>
      </c>
      <c r="AL5" s="1270" t="s">
        <v>2007</v>
      </c>
      <c r="AM5" s="70" t="s">
        <v>2008</v>
      </c>
      <c r="AN5" s="2307" t="s">
        <v>2009</v>
      </c>
      <c r="AO5" s="2077" t="s">
        <v>2010</v>
      </c>
      <c r="AP5" s="1251"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办公</v>
      </c>
      <c r="B6" s="2310" t="str">
        <f>IF(A6=0,"","经营性")</f>
        <v>经营性</v>
      </c>
      <c r="C6" s="2311" t="s">
        <v>27</v>
      </c>
      <c r="D6" s="1053">
        <f>SUMIF(项目基本情况!D$12:I$12,C6,项目基本情况!D$14:I$14)</f>
        <v>50</v>
      </c>
      <c r="E6" s="1050">
        <f>IF(B6="","",SUMIF(项目基本情况!D$12:I$12,C6,项目基本情况!D$13:I$13))</f>
        <v>58247</v>
      </c>
      <c r="F6" s="72">
        <f>SUMIF(项目基本情况!D$12:I$12,C6,项目基本情况!D$15:I$15)</f>
        <v>40.799999999999997</v>
      </c>
      <c r="G6" s="73">
        <f>IF(ISERROR(ROUND(POWER(1+H6,D6-F6)*(POWER(1+H6,F6)-1)/(POWER(1+H6,D6)-1),3)),0,ROUND(POWER(1+H6,D6-F6)*(POWER(1+H6,F6)-1)/(POWER(1+H6,D6)-1),3))</f>
        <v>0.94599999999999995</v>
      </c>
      <c r="H6" s="801">
        <v>0.05</v>
      </c>
      <c r="I6" s="801">
        <v>5.5E-2</v>
      </c>
      <c r="J6" s="74">
        <v>8.5000000000000006E-2</v>
      </c>
      <c r="K6" s="1253">
        <f>SUMIF('数据-汇总表'!C$19:C$33,A6,'数据-汇总表'!E$19:E$33)</f>
        <v>589.49</v>
      </c>
      <c r="L6" s="802">
        <v>3500</v>
      </c>
      <c r="M6" s="75">
        <f t="shared" ref="M6:M14" si="0">ROUND(K6*L6/10000,0)</f>
        <v>206</v>
      </c>
      <c r="N6" s="800">
        <v>1</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(租金)'!C49</f>
        <v>5.5</v>
      </c>
      <c r="V6" s="79">
        <v>3.5000000000000003E-2</v>
      </c>
      <c r="W6" s="79">
        <v>0.1</v>
      </c>
      <c r="X6" s="1263"/>
      <c r="Y6" s="80">
        <v>1</v>
      </c>
      <c r="Z6" s="81"/>
      <c r="AA6" s="74"/>
      <c r="AB6" s="74"/>
      <c r="AC6" s="1263"/>
      <c r="AD6" s="82"/>
      <c r="AE6" s="1264">
        <f ca="1">IF(AN6="",0,SUMIF(INDIRECT("'"&amp;AN6&amp;"'"&amp;"!E:E"),$AE$5,INDIRECT("'"&amp;AN6&amp;"'"&amp;"!F:F")))</f>
        <v>40.799999999999997</v>
      </c>
      <c r="AF6" s="1806"/>
      <c r="AG6" s="146">
        <f>IF(AF6="",0,AE6-AF6)</f>
        <v>0</v>
      </c>
      <c r="AH6" s="83"/>
      <c r="AI6" s="85">
        <v>365</v>
      </c>
      <c r="AJ6" s="86"/>
      <c r="AK6" s="87">
        <v>1.4999999999999999E-2</v>
      </c>
      <c r="AL6" s="88">
        <v>1.5E-3</v>
      </c>
      <c r="AM6" s="89">
        <v>0.02</v>
      </c>
      <c r="AN6" s="2312" t="s">
        <v>3064</v>
      </c>
      <c r="AO6" s="55">
        <f ca="1">SUMIF(INDIRECT("'"&amp;AN6&amp;"'"&amp;"!A:A"),"总价",INDIRECT("'"&amp;AN6&amp;"'"&amp;"!B:B"))</f>
        <v>2197</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2014</v>
      </c>
      <c r="B14" s="2310" t="s">
        <v>2015</v>
      </c>
      <c r="C14" s="2315"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2016</v>
      </c>
      <c r="B15" s="2310" t="s">
        <v>2015</v>
      </c>
      <c r="C15" s="2315"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2018</v>
      </c>
      <c r="B16" s="97"/>
      <c r="C16" s="1007"/>
      <c r="D16" s="2317"/>
      <c r="E16" s="97"/>
      <c r="F16" s="97"/>
      <c r="G16" s="98">
        <f>ROUND(SUMPRODUCT(G6:G13,K6:K13)/SUMPRODUCT((G6:G13&gt;0)*(K6:K13)),3)</f>
        <v>0.94599999999999995</v>
      </c>
      <c r="H16" s="99">
        <f>ROUND(SUMPRODUCT(H6:H13,K6:K13)/SUMPRODUCT((H6:H13&gt;0)*(K6:K13)),3)</f>
        <v>0.05</v>
      </c>
      <c r="I16" s="100"/>
      <c r="J16" s="100"/>
      <c r="K16" s="101">
        <f>SUM(K6:K15)</f>
        <v>589.49</v>
      </c>
      <c r="L16" s="102">
        <f>ROUND(M16*10000/SUM(K6:K14),0)</f>
        <v>3495</v>
      </c>
      <c r="M16" s="102">
        <f>SUM(M6:M14)</f>
        <v>206</v>
      </c>
      <c r="N16" s="103">
        <f>ROUND(SUMPRODUCT(M6:M14,N6:N14)/M16,3)</f>
        <v>1</v>
      </c>
      <c r="O16" s="102">
        <f>SUM(O6:O14)</f>
        <v>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1"/>
      <c r="C17" s="1583"/>
      <c r="D17" s="2276"/>
      <c r="E17" s="2276"/>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3"/>
      <c r="C18" s="2280"/>
      <c r="D18" s="2281"/>
      <c r="E18" s="2280"/>
      <c r="F18" s="2280"/>
      <c r="G18" s="2280"/>
      <c r="H18" s="2280"/>
      <c r="I18" s="2280"/>
      <c r="J18" s="2280"/>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2020</v>
      </c>
      <c r="B19" s="112">
        <v>0</v>
      </c>
      <c r="C19" s="2280" t="s">
        <v>2021</v>
      </c>
      <c r="D19" s="2281"/>
      <c r="E19" s="2280"/>
      <c r="F19" s="2280"/>
      <c r="G19" s="2280"/>
      <c r="H19" s="2280"/>
      <c r="I19" s="2280"/>
      <c r="J19" s="2280"/>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2022</v>
      </c>
      <c r="B20" s="113">
        <v>2</v>
      </c>
      <c r="C20" s="2280" t="s">
        <v>2023</v>
      </c>
      <c r="D20" s="2281"/>
      <c r="E20" s="2280"/>
      <c r="F20" s="2280"/>
      <c r="G20" s="2280"/>
      <c r="H20" s="2280"/>
      <c r="I20" s="2280"/>
      <c r="J20" s="2280"/>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2024</v>
      </c>
      <c r="B21" s="113">
        <v>2</v>
      </c>
      <c r="C21" s="2280"/>
      <c r="D21" s="2281"/>
      <c r="E21" s="2280"/>
      <c r="F21" s="2280"/>
      <c r="G21" s="2280"/>
      <c r="H21" s="2280"/>
      <c r="I21" s="2280"/>
      <c r="J21" s="2280"/>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2025</v>
      </c>
      <c r="B22" s="114">
        <f>B19+B20</f>
        <v>2</v>
      </c>
      <c r="C22" s="2280"/>
      <c r="D22" s="2281"/>
      <c r="E22" s="2280"/>
      <c r="F22" s="2280"/>
      <c r="G22" s="2280"/>
      <c r="H22" s="2280"/>
      <c r="I22" s="2280"/>
      <c r="J22" s="2280"/>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2026</v>
      </c>
      <c r="B23" s="114">
        <f>B19+B21</f>
        <v>2</v>
      </c>
      <c r="C23" s="2280"/>
      <c r="D23" s="2281"/>
      <c r="E23" s="2280"/>
      <c r="F23" s="2280"/>
      <c r="G23" s="2280"/>
      <c r="H23" s="2280"/>
      <c r="I23" s="2280"/>
      <c r="J23" s="2280"/>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2027</v>
      </c>
      <c r="B24" s="115">
        <f>B20-B21</f>
        <v>0</v>
      </c>
      <c r="C24" s="2280"/>
      <c r="D24" s="2281"/>
      <c r="E24" s="2280"/>
      <c r="F24" s="2280"/>
      <c r="G24" s="2280"/>
      <c r="H24" s="2280"/>
      <c r="I24" s="2280"/>
      <c r="J24" s="2280"/>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2028</v>
      </c>
      <c r="B26" s="2323" t="s">
        <v>2029</v>
      </c>
      <c r="C26" s="2324" t="s">
        <v>2030</v>
      </c>
      <c r="D26" s="2281"/>
      <c r="E26" s="2280"/>
      <c r="F26" s="2280"/>
      <c r="G26" s="2280"/>
      <c r="H26" s="2280"/>
      <c r="I26" s="2280"/>
      <c r="J26" s="2280"/>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2031</v>
      </c>
      <c r="B27" s="116">
        <v>0</v>
      </c>
      <c r="C27" s="1766" t="s">
        <v>2032</v>
      </c>
      <c r="D27" s="2326"/>
      <c r="E27" s="1429"/>
      <c r="F27" s="1429"/>
      <c r="G27" s="2280"/>
      <c r="H27" s="2280"/>
      <c r="I27" s="2280"/>
      <c r="J27" s="2280"/>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7" customFormat="1" ht="27.75">
      <c r="A28" s="2328" t="s">
        <v>2033</v>
      </c>
      <c r="B28" s="119">
        <v>0</v>
      </c>
      <c r="C28" s="2329"/>
      <c r="D28" s="2326"/>
      <c r="E28" s="1429"/>
      <c r="F28" s="1429"/>
      <c r="G28" s="2280"/>
      <c r="H28" s="2280"/>
      <c r="I28" s="2280"/>
      <c r="J28" s="2280"/>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7" customFormat="1" ht="28.5" thickBot="1">
      <c r="A29" s="2330" t="s">
        <v>2034</v>
      </c>
      <c r="B29" s="121"/>
      <c r="C29" s="1766" t="s">
        <v>2035</v>
      </c>
      <c r="D29" s="2326"/>
      <c r="E29" s="1429"/>
      <c r="F29" s="1429"/>
      <c r="G29" s="2280"/>
      <c r="H29" s="2280"/>
      <c r="I29" s="2280"/>
      <c r="J29" s="2280"/>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7" customFormat="1" ht="27">
      <c r="A30" s="2331" t="s">
        <v>2036</v>
      </c>
      <c r="B30" s="723">
        <v>200</v>
      </c>
      <c r="C30" s="2329"/>
      <c r="D30" s="2326"/>
      <c r="E30" s="1429"/>
      <c r="F30" s="1429"/>
      <c r="G30" s="2280"/>
      <c r="H30" s="2280"/>
      <c r="I30" s="2280"/>
      <c r="J30" s="2280"/>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7" customFormat="1" ht="27">
      <c r="A31" s="2328" t="s">
        <v>2037</v>
      </c>
      <c r="B31" s="120">
        <f>B30-B32</f>
        <v>200</v>
      </c>
      <c r="C31" s="1766"/>
      <c r="D31" s="2326"/>
      <c r="E31" s="1429"/>
      <c r="F31" s="1429"/>
      <c r="G31" s="2280"/>
      <c r="H31" s="2280"/>
      <c r="I31" s="2280"/>
      <c r="J31" s="2280"/>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7" customFormat="1" ht="27.75" thickBot="1">
      <c r="A32" s="2332" t="s">
        <v>2038</v>
      </c>
      <c r="B32" s="724">
        <v>0</v>
      </c>
      <c r="C32" s="2329"/>
      <c r="D32" s="2281"/>
      <c r="E32" s="2280"/>
      <c r="F32" s="2280"/>
      <c r="G32" s="2280"/>
      <c r="H32" s="2280"/>
      <c r="I32" s="2280"/>
      <c r="J32" s="2280"/>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7" customFormat="1" ht="14.25">
      <c r="A33" s="2325" t="s">
        <v>2039</v>
      </c>
      <c r="B33" s="725">
        <v>0.03</v>
      </c>
      <c r="C33" s="1765" t="s">
        <v>2040</v>
      </c>
      <c r="D33" s="2281"/>
      <c r="E33" s="2280"/>
      <c r="F33" s="2280"/>
      <c r="G33" s="2280"/>
      <c r="H33" s="2280"/>
      <c r="I33" s="2280"/>
      <c r="J33" s="2280"/>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7" customFormat="1" ht="14.25">
      <c r="A34" s="2328" t="s">
        <v>2041</v>
      </c>
      <c r="B34" s="122">
        <v>0.03</v>
      </c>
      <c r="C34" s="1765" t="s">
        <v>2042</v>
      </c>
      <c r="D34" s="2281" t="s">
        <v>2043</v>
      </c>
      <c r="E34" s="731"/>
      <c r="F34" s="2280"/>
      <c r="G34" s="2280"/>
      <c r="H34" s="2280"/>
      <c r="I34" s="2280"/>
      <c r="J34" s="2280"/>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7" customFormat="1" ht="14.25">
      <c r="A35" s="2328" t="s">
        <v>2044</v>
      </c>
      <c r="B35" s="119">
        <v>200</v>
      </c>
      <c r="C35" s="1765" t="s">
        <v>2045</v>
      </c>
      <c r="D35" s="2326"/>
      <c r="E35" s="1429"/>
      <c r="F35" s="1429"/>
      <c r="G35" s="2280"/>
      <c r="H35" s="2280"/>
      <c r="I35" s="2280"/>
      <c r="J35" s="2280"/>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30" t="s">
        <v>2046</v>
      </c>
      <c r="B36" s="123">
        <v>1.4999999999999999E-2</v>
      </c>
      <c r="C36" s="1765" t="s">
        <v>2047</v>
      </c>
      <c r="D36" s="2281"/>
      <c r="E36" s="2280"/>
      <c r="F36" s="2280"/>
      <c r="G36" s="2280"/>
      <c r="H36" s="2280"/>
      <c r="I36" s="2280"/>
      <c r="J36" s="2280"/>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2048</v>
      </c>
      <c r="B37" s="3284">
        <v>0.03</v>
      </c>
      <c r="C37" s="1765" t="s">
        <v>2049</v>
      </c>
      <c r="D37" s="2281"/>
      <c r="E37" s="2280"/>
      <c r="F37" s="2280"/>
      <c r="G37" s="2280"/>
      <c r="H37" s="2280"/>
      <c r="I37" s="2280"/>
      <c r="J37" s="2280"/>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2050</v>
      </c>
      <c r="B38" s="122">
        <v>0.03</v>
      </c>
      <c r="C38" s="1765" t="s">
        <v>2049</v>
      </c>
      <c r="D38" s="2281"/>
      <c r="E38" s="2280"/>
      <c r="F38" s="2280"/>
      <c r="G38" s="2280"/>
      <c r="H38" s="2280"/>
      <c r="I38" s="2280"/>
      <c r="J38" s="2280"/>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2051</v>
      </c>
      <c r="B39" s="361">
        <f ca="1">存贷款利率!I1</f>
        <v>1.4999999999999999E-2</v>
      </c>
      <c r="C39" s="1765"/>
      <c r="D39" s="2281"/>
      <c r="E39" s="2280"/>
      <c r="F39" s="2280"/>
      <c r="G39" s="2280"/>
      <c r="H39" s="2280"/>
      <c r="I39" s="2280"/>
      <c r="J39" s="2280"/>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2052</v>
      </c>
      <c r="B40" s="1302">
        <f ca="1">存贷款利率!G1</f>
        <v>4.7500000000000001E-2</v>
      </c>
      <c r="C40" s="1765" t="s">
        <v>2053</v>
      </c>
      <c r="D40" s="1583"/>
      <c r="E40" s="2281"/>
      <c r="F40" s="2280"/>
      <c r="G40" s="2280"/>
      <c r="H40" s="2280"/>
      <c r="I40" s="2280"/>
      <c r="J40" s="2280"/>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2054</v>
      </c>
      <c r="B41" s="124">
        <f>B42+B43</f>
        <v>5.5000000000000007E-2</v>
      </c>
      <c r="C41" s="1766"/>
      <c r="D41" s="1583"/>
      <c r="E41" s="2281"/>
      <c r="F41" s="2280"/>
      <c r="G41" s="2280"/>
      <c r="H41" s="2280"/>
      <c r="I41" s="2280"/>
      <c r="J41" s="2280"/>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2055</v>
      </c>
      <c r="B42" s="125">
        <v>0.05</v>
      </c>
      <c r="C42" s="2334">
        <f>IF(B2&lt;DATE(2016,5,1),0,B42)</f>
        <v>0.05</v>
      </c>
      <c r="D42" s="2281"/>
      <c r="E42" s="2280"/>
      <c r="F42" s="2280"/>
      <c r="G42" s="2280"/>
      <c r="H42" s="2280"/>
      <c r="I42" s="2280"/>
      <c r="J42" s="2280"/>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2056</v>
      </c>
      <c r="B43" s="126">
        <f>B42*(B44+B45+B46)+B47</f>
        <v>5.000000000000001E-3</v>
      </c>
      <c r="C43" s="1766"/>
      <c r="D43" s="2281"/>
      <c r="E43" s="2280"/>
      <c r="F43" s="2280"/>
      <c r="G43" s="2280"/>
      <c r="H43" s="2280"/>
      <c r="I43" s="2280"/>
      <c r="J43" s="2280"/>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2057</v>
      </c>
      <c r="B44" s="127">
        <v>0.05</v>
      </c>
      <c r="C44" s="1765" t="s">
        <v>2058</v>
      </c>
      <c r="D44" s="2281"/>
      <c r="E44" s="2280"/>
      <c r="F44" s="2280"/>
      <c r="G44" s="2280"/>
      <c r="H44" s="2280"/>
      <c r="I44" s="2280"/>
      <c r="J44" s="2280"/>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2059</v>
      </c>
      <c r="B45" s="125">
        <v>0.03</v>
      </c>
      <c r="C45" s="1766" t="s">
        <v>2060</v>
      </c>
      <c r="D45" s="2281"/>
      <c r="E45" s="2280"/>
      <c r="F45" s="2280"/>
      <c r="G45" s="2280"/>
      <c r="H45" s="2280"/>
      <c r="I45" s="2280"/>
      <c r="J45" s="2280"/>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2061</v>
      </c>
      <c r="B46" s="125">
        <v>0.02</v>
      </c>
      <c r="C46" s="1766" t="s">
        <v>2062</v>
      </c>
      <c r="D46" s="2281"/>
      <c r="E46" s="2280"/>
      <c r="F46" s="2280"/>
      <c r="G46" s="2280"/>
      <c r="H46" s="2280"/>
      <c r="I46" s="2280"/>
      <c r="J46" s="2280"/>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2063</v>
      </c>
      <c r="B47" s="128"/>
      <c r="C47" s="1766" t="s">
        <v>2064</v>
      </c>
      <c r="D47" s="2281"/>
      <c r="E47" s="2280"/>
      <c r="F47" s="2280"/>
      <c r="G47" s="2280"/>
      <c r="H47" s="2280"/>
      <c r="I47" s="2280"/>
      <c r="J47" s="2280"/>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2065</v>
      </c>
      <c r="B48" s="129">
        <v>0.03</v>
      </c>
      <c r="C48" s="1773" t="s">
        <v>2066</v>
      </c>
      <c r="D48" s="2281"/>
      <c r="E48" s="2280"/>
      <c r="F48" s="2280"/>
      <c r="G48" s="2280"/>
      <c r="H48" s="2280"/>
      <c r="I48" s="2280"/>
      <c r="J48" s="2280"/>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2067</v>
      </c>
      <c r="B49" s="125">
        <v>5.0000000000000001E-4</v>
      </c>
      <c r="C49" s="1773" t="s">
        <v>2068</v>
      </c>
      <c r="D49" s="2281"/>
      <c r="E49" s="2280"/>
      <c r="F49" s="2280"/>
      <c r="G49" s="2280"/>
      <c r="H49" s="2280"/>
      <c r="I49" s="2280"/>
      <c r="J49" s="2280"/>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2069</v>
      </c>
      <c r="B50" s="130">
        <v>1.2E-2</v>
      </c>
      <c r="C50" s="1429"/>
      <c r="D50" s="2281"/>
      <c r="E50" s="2280"/>
      <c r="F50" s="2280"/>
      <c r="G50" s="2280"/>
      <c r="H50" s="2280"/>
      <c r="I50" s="2280"/>
      <c r="J50" s="2280"/>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2070</v>
      </c>
      <c r="B51" s="131">
        <v>0.12</v>
      </c>
      <c r="C51" s="1429"/>
      <c r="D51" s="2281"/>
      <c r="E51" s="2280"/>
      <c r="F51" s="2280"/>
      <c r="G51" s="2280"/>
      <c r="H51" s="2280"/>
      <c r="I51" s="2280"/>
      <c r="J51" s="2280"/>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2071</v>
      </c>
      <c r="B52" s="132">
        <f>SUMIF(A54:A63,B53,B54:B63)</f>
        <v>1.5</v>
      </c>
      <c r="C52" s="1429"/>
      <c r="D52" s="2281"/>
      <c r="E52" s="2280"/>
      <c r="F52" s="2280"/>
      <c r="G52" s="2280"/>
      <c r="H52" s="2280"/>
      <c r="I52" s="2280"/>
      <c r="J52" s="2280"/>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2072</v>
      </c>
      <c r="B53" s="2339" t="s">
        <v>56</v>
      </c>
      <c r="C53" s="1429" t="s">
        <v>2073</v>
      </c>
      <c r="D53" s="2340" t="s">
        <v>2074</v>
      </c>
      <c r="E53" s="2280"/>
      <c r="F53" s="2280"/>
      <c r="G53" s="2280"/>
      <c r="H53" s="2280"/>
      <c r="I53" s="2280"/>
      <c r="J53" s="2280"/>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2075</v>
      </c>
      <c r="B54" s="84"/>
      <c r="C54" s="1429">
        <v>30</v>
      </c>
      <c r="D54" s="2281"/>
      <c r="E54" s="2280"/>
      <c r="F54" s="2280"/>
      <c r="G54" s="2280"/>
      <c r="H54" s="2280"/>
      <c r="I54" s="2280"/>
      <c r="J54" s="2280"/>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2076</v>
      </c>
      <c r="B55" s="84"/>
      <c r="C55" s="1429">
        <v>24</v>
      </c>
      <c r="D55" s="2281"/>
      <c r="E55" s="2280"/>
      <c r="F55" s="2280"/>
      <c r="G55" s="2280"/>
      <c r="H55" s="2280"/>
      <c r="I55" s="2342"/>
      <c r="J55" s="2280"/>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2077</v>
      </c>
      <c r="B56" s="84"/>
      <c r="C56" s="1429">
        <v>18</v>
      </c>
      <c r="D56" s="2281"/>
      <c r="E56" s="2280"/>
      <c r="F56" s="2280"/>
      <c r="G56" s="2280"/>
      <c r="H56" s="2280"/>
      <c r="I56" s="2280"/>
      <c r="J56" s="2280"/>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2078</v>
      </c>
      <c r="B57" s="84"/>
      <c r="C57" s="1429">
        <v>12</v>
      </c>
      <c r="D57" s="2281"/>
      <c r="E57" s="2280"/>
      <c r="F57" s="2280"/>
      <c r="G57" s="2280"/>
      <c r="H57" s="2280"/>
      <c r="I57" s="2280"/>
      <c r="J57" s="2280"/>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2079</v>
      </c>
      <c r="B58" s="84"/>
      <c r="C58" s="1429">
        <v>3</v>
      </c>
      <c r="D58" s="2281"/>
      <c r="E58" s="2280"/>
      <c r="F58" s="2280"/>
      <c r="G58" s="2280"/>
      <c r="H58" s="2280"/>
      <c r="I58" s="2280"/>
      <c r="J58" s="2280"/>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2080</v>
      </c>
      <c r="B59" s="84">
        <v>1.5</v>
      </c>
      <c r="C59" s="1429">
        <v>1.5</v>
      </c>
      <c r="D59" s="2281"/>
      <c r="E59" s="2280"/>
      <c r="F59" s="2280"/>
      <c r="G59" s="2280"/>
      <c r="H59" s="2280"/>
      <c r="I59" s="2280"/>
      <c r="J59" s="2280"/>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2081</v>
      </c>
      <c r="B60" s="84"/>
      <c r="C60" s="2280"/>
      <c r="D60" s="2281"/>
      <c r="E60" s="2280"/>
      <c r="F60" s="2280"/>
      <c r="G60" s="2280"/>
      <c r="H60" s="2280"/>
      <c r="I60" s="2280"/>
      <c r="J60" s="2280"/>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2082</v>
      </c>
      <c r="B61" s="84"/>
      <c r="C61" s="2280"/>
      <c r="D61" s="2281"/>
      <c r="E61" s="2280"/>
      <c r="F61" s="2280"/>
      <c r="G61" s="2280"/>
      <c r="H61" s="2280"/>
      <c r="I61" s="2280"/>
      <c r="J61" s="2280"/>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2083</v>
      </c>
      <c r="B62" s="84"/>
      <c r="C62" s="2280"/>
      <c r="D62" s="2281"/>
      <c r="E62" s="2280"/>
      <c r="F62" s="2280"/>
      <c r="G62" s="2280"/>
      <c r="H62" s="2280"/>
      <c r="I62" s="2280"/>
      <c r="J62" s="2280"/>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2084</v>
      </c>
      <c r="B63" s="133"/>
      <c r="C63" s="2280"/>
      <c r="D63" s="2281"/>
      <c r="E63" s="2280"/>
      <c r="F63" s="2280"/>
      <c r="G63" s="2280"/>
      <c r="H63" s="2280"/>
      <c r="I63" s="2280"/>
      <c r="J63" s="2280"/>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4"/>
      <c r="D64" s="2345"/>
      <c r="K64" s="797"/>
      <c r="L64" s="797"/>
    </row>
    <row r="65" spans="1:12" s="966" customFormat="1">
      <c r="A65" s="2344"/>
      <c r="D65" s="2345"/>
      <c r="K65" s="797"/>
      <c r="L65" s="797"/>
    </row>
    <row r="66" spans="1:12" s="966" customFormat="1">
      <c r="A66" s="2344"/>
      <c r="D66" s="2345"/>
      <c r="K66" s="797"/>
      <c r="L66" s="797"/>
    </row>
    <row r="67" spans="1:12" s="966" customFormat="1">
      <c r="A67" s="2344"/>
      <c r="D67" s="2345"/>
      <c r="K67" s="797"/>
      <c r="L67" s="797"/>
    </row>
    <row r="68" spans="1:12" s="966" customFormat="1">
      <c r="A68" s="2344"/>
      <c r="D68" s="2345"/>
      <c r="K68" s="797"/>
      <c r="L68" s="797"/>
    </row>
    <row r="69" spans="1:12" s="966" customFormat="1">
      <c r="A69" s="2344"/>
      <c r="D69" s="2345"/>
      <c r="K69" s="797"/>
      <c r="L69" s="797"/>
    </row>
    <row r="70" spans="1:12" s="966" customFormat="1">
      <c r="A70" s="2344"/>
      <c r="D70" s="2345"/>
      <c r="K70" s="797"/>
      <c r="L70" s="797"/>
    </row>
    <row r="71" spans="1:12" s="966" customFormat="1">
      <c r="A71" s="2344"/>
      <c r="D71" s="2345"/>
      <c r="K71" s="797"/>
      <c r="L71" s="797"/>
    </row>
    <row r="72" spans="1:12" s="966" customFormat="1">
      <c r="A72" s="2344"/>
      <c r="D72" s="2345"/>
      <c r="K72" s="797"/>
      <c r="L72" s="797"/>
    </row>
    <row r="73" spans="1:12" s="966" customFormat="1">
      <c r="A73" s="2344"/>
      <c r="D73" s="2345"/>
      <c r="K73" s="797"/>
      <c r="L73" s="797"/>
    </row>
    <row r="74" spans="1:12" s="966" customFormat="1">
      <c r="A74" s="2344"/>
      <c r="D74" s="2345"/>
      <c r="K74" s="797"/>
      <c r="L74" s="797"/>
    </row>
    <row r="75" spans="1:12" s="966" customFormat="1">
      <c r="A75" s="2344"/>
      <c r="D75" s="2345"/>
      <c r="K75" s="797"/>
      <c r="L75" s="797"/>
    </row>
    <row r="76" spans="1:12" s="966" customFormat="1">
      <c r="A76" s="2344"/>
      <c r="D76" s="2345"/>
      <c r="K76" s="797"/>
      <c r="L76" s="797"/>
    </row>
    <row r="77" spans="1:12" s="966" customFormat="1">
      <c r="A77" s="2344"/>
      <c r="D77" s="2345"/>
      <c r="K77" s="797"/>
      <c r="L77" s="797"/>
    </row>
    <row r="78" spans="1:12" s="966" customFormat="1">
      <c r="A78" s="2344"/>
      <c r="D78" s="2345"/>
      <c r="K78" s="797"/>
      <c r="L78" s="797"/>
    </row>
    <row r="79" spans="1:12" s="966" customFormat="1">
      <c r="A79" s="2344"/>
      <c r="D79" s="2345"/>
      <c r="K79" s="797"/>
      <c r="L79" s="797"/>
    </row>
    <row r="80" spans="1:12" s="966" customFormat="1">
      <c r="A80" s="2344"/>
      <c r="D80" s="2345"/>
      <c r="K80" s="797"/>
      <c r="L80" s="797"/>
    </row>
    <row r="81" spans="1:12" s="966" customFormat="1">
      <c r="A81" s="2344"/>
      <c r="D81" s="2345"/>
      <c r="K81" s="797"/>
      <c r="L81" s="797"/>
    </row>
    <row r="82" spans="1:12" s="966" customFormat="1">
      <c r="A82" s="2344"/>
      <c r="D82" s="2345"/>
      <c r="K82" s="797"/>
      <c r="L82" s="797"/>
    </row>
    <row r="83" spans="1:12" s="966" customFormat="1">
      <c r="A83" s="2344"/>
      <c r="D83" s="2345"/>
      <c r="K83" s="797"/>
      <c r="L83" s="797"/>
    </row>
    <row r="84" spans="1:12" s="966" customFormat="1">
      <c r="A84" s="2344"/>
      <c r="D84" s="2345"/>
      <c r="K84" s="797"/>
      <c r="L84" s="797"/>
    </row>
    <row r="85" spans="1:12" s="966" customFormat="1">
      <c r="A85" s="2344"/>
      <c r="D85" s="2345"/>
      <c r="K85" s="797"/>
      <c r="L85" s="797"/>
    </row>
    <row r="86" spans="1:12" s="966" customFormat="1">
      <c r="A86" s="2344"/>
      <c r="D86" s="2345"/>
      <c r="K86" s="797"/>
      <c r="L86" s="797"/>
    </row>
    <row r="87" spans="1:12" s="966" customFormat="1">
      <c r="A87" s="2344"/>
      <c r="D87" s="2345"/>
      <c r="K87" s="797"/>
      <c r="L87" s="797"/>
    </row>
    <row r="88" spans="1:12" s="966" customFormat="1">
      <c r="A88" s="2344"/>
      <c r="D88" s="2345"/>
      <c r="K88" s="797"/>
      <c r="L88" s="797"/>
    </row>
    <row r="89" spans="1:12" s="966" customFormat="1">
      <c r="A89" s="2344"/>
      <c r="D89" s="2345"/>
      <c r="K89" s="797"/>
      <c r="L89" s="797"/>
    </row>
    <row r="90" spans="1:12" s="966" customFormat="1">
      <c r="A90" s="2344"/>
      <c r="D90" s="2345"/>
      <c r="K90" s="797"/>
      <c r="L90" s="797"/>
    </row>
    <row r="91" spans="1:12" s="966" customFormat="1">
      <c r="A91" s="2344"/>
      <c r="D91" s="2345"/>
      <c r="K91" s="797"/>
      <c r="L91" s="797"/>
    </row>
    <row r="92" spans="1:12" s="966" customFormat="1">
      <c r="A92" s="2344"/>
      <c r="D92" s="2345"/>
      <c r="K92" s="797"/>
      <c r="L92" s="797"/>
    </row>
    <row r="93" spans="1:12" s="966" customFormat="1">
      <c r="A93" s="2344"/>
      <c r="D93" s="2345"/>
      <c r="K93" s="797"/>
      <c r="L93" s="797"/>
    </row>
    <row r="94" spans="1:12" s="966" customFormat="1">
      <c r="A94" s="2344"/>
      <c r="D94" s="2345"/>
      <c r="K94" s="797"/>
      <c r="L94" s="797"/>
    </row>
    <row r="95" spans="1:12" s="966" customFormat="1">
      <c r="A95" s="2344"/>
      <c r="D95" s="2345"/>
      <c r="K95" s="797"/>
      <c r="L95" s="797"/>
    </row>
    <row r="96" spans="1:12" s="966" customFormat="1">
      <c r="A96" s="2344"/>
      <c r="D96" s="2345"/>
      <c r="K96" s="797"/>
      <c r="L96" s="797"/>
    </row>
    <row r="97" spans="1:12" s="966" customFormat="1">
      <c r="A97" s="2344"/>
      <c r="D97" s="2345"/>
      <c r="K97" s="797"/>
      <c r="L97" s="797"/>
    </row>
    <row r="98" spans="1:12" s="966" customFormat="1">
      <c r="A98" s="2344"/>
      <c r="D98" s="2345"/>
      <c r="K98" s="797"/>
      <c r="L98" s="797"/>
    </row>
    <row r="99" spans="1:12" s="966" customFormat="1">
      <c r="A99" s="2344"/>
      <c r="D99" s="2345"/>
      <c r="K99" s="797"/>
      <c r="L99" s="797"/>
    </row>
    <row r="100" spans="1:12" s="966" customFormat="1">
      <c r="A100" s="2344"/>
      <c r="D100" s="2345"/>
      <c r="K100" s="797"/>
      <c r="L100" s="797"/>
    </row>
    <row r="101" spans="1:12" s="966" customFormat="1">
      <c r="A101" s="2344"/>
      <c r="D101" s="2345"/>
      <c r="K101" s="797"/>
      <c r="L101" s="797"/>
    </row>
    <row r="102" spans="1:12" s="966" customFormat="1">
      <c r="A102" s="2344"/>
      <c r="D102" s="2345"/>
      <c r="K102" s="797"/>
      <c r="L102" s="797"/>
    </row>
    <row r="103" spans="1:12" s="966" customFormat="1">
      <c r="A103" s="2344"/>
      <c r="D103" s="2345"/>
      <c r="K103" s="797"/>
      <c r="L103" s="797"/>
    </row>
    <row r="104" spans="1:12" s="966" customFormat="1">
      <c r="A104" s="2344"/>
      <c r="D104" s="2345"/>
      <c r="K104" s="797"/>
      <c r="L104" s="797"/>
    </row>
    <row r="105" spans="1:12" s="966" customFormat="1">
      <c r="A105" s="2344"/>
      <c r="D105" s="2345"/>
      <c r="K105" s="797"/>
      <c r="L105" s="797"/>
    </row>
    <row r="106" spans="1:12" s="966" customFormat="1">
      <c r="A106" s="2344"/>
      <c r="D106" s="2345"/>
      <c r="K106" s="797"/>
      <c r="L106" s="797"/>
    </row>
    <row r="107" spans="1:12" s="966" customFormat="1">
      <c r="A107" s="2344"/>
      <c r="D107" s="2345"/>
      <c r="K107" s="797"/>
      <c r="L107" s="797"/>
    </row>
    <row r="108" spans="1:12" s="966" customFormat="1">
      <c r="A108" s="2344"/>
      <c r="D108" s="2345"/>
      <c r="K108" s="797"/>
      <c r="L108" s="797"/>
    </row>
    <row r="109" spans="1:12" s="966" customFormat="1">
      <c r="A109" s="2344"/>
      <c r="D109" s="2345"/>
      <c r="K109" s="797"/>
      <c r="L109" s="797"/>
    </row>
    <row r="110" spans="1:12" s="966" customFormat="1">
      <c r="A110" s="2344"/>
      <c r="D110" s="2345"/>
      <c r="K110" s="797"/>
      <c r="L110" s="797"/>
    </row>
    <row r="111" spans="1:12" s="966" customFormat="1">
      <c r="A111" s="2344"/>
      <c r="D111" s="2345"/>
      <c r="K111" s="797"/>
      <c r="L111" s="797"/>
    </row>
    <row r="112" spans="1:12" s="966" customFormat="1">
      <c r="A112" s="2344"/>
      <c r="D112" s="2345"/>
      <c r="K112" s="797"/>
      <c r="L112" s="797"/>
    </row>
    <row r="113" spans="1:12" s="966" customFormat="1">
      <c r="A113" s="2344"/>
      <c r="D113" s="2345"/>
      <c r="K113" s="797"/>
      <c r="L113" s="797"/>
    </row>
    <row r="114" spans="1:12" s="966" customFormat="1">
      <c r="A114" s="2344"/>
      <c r="D114" s="2345"/>
      <c r="K114" s="797"/>
      <c r="L114" s="797"/>
    </row>
    <row r="115" spans="1:12" s="966" customFormat="1">
      <c r="A115" s="2344"/>
      <c r="D115" s="2345"/>
      <c r="K115" s="797"/>
      <c r="L115" s="797"/>
    </row>
    <row r="116" spans="1:12" s="966" customFormat="1">
      <c r="A116" s="2344"/>
      <c r="D116" s="2345"/>
      <c r="K116" s="797"/>
      <c r="L116" s="797"/>
    </row>
    <row r="117" spans="1:12" s="966" customFormat="1">
      <c r="A117" s="2344"/>
      <c r="D117" s="2345"/>
      <c r="K117" s="797"/>
      <c r="L117" s="797"/>
    </row>
    <row r="118" spans="1:12" s="966" customFormat="1">
      <c r="A118" s="2344"/>
      <c r="D118" s="2345"/>
      <c r="K118" s="797"/>
      <c r="L118" s="797"/>
    </row>
    <row r="119" spans="1:12" s="966" customFormat="1">
      <c r="A119" s="2344"/>
      <c r="D119" s="2345"/>
      <c r="K119" s="797"/>
      <c r="L119" s="797"/>
    </row>
    <row r="120" spans="1:12" s="966" customFormat="1">
      <c r="A120" s="2344"/>
      <c r="D120" s="2345"/>
      <c r="K120" s="797"/>
      <c r="L120" s="797"/>
    </row>
    <row r="121" spans="1:12" s="966" customFormat="1">
      <c r="A121" s="2344"/>
      <c r="D121" s="2345"/>
      <c r="K121" s="797"/>
      <c r="L121" s="797"/>
    </row>
    <row r="122" spans="1:12" s="966" customFormat="1">
      <c r="A122" s="2344"/>
      <c r="D122" s="2345"/>
      <c r="K122" s="797"/>
      <c r="L122" s="797"/>
    </row>
    <row r="123" spans="1:12" s="966" customFormat="1">
      <c r="A123" s="2344"/>
      <c r="D123" s="2345"/>
      <c r="K123" s="797"/>
      <c r="L123" s="797"/>
    </row>
    <row r="124" spans="1:12" s="966" customFormat="1">
      <c r="A124" s="2344"/>
      <c r="D124" s="2345"/>
      <c r="K124" s="797"/>
      <c r="L124" s="797"/>
    </row>
    <row r="125" spans="1:12" s="966" customFormat="1">
      <c r="A125" s="2344"/>
      <c r="D125" s="2345"/>
      <c r="K125" s="797"/>
      <c r="L125" s="797"/>
    </row>
    <row r="126" spans="1:12" s="966" customFormat="1">
      <c r="A126" s="2344"/>
      <c r="D126" s="2345"/>
      <c r="K126" s="797"/>
      <c r="L126" s="797"/>
    </row>
    <row r="127" spans="1:12" s="966" customFormat="1">
      <c r="A127" s="2344"/>
      <c r="D127" s="2345"/>
      <c r="K127" s="797"/>
      <c r="L127" s="797"/>
    </row>
    <row r="128" spans="1:12" s="966" customFormat="1">
      <c r="A128" s="2344"/>
      <c r="D128" s="2345"/>
      <c r="K128" s="797"/>
      <c r="L128" s="797"/>
    </row>
    <row r="129" spans="1:12" s="966" customFormat="1">
      <c r="A129" s="2344"/>
      <c r="D129" s="2345"/>
      <c r="K129" s="797"/>
      <c r="L129" s="797"/>
    </row>
    <row r="130" spans="1:12" s="966" customFormat="1">
      <c r="A130" s="2344"/>
      <c r="D130" s="2345"/>
      <c r="K130" s="797"/>
      <c r="L130" s="797"/>
    </row>
    <row r="131" spans="1:12" s="966" customFormat="1">
      <c r="A131" s="2344"/>
      <c r="D131" s="2345"/>
      <c r="K131" s="797"/>
      <c r="L131" s="797"/>
    </row>
    <row r="132" spans="1:12" s="966" customFormat="1">
      <c r="A132" s="2344"/>
      <c r="D132" s="2345"/>
      <c r="K132" s="797"/>
      <c r="L132" s="797"/>
    </row>
    <row r="133" spans="1:12" s="966" customFormat="1">
      <c r="A133" s="2344"/>
      <c r="D133" s="2345"/>
      <c r="K133" s="797"/>
      <c r="L133" s="797"/>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48" t="s">
        <v>2085</v>
      </c>
      <c r="B1" s="3049"/>
      <c r="C1" s="3049"/>
      <c r="D1" s="3049"/>
      <c r="E1" s="3049"/>
      <c r="F1" s="3049"/>
      <c r="G1" s="304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4" t="s">
        <v>2088</v>
      </c>
      <c r="B3" s="1270" t="s">
        <v>2089</v>
      </c>
      <c r="C3" s="2373" t="s">
        <v>2090</v>
      </c>
      <c r="D3" s="2374"/>
      <c r="E3" s="430" t="s">
        <v>2088</v>
      </c>
      <c r="F3" s="2375" t="s">
        <v>2091</v>
      </c>
      <c r="G3" s="2376" t="s">
        <v>2092</v>
      </c>
      <c r="H3" s="2371"/>
      <c r="I3" s="2371"/>
      <c r="J3" s="2371"/>
      <c r="K3" s="2371"/>
      <c r="L3" s="2371"/>
      <c r="M3" s="2371"/>
      <c r="N3" s="2371"/>
      <c r="O3" s="2371"/>
      <c r="P3" s="2371"/>
      <c r="Q3" s="2371"/>
      <c r="R3" s="2371"/>
    </row>
    <row r="4" spans="1:29" ht="41.25">
      <c r="A4" s="430"/>
      <c r="B4" s="1797" t="s">
        <v>2093</v>
      </c>
      <c r="C4" s="2377" t="s">
        <v>2094</v>
      </c>
      <c r="D4" s="2374"/>
      <c r="E4" s="2378"/>
      <c r="F4" s="42" t="s">
        <v>2095</v>
      </c>
      <c r="G4" s="2379" t="s">
        <v>2096</v>
      </c>
      <c r="H4" s="2371"/>
      <c r="I4" s="2371"/>
      <c r="J4" s="2371"/>
      <c r="K4" s="2371"/>
      <c r="L4" s="2371"/>
      <c r="M4" s="2371"/>
      <c r="N4" s="2371"/>
      <c r="O4" s="2371"/>
      <c r="P4" s="2371"/>
      <c r="Q4" s="2371"/>
      <c r="R4" s="2371"/>
    </row>
    <row r="5" spans="1:29" ht="41.25">
      <c r="A5" s="430"/>
      <c r="B5" s="1797" t="s">
        <v>2097</v>
      </c>
      <c r="C5" s="2377" t="s">
        <v>2098</v>
      </c>
      <c r="D5" s="2374"/>
      <c r="E5" s="2378"/>
      <c r="F5" s="1797" t="s">
        <v>2099</v>
      </c>
      <c r="G5" s="2379" t="s">
        <v>2100</v>
      </c>
      <c r="H5" s="2371"/>
      <c r="I5" s="2371"/>
      <c r="J5" s="2371"/>
      <c r="K5" s="2371"/>
      <c r="L5" s="2371"/>
      <c r="M5" s="2371"/>
      <c r="N5" s="2371"/>
      <c r="O5" s="2371"/>
      <c r="P5" s="2371"/>
      <c r="Q5" s="2371"/>
      <c r="R5" s="2371"/>
    </row>
    <row r="6" spans="1:29" ht="54">
      <c r="A6" s="430"/>
      <c r="B6" s="1797" t="s">
        <v>2101</v>
      </c>
      <c r="C6" s="2379" t="s">
        <v>2096</v>
      </c>
      <c r="D6" s="2374"/>
      <c r="E6" s="2378"/>
      <c r="F6" s="1797" t="s">
        <v>2102</v>
      </c>
      <c r="G6" s="2379" t="s">
        <v>2103</v>
      </c>
      <c r="H6" s="2371"/>
      <c r="I6" s="2371"/>
      <c r="J6" s="2371"/>
      <c r="K6" s="2371"/>
      <c r="L6" s="2371"/>
      <c r="M6" s="2371"/>
      <c r="N6" s="2371"/>
      <c r="O6" s="2371"/>
      <c r="P6" s="2371"/>
      <c r="Q6" s="2371"/>
      <c r="R6" s="2371"/>
    </row>
    <row r="7" spans="1:29" ht="41.25" thickBot="1">
      <c r="A7" s="430"/>
      <c r="B7" s="1797" t="s">
        <v>2099</v>
      </c>
      <c r="C7" s="2379" t="s">
        <v>2100</v>
      </c>
      <c r="D7" s="2380"/>
      <c r="E7" s="2381"/>
      <c r="F7" s="2382" t="s">
        <v>2104</v>
      </c>
      <c r="G7" s="2383" t="s">
        <v>2105</v>
      </c>
      <c r="H7" s="2371"/>
      <c r="I7" s="2371"/>
      <c r="J7" s="2371"/>
      <c r="K7" s="2371"/>
      <c r="L7" s="2371"/>
      <c r="M7" s="2371"/>
      <c r="N7" s="2371"/>
      <c r="O7" s="2371"/>
      <c r="P7" s="2371"/>
      <c r="Q7" s="2371"/>
      <c r="R7" s="2371"/>
    </row>
    <row r="8" spans="1:29" ht="27">
      <c r="A8" s="430"/>
      <c r="B8" s="1797" t="s">
        <v>2102</v>
      </c>
      <c r="C8" s="2379" t="s">
        <v>2103</v>
      </c>
      <c r="D8" s="2380"/>
      <c r="E8" s="2380"/>
      <c r="F8" s="1135"/>
      <c r="G8" s="1135"/>
      <c r="H8" s="2371"/>
      <c r="I8" s="2371"/>
      <c r="J8" s="2371"/>
      <c r="K8" s="2371"/>
      <c r="L8" s="2371"/>
      <c r="M8" s="2371"/>
      <c r="N8" s="2371"/>
      <c r="O8" s="2371"/>
      <c r="P8" s="2371"/>
      <c r="Q8" s="2371"/>
      <c r="R8" s="2371"/>
    </row>
    <row r="9" spans="1:29" ht="27">
      <c r="A9" s="430"/>
      <c r="B9" s="1797" t="s">
        <v>2106</v>
      </c>
      <c r="C9" s="2377" t="s">
        <v>2107</v>
      </c>
      <c r="D9" s="2374"/>
      <c r="E9" s="2380"/>
      <c r="F9" s="1135"/>
      <c r="G9" s="1135"/>
      <c r="H9" s="2371"/>
      <c r="I9" s="2371"/>
      <c r="J9" s="2371"/>
      <c r="K9" s="2371"/>
      <c r="L9" s="2371"/>
      <c r="M9" s="2371"/>
      <c r="N9" s="2371"/>
      <c r="O9" s="2371"/>
      <c r="P9" s="2371"/>
      <c r="Q9" s="2371"/>
      <c r="R9" s="2371"/>
    </row>
    <row r="10" spans="1:29" s="117" customFormat="1" ht="15.75" thickBot="1">
      <c r="A10" s="2384"/>
      <c r="B10" s="2385" t="s">
        <v>2108</v>
      </c>
      <c r="C10" s="2386"/>
      <c r="D10" s="2374"/>
      <c r="E10" s="2374"/>
      <c r="F10" s="1135"/>
      <c r="G10" s="1135"/>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3"/>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3"/>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69" t="s">
        <v>2089</v>
      </c>
      <c r="C15" s="2406" t="str">
        <f>C3</f>
        <v>估价对象周边居住用地比例、居住小区规模和社区发展完善程度，综合评价居住社区成熟度一般</v>
      </c>
      <c r="D15" s="2374"/>
      <c r="E15" s="2407" t="s">
        <v>2113</v>
      </c>
      <c r="F15" s="1269" t="s">
        <v>2114</v>
      </c>
      <c r="G15" s="134" t="str">
        <f>G3</f>
        <v>估价对象位于XX开发区，园区建设成熟度XX，产业集聚程度XX</v>
      </c>
    </row>
    <row r="16" spans="1:29" ht="42.75">
      <c r="A16" s="644"/>
      <c r="B16" s="2408" t="s">
        <v>2093</v>
      </c>
      <c r="C16" s="2409" t="str">
        <f>C4</f>
        <v>估价对象位于XX商圈，周边商业氛围成熟，人流量大，商业繁华度好</v>
      </c>
      <c r="D16" s="2374"/>
      <c r="E16" s="2410"/>
      <c r="F16" s="2411" t="s">
        <v>2095</v>
      </c>
      <c r="G16" s="135" t="str">
        <f>G4</f>
        <v>估价对象周边道路状况、公共交通通达情况、停车便捷程度，综合评价交通便捷度较好</v>
      </c>
    </row>
    <row r="17" spans="1:18" ht="42.75">
      <c r="A17" s="644"/>
      <c r="B17" s="2408" t="s">
        <v>2097</v>
      </c>
      <c r="C17" s="2409" t="str">
        <f>C5</f>
        <v>估价对象位于XX商圈，周边办公楼项目较多，入驻率高，办公集聚程度较好</v>
      </c>
      <c r="D17" s="2380"/>
      <c r="E17" s="2410"/>
      <c r="F17" s="2411" t="s">
        <v>2115</v>
      </c>
      <c r="G17" s="1571"/>
    </row>
    <row r="18" spans="1:18" ht="57">
      <c r="A18" s="644"/>
      <c r="B18" s="2411" t="s">
        <v>2101</v>
      </c>
      <c r="C18" s="135" t="str">
        <f>C6</f>
        <v>估价对象周边道路状况、公共交通通达情况、停车便捷程度，综合评价交通便捷度较好</v>
      </c>
      <c r="D18" s="2380"/>
      <c r="E18" s="2410"/>
      <c r="F18" s="2411" t="s">
        <v>2104</v>
      </c>
      <c r="G18" s="135" t="str">
        <f>G7</f>
        <v>该园区内是否有污染型企业，绿化情况，卫生条件，整体环境状况判断</v>
      </c>
    </row>
    <row r="19" spans="1:18" ht="28.5">
      <c r="A19" s="644"/>
      <c r="B19" s="2411" t="s">
        <v>2116</v>
      </c>
      <c r="C19" s="1571"/>
      <c r="D19" s="2374"/>
      <c r="E19" s="2410"/>
      <c r="F19" s="1797" t="s">
        <v>2099</v>
      </c>
      <c r="G19" s="135" t="str">
        <f>G5</f>
        <v>估价对象所在区域公共配套设施齐备情况</v>
      </c>
    </row>
    <row r="20" spans="1:18" ht="28.5">
      <c r="A20" s="644"/>
      <c r="B20" s="2411" t="s">
        <v>2117</v>
      </c>
      <c r="C20" s="2409" t="str">
        <f>C9</f>
        <v>区域自然环境：；人文环境；综合评价环境状况一般</v>
      </c>
      <c r="D20" s="2380"/>
      <c r="E20" s="2410"/>
      <c r="F20" s="1797" t="s">
        <v>2118</v>
      </c>
      <c r="G20" s="135" t="str">
        <f>G6</f>
        <v>估价对象所在区域基础设施水平</v>
      </c>
    </row>
    <row r="21" spans="1:18" ht="28.5">
      <c r="A21" s="644"/>
      <c r="B21" s="1797" t="s">
        <v>2099</v>
      </c>
      <c r="C21" s="135" t="str">
        <f>C7</f>
        <v>估价对象所在区域公共配套设施齐备情况</v>
      </c>
      <c r="D21" s="2374"/>
      <c r="E21" s="2410"/>
      <c r="F21" s="2411" t="s">
        <v>2119</v>
      </c>
      <c r="G21" s="2412"/>
    </row>
    <row r="22" spans="1:18" ht="13.5" customHeight="1">
      <c r="A22" s="644"/>
      <c r="B22" s="1797" t="s">
        <v>2102</v>
      </c>
      <c r="C22" s="135" t="str">
        <f>C8</f>
        <v>估价对象所在区域基础设施水平</v>
      </c>
      <c r="D22" s="2374"/>
      <c r="E22" s="2410"/>
      <c r="F22" s="2411" t="s">
        <v>2108</v>
      </c>
      <c r="G22" s="1571"/>
    </row>
    <row r="23" spans="1:18" s="2371" customFormat="1" ht="15.75" thickBot="1">
      <c r="A23" s="644"/>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6">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589.49</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43355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2318</v>
      </c>
      <c r="C5" s="1745">
        <f ca="1">ROUND(B5*10000/$B$1,0)</f>
        <v>39322</v>
      </c>
      <c r="D5" s="1745" t="e">
        <f ca="1">ROUND(B5*10000/$B$2,0)</f>
        <v>#DIV/0!</v>
      </c>
      <c r="E5" s="1744"/>
      <c r="F5" s="1742"/>
      <c r="G5" s="1742"/>
    </row>
    <row r="6" spans="1:10" ht="16.5">
      <c r="A6" s="1745" t="s">
        <v>1356</v>
      </c>
      <c r="B6" s="1745">
        <f ca="1">SUM(G14:G23)</f>
        <v>2318</v>
      </c>
      <c r="C6" s="1745">
        <f ca="1">ROUND(B6*10000/$B$1,0)</f>
        <v>39322</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589.49</v>
      </c>
      <c r="C14" s="1743">
        <f>结果表!C118</f>
        <v>0</v>
      </c>
      <c r="D14" s="1743">
        <f ca="1">结果表!H118</f>
        <v>2318</v>
      </c>
      <c r="E14" s="1743">
        <f ca="1">ROUND(D14*10000/B14,0)</f>
        <v>39322</v>
      </c>
      <c r="F14" s="1743" t="e">
        <f ca="1">ROUND(D14*10000/C14,0)</f>
        <v>#DIV/0!</v>
      </c>
      <c r="G14" s="1743">
        <f ca="1">结果表!D122</f>
        <v>2318</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428"/>
    <col min="3" max="4" width="12.625" style="2428" customWidth="1"/>
    <col min="5" max="9" width="12.625" style="2428"/>
    <col min="10" max="11" width="12.625" style="794" customWidth="1"/>
    <col min="12" max="12" width="12.625" style="794"/>
    <col min="13" max="13" width="14.125" style="794" bestFit="1" customWidth="1"/>
    <col min="14" max="26" width="12.625" style="794"/>
    <col min="27" max="35" width="12.625" style="2427"/>
    <col min="36" max="16384" width="12.625" style="2428"/>
  </cols>
  <sheetData>
    <row r="1" spans="1:12" ht="21.75" customHeight="1" thickBot="1">
      <c r="A1" s="2228" t="s">
        <v>2122</v>
      </c>
      <c r="B1" s="2422"/>
      <c r="C1" s="2423" t="s">
        <v>27</v>
      </c>
      <c r="D1" s="2422"/>
      <c r="E1" s="2422"/>
      <c r="F1" s="2424" t="s">
        <v>2123</v>
      </c>
      <c r="G1" s="2073" t="s">
        <v>3058</v>
      </c>
      <c r="H1" s="2425" t="str">
        <f>IF(G1="现房","——","估价对象范围")</f>
        <v>——</v>
      </c>
      <c r="I1" s="2426" t="s">
        <v>3124</v>
      </c>
    </row>
    <row r="2" spans="1:12" ht="21.75" customHeight="1" thickBot="1">
      <c r="A2" s="3083" t="str">
        <f>项目基本情况!S2</f>
        <v>北京市房地产</v>
      </c>
      <c r="B2" s="3084"/>
      <c r="C2" s="3084"/>
      <c r="D2" s="3084"/>
      <c r="E2" s="3084"/>
      <c r="F2" s="3084"/>
      <c r="G2" s="3084"/>
      <c r="H2" s="3084"/>
      <c r="I2" s="3085"/>
    </row>
    <row r="3" spans="1:12" ht="12.75">
      <c r="A3" s="3087" t="s">
        <v>2124</v>
      </c>
      <c r="B3" s="3088"/>
      <c r="C3" s="3088"/>
      <c r="D3" s="3088"/>
      <c r="E3" s="3088"/>
      <c r="F3" s="3088"/>
      <c r="G3" s="3088"/>
      <c r="H3" s="3088"/>
      <c r="I3" s="3088"/>
    </row>
    <row r="4" spans="1:12" ht="14.25">
      <c r="A4" s="2429" t="s">
        <v>2125</v>
      </c>
      <c r="B4" s="2430" t="s">
        <v>2126</v>
      </c>
      <c r="C4" s="2431" t="s">
        <v>3125</v>
      </c>
      <c r="D4" s="2431" t="s">
        <v>3064</v>
      </c>
      <c r="E4" s="3080" t="s">
        <v>2127</v>
      </c>
      <c r="F4" s="3081"/>
      <c r="G4" s="3081"/>
      <c r="H4" s="3081"/>
      <c r="I4" s="3089"/>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3" t="s">
        <v>2128</v>
      </c>
      <c r="B5" s="3001">
        <v>25</v>
      </c>
      <c r="C5" s="3066"/>
      <c r="D5" s="3086"/>
      <c r="E5" s="139" t="s">
        <v>2129</v>
      </c>
      <c r="F5" s="2433"/>
      <c r="G5" s="2433"/>
      <c r="H5" s="2433"/>
      <c r="I5" s="1833"/>
    </row>
    <row r="6" spans="1:12" ht="12.75">
      <c r="A6" s="3063"/>
      <c r="B6" s="3001"/>
      <c r="C6" s="3067"/>
      <c r="D6" s="3086"/>
      <c r="E6" s="139" t="s">
        <v>2130</v>
      </c>
      <c r="F6" s="2433"/>
      <c r="G6" s="2433"/>
      <c r="H6" s="2433"/>
      <c r="I6" s="1833"/>
    </row>
    <row r="7" spans="1:12" ht="12.75">
      <c r="A7" s="3063"/>
      <c r="B7" s="3001"/>
      <c r="C7" s="3068"/>
      <c r="D7" s="3086"/>
      <c r="E7" s="139" t="s">
        <v>2131</v>
      </c>
      <c r="F7" s="2433"/>
      <c r="G7" s="2433"/>
      <c r="H7" s="2433"/>
      <c r="I7" s="1833"/>
    </row>
    <row r="8" spans="1:12" ht="12.75">
      <c r="A8" s="3063" t="s">
        <v>2132</v>
      </c>
      <c r="B8" s="3001">
        <v>15</v>
      </c>
      <c r="C8" s="3066"/>
      <c r="D8" s="3086"/>
      <c r="E8" s="139" t="s">
        <v>2133</v>
      </c>
      <c r="F8" s="2433"/>
      <c r="G8" s="2433"/>
      <c r="H8" s="2433"/>
      <c r="I8" s="1833"/>
    </row>
    <row r="9" spans="1:12" ht="12.75">
      <c r="A9" s="3063"/>
      <c r="B9" s="3001"/>
      <c r="C9" s="3068"/>
      <c r="D9" s="3086"/>
      <c r="E9" s="139" t="s">
        <v>2134</v>
      </c>
      <c r="F9" s="2433"/>
      <c r="G9" s="2433"/>
      <c r="H9" s="2433"/>
      <c r="I9" s="1833"/>
    </row>
    <row r="10" spans="1:12" ht="12.75">
      <c r="A10" s="3063" t="s">
        <v>2135</v>
      </c>
      <c r="B10" s="3001">
        <v>15</v>
      </c>
      <c r="C10" s="3066"/>
      <c r="D10" s="3086"/>
      <c r="E10" s="139" t="s">
        <v>2136</v>
      </c>
      <c r="F10" s="2433"/>
      <c r="G10" s="2433"/>
      <c r="H10" s="2433"/>
      <c r="I10" s="1833"/>
    </row>
    <row r="11" spans="1:12" ht="12.75">
      <c r="A11" s="3063"/>
      <c r="B11" s="3001"/>
      <c r="C11" s="3068"/>
      <c r="D11" s="3086"/>
      <c r="E11" s="139" t="s">
        <v>2137</v>
      </c>
      <c r="F11" s="2433"/>
      <c r="G11" s="2433"/>
      <c r="H11" s="2433"/>
      <c r="I11" s="1833"/>
    </row>
    <row r="12" spans="1:12" ht="12.75">
      <c r="A12" s="3063" t="s">
        <v>2138</v>
      </c>
      <c r="B12" s="3001">
        <v>15</v>
      </c>
      <c r="C12" s="3066"/>
      <c r="D12" s="3086"/>
      <c r="E12" s="139" t="s">
        <v>2139</v>
      </c>
      <c r="F12" s="2433"/>
      <c r="G12" s="2433"/>
      <c r="H12" s="2433"/>
      <c r="I12" s="1833"/>
    </row>
    <row r="13" spans="1:12" ht="12.75">
      <c r="A13" s="3063"/>
      <c r="B13" s="3001"/>
      <c r="C13" s="3068"/>
      <c r="D13" s="3086"/>
      <c r="E13" s="139" t="s">
        <v>2140</v>
      </c>
      <c r="F13" s="2433"/>
      <c r="G13" s="2433"/>
      <c r="H13" s="2433"/>
      <c r="I13" s="1833"/>
    </row>
    <row r="14" spans="1:12" ht="12.75">
      <c r="A14" s="3063" t="s">
        <v>2141</v>
      </c>
      <c r="B14" s="3001">
        <v>30</v>
      </c>
      <c r="C14" s="3066">
        <v>0.5</v>
      </c>
      <c r="D14" s="3086">
        <f>1-C14</f>
        <v>0.5</v>
      </c>
      <c r="E14" s="139" t="s">
        <v>2142</v>
      </c>
      <c r="F14" s="2433"/>
      <c r="G14" s="2433"/>
      <c r="H14" s="2433"/>
      <c r="I14" s="1833"/>
    </row>
    <row r="15" spans="1:12" ht="12.75">
      <c r="A15" s="3063"/>
      <c r="B15" s="3001"/>
      <c r="C15" s="3067"/>
      <c r="D15" s="3086"/>
      <c r="E15" s="139" t="s">
        <v>2143</v>
      </c>
      <c r="F15" s="2433"/>
      <c r="G15" s="2433"/>
      <c r="H15" s="2433"/>
      <c r="I15" s="1833"/>
    </row>
    <row r="16" spans="1:12" ht="12.75">
      <c r="A16" s="3063"/>
      <c r="B16" s="3001"/>
      <c r="C16" s="3068"/>
      <c r="D16" s="3086"/>
      <c r="E16" s="139" t="s">
        <v>2144</v>
      </c>
      <c r="F16" s="2433"/>
      <c r="G16" s="2433"/>
      <c r="H16" s="2433"/>
      <c r="I16" s="1833"/>
    </row>
    <row r="17" spans="1:35" ht="15">
      <c r="A17" s="2434" t="s">
        <v>2145</v>
      </c>
      <c r="B17" s="64"/>
      <c r="C17" s="140">
        <f>SUM(C5:C16)</f>
        <v>0.5</v>
      </c>
      <c r="D17" s="140">
        <f>SUM(D5:D16)</f>
        <v>0.5</v>
      </c>
      <c r="E17" s="137"/>
      <c r="F17" s="137"/>
      <c r="G17" s="137"/>
      <c r="H17" s="137"/>
      <c r="I17" s="137"/>
      <c r="K17" s="2432"/>
      <c r="L17" s="2435" t="s">
        <v>2146</v>
      </c>
      <c r="M17" s="2435" t="s">
        <v>2147</v>
      </c>
    </row>
    <row r="18" spans="1:35" ht="15.75" thickBot="1">
      <c r="A18" s="2436" t="s">
        <v>2148</v>
      </c>
      <c r="B18" s="2437"/>
      <c r="C18" s="141">
        <f>ROUND(C17/SUM(C17:D17),2)</f>
        <v>0.5</v>
      </c>
      <c r="D18" s="141">
        <f>1-C18</f>
        <v>0.5</v>
      </c>
      <c r="E18" s="137"/>
      <c r="F18" s="137"/>
      <c r="G18" s="137"/>
      <c r="H18" s="137"/>
      <c r="I18" s="137"/>
      <c r="K18" s="2432" t="s">
        <v>2149</v>
      </c>
      <c r="L18" s="2432">
        <f>IF(C1="",'数据-汇总表'!E3,SUMIF(项目类型,C1,'数据-汇总表'!E17:E26)+SUMIF(项目类型,C1,'数据-汇总表'!I17:I26))</f>
        <v>589.49</v>
      </c>
      <c r="M18" s="2432">
        <f>IF(C1="",'数据-汇总表'!E3,SUMIF(项目类型,C1,'数据-汇总表'!E17:E26))</f>
        <v>589.49</v>
      </c>
    </row>
    <row r="19" spans="1:35" ht="15">
      <c r="A19" s="2438" t="s">
        <v>2150</v>
      </c>
      <c r="B19" s="2439" t="s">
        <v>2151</v>
      </c>
      <c r="C19" s="142">
        <f ca="1">SUMIF(INDIRECT("'"&amp;C4&amp;"'"&amp;"!A:A"),结果表!B19,INDIRECT("'"&amp;C4&amp;"'"&amp;"!B:B"))</f>
        <v>2439</v>
      </c>
      <c r="D19" s="143">
        <f ca="1">SUMIF(INDIRECT("'"&amp;D4&amp;"'"&amp;"!A:A"),结果表!B19,INDIRECT("'"&amp;D4&amp;"'"&amp;"!B:B"))</f>
        <v>2197</v>
      </c>
      <c r="E19" s="2438" t="s">
        <v>2152</v>
      </c>
      <c r="F19" s="2439" t="s">
        <v>2151</v>
      </c>
      <c r="G19" s="144">
        <f ca="1">ROUND(C19*$C$18+D19*$D$18,0)</f>
        <v>2318</v>
      </c>
      <c r="H19" s="2440" t="s">
        <v>2153</v>
      </c>
      <c r="I19" s="137"/>
      <c r="K19" s="2432" t="s">
        <v>2154</v>
      </c>
      <c r="L19" s="2432">
        <f>IF(C1="",'数据-汇总表'!D3,SUMIF(项目类型,C1,'数据-汇总表'!D17:D26)+SUMIF(项目类型,C1,'数据-汇总表'!H17:H27))</f>
        <v>0</v>
      </c>
      <c r="M19" s="2432">
        <f>IF(C1="",'数据-汇总表'!D3,SUMIF(项目类型,C1,'数据-汇总表'!D17:D26))</f>
        <v>0</v>
      </c>
    </row>
    <row r="20" spans="1:35" ht="15">
      <c r="A20" s="2441"/>
      <c r="B20" s="1249" t="s">
        <v>2155</v>
      </c>
      <c r="C20" s="145">
        <f ca="1">SUMIF(INDIRECT("'"&amp;C4&amp;"'"&amp;"!A:A"),结果表!B20,INDIRECT("'"&amp;C4&amp;"'"&amp;"!B:B"))</f>
        <v>41378</v>
      </c>
      <c r="D20" s="146">
        <f ca="1">SUMIF(INDIRECT("'"&amp;D4&amp;"'"&amp;"!A:A"),结果表!B20,INDIRECT("'"&amp;D4&amp;"'"&amp;"!B:B"))</f>
        <v>37272</v>
      </c>
      <c r="E20" s="2441"/>
      <c r="F20" s="1249" t="s">
        <v>2155</v>
      </c>
      <c r="G20" s="147">
        <f ca="1">ROUND(C20*$C$18+D20*$D$18,0)</f>
        <v>39325</v>
      </c>
      <c r="H20" s="982" t="s">
        <v>2156</v>
      </c>
      <c r="I20" s="137"/>
    </row>
    <row r="21" spans="1:35" ht="15" customHeight="1" thickBot="1">
      <c r="A21" s="1002"/>
      <c r="B21" s="2442" t="s">
        <v>2157</v>
      </c>
      <c r="C21" s="788" t="e">
        <f ca="1">ROUND(C19*10000/L19,0)</f>
        <v>#DIV/0!</v>
      </c>
      <c r="D21" s="789" t="e">
        <f ca="1">ROUND(D19*10000/L19,0)</f>
        <v>#DIV/0!</v>
      </c>
      <c r="E21" s="1002"/>
      <c r="F21" s="2442" t="s">
        <v>2157</v>
      </c>
      <c r="G21" s="148" t="e">
        <f ca="1">ROUND(G19*10000/L19,0)</f>
        <v>#DIV/0!</v>
      </c>
      <c r="H21" s="2443" t="s">
        <v>2156</v>
      </c>
      <c r="I21" s="137"/>
    </row>
    <row r="22" spans="1:35" ht="15" thickBot="1">
      <c r="A22" s="2284" t="s">
        <v>2158</v>
      </c>
      <c r="B22" s="2444"/>
      <c r="C22" s="2445"/>
      <c r="D22" s="790">
        <f ca="1">IF(C19&lt;D19,D19/C19-1,C19/D19-1)</f>
        <v>0.11015020482476112</v>
      </c>
      <c r="E22" s="137"/>
      <c r="F22" s="137"/>
      <c r="G22" s="137"/>
      <c r="H22" s="137"/>
      <c r="I22" s="137"/>
    </row>
    <row r="23" spans="1:35" ht="13.5" thickBot="1">
      <c r="A23" s="2422"/>
      <c r="B23" s="2422"/>
      <c r="C23" s="2422"/>
      <c r="D23" s="2422"/>
      <c r="E23" s="137"/>
      <c r="F23" s="137"/>
      <c r="G23" s="137"/>
      <c r="H23" s="137"/>
      <c r="I23" s="137"/>
    </row>
    <row r="24" spans="1:35" ht="14.25">
      <c r="A24" s="3057" t="s">
        <v>2159</v>
      </c>
      <c r="B24" s="2439" t="s">
        <v>2151</v>
      </c>
      <c r="C24" s="144">
        <f>IF(B30=0,0,D30)</f>
        <v>0</v>
      </c>
      <c r="D24" s="2446"/>
      <c r="E24" s="137"/>
      <c r="F24" s="137"/>
      <c r="G24" s="137"/>
      <c r="H24" s="137"/>
      <c r="I24" s="137"/>
    </row>
    <row r="25" spans="1:35" ht="14.25">
      <c r="A25" s="3058"/>
      <c r="B25" s="1249" t="s">
        <v>2155</v>
      </c>
      <c r="C25" s="149">
        <f>IF(B30=0,0,C30)</f>
        <v>0</v>
      </c>
      <c r="D25" s="2447"/>
      <c r="E25" s="137"/>
      <c r="F25" s="137"/>
      <c r="G25" s="137"/>
      <c r="H25" s="137"/>
      <c r="I25" s="137"/>
    </row>
    <row r="26" spans="1:35" ht="13.5" customHeight="1">
      <c r="A26" s="2448" t="s">
        <v>2160</v>
      </c>
      <c r="B26" s="150" t="s">
        <v>2161</v>
      </c>
      <c r="C26" s="150" t="s">
        <v>2162</v>
      </c>
      <c r="D26" s="151" t="s">
        <v>2163</v>
      </c>
      <c r="E26" s="137"/>
      <c r="F26" s="137"/>
      <c r="G26" s="137"/>
      <c r="H26" s="137"/>
      <c r="I26" s="137"/>
    </row>
    <row r="27" spans="1:35" ht="14.25">
      <c r="A27" s="2448"/>
      <c r="B27" s="150">
        <v>0</v>
      </c>
      <c r="C27" s="150">
        <v>0</v>
      </c>
      <c r="D27" s="151">
        <f>ROUND(C27*B27/10000,0)</f>
        <v>0</v>
      </c>
      <c r="E27" s="137"/>
      <c r="F27" s="137"/>
      <c r="G27" s="137"/>
      <c r="H27" s="137"/>
      <c r="I27" s="137"/>
    </row>
    <row r="28" spans="1:35" ht="14.25">
      <c r="A28" s="2448"/>
      <c r="B28" s="150"/>
      <c r="C28" s="150"/>
      <c r="D28" s="151"/>
      <c r="E28" s="137"/>
      <c r="F28" s="137"/>
      <c r="G28" s="137"/>
      <c r="H28" s="137"/>
      <c r="I28" s="137"/>
    </row>
    <row r="29" spans="1:35" ht="14.25">
      <c r="A29" s="2448"/>
      <c r="B29" s="150"/>
      <c r="C29" s="150"/>
      <c r="D29" s="151"/>
      <c r="E29" s="137"/>
      <c r="F29" s="137"/>
      <c r="G29" s="137"/>
      <c r="H29" s="137"/>
      <c r="I29" s="137"/>
    </row>
    <row r="30" spans="1:35" ht="14.25">
      <c r="A30" s="150" t="s">
        <v>2164</v>
      </c>
      <c r="B30" s="150"/>
      <c r="C30" s="150"/>
      <c r="D30" s="150"/>
      <c r="E30" s="2931" t="s">
        <v>3039</v>
      </c>
      <c r="F30" s="137"/>
      <c r="G30" s="137"/>
      <c r="H30" s="137"/>
      <c r="I30" s="137"/>
    </row>
    <row r="31" spans="1:35" s="2450" customFormat="1" ht="15" thickBot="1">
      <c r="A31" s="2449"/>
      <c r="B31" s="2449"/>
      <c r="C31" s="2449"/>
      <c r="D31" s="2449"/>
      <c r="E31" s="137"/>
      <c r="F31" s="137"/>
      <c r="G31" s="137"/>
      <c r="H31" s="137"/>
      <c r="I31" s="137"/>
      <c r="J31" s="794"/>
      <c r="K31" s="794"/>
      <c r="L31" s="794"/>
      <c r="M31" s="794"/>
      <c r="N31" s="794"/>
      <c r="O31" s="794"/>
      <c r="P31" s="794"/>
      <c r="Q31" s="794"/>
      <c r="R31" s="794"/>
      <c r="S31" s="794"/>
      <c r="T31" s="794"/>
      <c r="U31" s="794"/>
      <c r="V31" s="794"/>
      <c r="W31" s="794"/>
      <c r="X31" s="794"/>
      <c r="Y31" s="794"/>
      <c r="Z31" s="794"/>
      <c r="AA31" s="2427"/>
      <c r="AB31" s="2427"/>
      <c r="AC31" s="2427"/>
      <c r="AD31" s="2427"/>
      <c r="AE31" s="2427"/>
      <c r="AF31" s="2427"/>
      <c r="AG31" s="2427"/>
      <c r="AH31" s="2427"/>
      <c r="AI31" s="2427"/>
    </row>
    <row r="32" spans="1:35" ht="15.75" thickBot="1">
      <c r="A32" s="2451" t="s">
        <v>2165</v>
      </c>
      <c r="B32" s="2452"/>
      <c r="C32" s="152">
        <f ca="1">IF(D32="总价",G19-C24,G20-C25)</f>
        <v>39325</v>
      </c>
      <c r="D32" s="2453" t="s">
        <v>3175</v>
      </c>
      <c r="E32" s="137"/>
      <c r="F32" s="137"/>
      <c r="G32" s="137"/>
      <c r="H32" s="137"/>
      <c r="I32" s="137"/>
    </row>
    <row r="33" spans="1:15" ht="15">
      <c r="A33" s="959" t="s">
        <v>2166</v>
      </c>
      <c r="B33" s="2454"/>
      <c r="C33" s="2455"/>
      <c r="D33" s="2456"/>
      <c r="E33" s="2457" t="s">
        <v>2167</v>
      </c>
      <c r="F33" s="2458" t="str">
        <f>IF(D32="楼面单价","取值（单价）","取值（总价）")</f>
        <v>取值（单价）</v>
      </c>
      <c r="G33" s="137"/>
      <c r="H33" s="137"/>
      <c r="I33" s="137"/>
    </row>
    <row r="34" spans="1:15" ht="15">
      <c r="A34" s="2459"/>
      <c r="B34" s="2460"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1" t="s">
        <v>2169</v>
      </c>
      <c r="F34" s="1738"/>
      <c r="G34" s="137"/>
      <c r="H34" s="137"/>
      <c r="I34" s="137"/>
    </row>
    <row r="35" spans="1:15" ht="15.75" thickBot="1">
      <c r="A35" s="2462"/>
      <c r="B35" s="2463"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4" t="s">
        <v>2171</v>
      </c>
      <c r="F35" s="162"/>
      <c r="G35" s="137"/>
      <c r="H35" s="137"/>
      <c r="I35" s="137"/>
    </row>
    <row r="36" spans="1:15" ht="15.75" thickBot="1">
      <c r="A36" s="3075" t="s">
        <v>2172</v>
      </c>
      <c r="B36" s="2465" t="s">
        <v>2173</v>
      </c>
      <c r="C36" s="153"/>
      <c r="D36" s="2466"/>
      <c r="E36" s="2467"/>
      <c r="F36" s="2468"/>
      <c r="G36" s="137"/>
      <c r="H36" s="137"/>
      <c r="I36" s="137"/>
    </row>
    <row r="37" spans="1:15" ht="15.75" thickBot="1">
      <c r="A37" s="3076"/>
      <c r="B37" s="2270" t="s">
        <v>2174</v>
      </c>
      <c r="C37" s="155"/>
      <c r="D37" s="1394"/>
      <c r="E37" s="1394"/>
      <c r="F37" s="2468"/>
      <c r="G37" s="137"/>
      <c r="H37" s="137"/>
      <c r="I37" s="137"/>
    </row>
    <row r="38" spans="1:15" ht="15.75" thickBot="1">
      <c r="A38" s="3077"/>
      <c r="B38" s="2469" t="s">
        <v>2175</v>
      </c>
      <c r="C38" s="726"/>
      <c r="D38" s="2470" t="s">
        <v>2176</v>
      </c>
      <c r="E38" s="1394"/>
      <c r="F38" s="2468"/>
      <c r="G38" s="137"/>
      <c r="H38" s="137"/>
      <c r="I38" s="137"/>
    </row>
    <row r="39" spans="1:15" ht="15">
      <c r="A39" s="2441" t="s">
        <v>2177</v>
      </c>
      <c r="B39" s="2471" t="s">
        <v>2178</v>
      </c>
      <c r="C39" s="2472" t="s">
        <v>2179</v>
      </c>
      <c r="D39" s="2472" t="s">
        <v>2180</v>
      </c>
      <c r="E39" s="2473" t="s">
        <v>2181</v>
      </c>
      <c r="F39" s="2468"/>
      <c r="G39" s="137"/>
      <c r="H39" s="137"/>
      <c r="I39" s="137"/>
    </row>
    <row r="40" spans="1:15" ht="14.25">
      <c r="A40" s="2474" t="s">
        <v>2182</v>
      </c>
      <c r="B40" s="157"/>
      <c r="C40" s="158"/>
      <c r="D40" s="158"/>
      <c r="E40" s="159"/>
      <c r="F40" s="2468"/>
      <c r="G40" s="137"/>
      <c r="H40" s="137"/>
      <c r="I40" s="137"/>
    </row>
    <row r="41" spans="1:15" ht="14.25">
      <c r="A41" s="2474" t="s">
        <v>2183</v>
      </c>
      <c r="B41" s="157"/>
      <c r="C41" s="158"/>
      <c r="D41" s="158"/>
      <c r="E41" s="159"/>
      <c r="F41" s="2468"/>
      <c r="G41" s="137"/>
      <c r="H41" s="137"/>
      <c r="I41" s="137"/>
    </row>
    <row r="42" spans="1:15" ht="15" thickBot="1">
      <c r="A42" s="2475"/>
      <c r="B42" s="160"/>
      <c r="C42" s="161"/>
      <c r="D42" s="161"/>
      <c r="E42" s="162"/>
      <c r="F42" s="2468"/>
      <c r="G42" s="137"/>
      <c r="H42" s="137"/>
      <c r="I42" s="137"/>
    </row>
    <row r="43" spans="1:15" ht="12.75">
      <c r="A43" s="2168"/>
      <c r="B43" s="2168"/>
      <c r="C43" s="2168"/>
      <c r="D43" s="2168"/>
      <c r="E43" s="2168"/>
      <c r="F43" s="2476"/>
      <c r="G43" s="2476"/>
      <c r="H43" s="2476"/>
      <c r="I43" s="2477"/>
    </row>
    <row r="44" spans="1:15" ht="18.75">
      <c r="A44" s="2478" t="s">
        <v>2184</v>
      </c>
      <c r="B44" s="2479"/>
      <c r="C44" s="2479"/>
      <c r="D44" s="2480"/>
      <c r="E44" s="2480"/>
      <c r="F44" s="2481"/>
      <c r="G44" s="2481"/>
      <c r="H44" s="2481"/>
      <c r="I44" s="2481"/>
      <c r="J44" s="2482" t="s">
        <v>2185</v>
      </c>
      <c r="K44" s="2483"/>
      <c r="L44" s="2483"/>
      <c r="M44" s="2483"/>
      <c r="N44" s="2483"/>
      <c r="O44" s="2483"/>
    </row>
    <row r="45" spans="1:15" ht="14.25" customHeight="1" thickBot="1">
      <c r="A45" s="3054" t="s">
        <v>2186</v>
      </c>
      <c r="B45" s="3055"/>
      <c r="C45" s="3056"/>
      <c r="D45" s="163">
        <f ca="1">ROUND(H101*F45,0)</f>
        <v>2318</v>
      </c>
      <c r="E45" s="164" t="s">
        <v>2187</v>
      </c>
      <c r="F45" s="165">
        <v>1</v>
      </c>
      <c r="G45" s="166" t="s">
        <v>2188</v>
      </c>
      <c r="H45" s="137"/>
      <c r="I45" s="137"/>
      <c r="J45" s="3114" t="s">
        <v>2189</v>
      </c>
      <c r="K45" s="3114"/>
      <c r="L45" s="3114"/>
      <c r="M45" s="3114"/>
      <c r="N45" s="3114"/>
      <c r="O45" s="3114"/>
    </row>
    <row r="46" spans="1:15" ht="14.25" customHeight="1">
      <c r="A46" s="3051" t="s">
        <v>2190</v>
      </c>
      <c r="B46" s="3052"/>
      <c r="C46" s="3052"/>
      <c r="D46" s="3052"/>
      <c r="E46" s="3052"/>
      <c r="F46" s="3052"/>
      <c r="G46" s="3053"/>
      <c r="H46" s="2484"/>
      <c r="I46" s="167"/>
      <c r="J46" s="1811">
        <v>1</v>
      </c>
      <c r="K46" s="3114" t="s">
        <v>2191</v>
      </c>
      <c r="L46" s="3114"/>
      <c r="M46" s="3134"/>
      <c r="N46" s="3134"/>
      <c r="O46" s="3134"/>
    </row>
    <row r="47" spans="1:15" ht="12" customHeight="1">
      <c r="A47" s="168" t="s">
        <v>2192</v>
      </c>
      <c r="B47" s="169"/>
      <c r="C47" s="170"/>
      <c r="D47" s="171" t="s">
        <v>2193</v>
      </c>
      <c r="E47" s="24" t="s">
        <v>2194</v>
      </c>
      <c r="F47" s="172" t="s">
        <v>2195</v>
      </c>
      <c r="G47" s="173" t="s">
        <v>2196</v>
      </c>
      <c r="H47" s="2484"/>
      <c r="I47" s="167"/>
      <c r="J47" s="1811">
        <v>2</v>
      </c>
      <c r="K47" s="3114" t="s">
        <v>2197</v>
      </c>
      <c r="L47" s="3114"/>
      <c r="M47" s="3135">
        <f>'数据-取费表'!B2</f>
        <v>43355</v>
      </c>
      <c r="N47" s="3135"/>
      <c r="O47" s="3135"/>
    </row>
    <row r="48" spans="1:15" ht="25.5">
      <c r="A48" s="3082" t="s">
        <v>2198</v>
      </c>
      <c r="B48" s="3065"/>
      <c r="C48" s="3065"/>
      <c r="D48" s="139">
        <f>IF(H48="情况1",0,IF(H48="情况2",D52,IF(H48="情况3",D53,IF(H48="情况4",D54))))</f>
        <v>0</v>
      </c>
      <c r="E48" s="1800" t="str">
        <f>IF(H48="情况4","(销售额-原购置价)×税（费）率","销售额×税（费）率")</f>
        <v>销售额×税（费）率</v>
      </c>
      <c r="F48" s="174" t="str">
        <f>IF(H48="情况1","免征",'数据-取费表'!B41)</f>
        <v>免征</v>
      </c>
      <c r="G48" s="2485" t="s">
        <v>2199</v>
      </c>
      <c r="H48" s="2486" t="s">
        <v>2200</v>
      </c>
      <c r="I48" s="2484"/>
      <c r="J48" s="1811">
        <v>3</v>
      </c>
      <c r="K48" s="3114" t="s">
        <v>2201</v>
      </c>
      <c r="L48" s="3114"/>
      <c r="M48" s="3136">
        <f ca="1">H101</f>
        <v>2318</v>
      </c>
      <c r="N48" s="3136"/>
      <c r="O48" s="3136"/>
    </row>
    <row r="49" spans="1:35" ht="25.5" customHeight="1">
      <c r="A49" s="175" t="s">
        <v>2202</v>
      </c>
      <c r="B49" s="3050" t="s">
        <v>2203</v>
      </c>
      <c r="C49" s="3050"/>
      <c r="D49" s="176">
        <v>0</v>
      </c>
      <c r="E49" s="23" t="s">
        <v>2204</v>
      </c>
      <c r="F49" s="28" t="s">
        <v>34</v>
      </c>
      <c r="G49" s="3120"/>
      <c r="H49" s="137"/>
      <c r="I49" s="2487"/>
      <c r="J49" s="1811">
        <v>4</v>
      </c>
      <c r="K49" s="3114" t="str">
        <f>IF(项目基本情况!E8="房地产抵押价值","房地产抵押价值","抵押担保权已注销时的房地产抵押价值")</f>
        <v>房地产抵押价值</v>
      </c>
      <c r="L49" s="3114"/>
      <c r="M49" s="3136">
        <f ca="1">IF(项目基本情况!E8="房地产抵押价值",H107,H109)</f>
        <v>2318</v>
      </c>
      <c r="N49" s="3136"/>
      <c r="O49" s="3136"/>
    </row>
    <row r="50" spans="1:35" ht="25.5" customHeight="1">
      <c r="A50" s="177"/>
      <c r="B50" s="3050" t="s">
        <v>2205</v>
      </c>
      <c r="C50" s="3050"/>
      <c r="D50" s="178"/>
      <c r="E50" s="31"/>
      <c r="F50" s="179"/>
      <c r="G50" s="3121"/>
      <c r="H50" s="137"/>
      <c r="I50" s="2487"/>
      <c r="J50" s="3114" t="s">
        <v>2206</v>
      </c>
      <c r="K50" s="3114"/>
      <c r="L50" s="3114"/>
      <c r="M50" s="3114"/>
      <c r="N50" s="3114"/>
      <c r="O50" s="3114"/>
    </row>
    <row r="51" spans="1:35" ht="12" customHeight="1">
      <c r="A51" s="180"/>
      <c r="B51" s="3050" t="s">
        <v>2207</v>
      </c>
      <c r="C51" s="3050"/>
      <c r="D51" s="181"/>
      <c r="E51" s="30"/>
      <c r="F51" s="179"/>
      <c r="G51" s="3122"/>
      <c r="H51" s="137"/>
      <c r="I51" s="2487"/>
      <c r="J51" s="2488" t="s">
        <v>2208</v>
      </c>
      <c r="K51" s="3114" t="s">
        <v>2209</v>
      </c>
      <c r="L51" s="3114"/>
      <c r="M51" s="2488" t="s">
        <v>2210</v>
      </c>
      <c r="N51" s="2488" t="s">
        <v>2211</v>
      </c>
      <c r="O51" s="2488" t="s">
        <v>2212</v>
      </c>
    </row>
    <row r="52" spans="1:35" ht="24" customHeight="1">
      <c r="A52" s="182" t="s">
        <v>2213</v>
      </c>
      <c r="B52" s="3050" t="s">
        <v>2214</v>
      </c>
      <c r="C52" s="3050"/>
      <c r="D52" s="181">
        <f ca="1">ROUND(D45*'数据-取费表'!B41/(1+'数据-取费表'!C42),0)</f>
        <v>121</v>
      </c>
      <c r="E52" s="11" t="s">
        <v>2215</v>
      </c>
      <c r="F52" s="183">
        <f>'数据-取费表'!B41</f>
        <v>5.5000000000000007E-2</v>
      </c>
      <c r="G52" s="2489"/>
      <c r="H52" s="137"/>
      <c r="I52" s="2487"/>
      <c r="J52" s="1811">
        <v>1</v>
      </c>
      <c r="K52" s="3115" t="s">
        <v>2216</v>
      </c>
      <c r="L52" s="3115"/>
      <c r="M52" s="1753">
        <f>D48</f>
        <v>0</v>
      </c>
      <c r="N52" s="1811" t="str">
        <f>E48</f>
        <v>销售额×税（费）率</v>
      </c>
      <c r="O52" s="1754" t="str">
        <f>F48</f>
        <v>免征</v>
      </c>
    </row>
    <row r="53" spans="1:35" ht="12" customHeight="1">
      <c r="A53" s="182" t="s">
        <v>2217</v>
      </c>
      <c r="B53" s="3073" t="s">
        <v>2218</v>
      </c>
      <c r="C53" s="3074"/>
      <c r="D53" s="181">
        <f ca="1">ROUND(D45*'数据-取费表'!B41/(1+'数据-取费表'!C42),0)</f>
        <v>121</v>
      </c>
      <c r="E53" s="11" t="s">
        <v>2215</v>
      </c>
      <c r="F53" s="183">
        <f>'数据-取费表'!B41</f>
        <v>5.5000000000000007E-2</v>
      </c>
      <c r="G53" s="2489"/>
      <c r="H53" s="137"/>
      <c r="I53" s="2487"/>
      <c r="J53" s="1811">
        <v>2</v>
      </c>
      <c r="K53" s="3115" t="s">
        <v>2219</v>
      </c>
      <c r="L53" s="3115"/>
      <c r="M53" s="1753">
        <f t="shared" ref="M53:O54" ca="1" si="0">D55</f>
        <v>1</v>
      </c>
      <c r="N53" s="1811" t="str">
        <f t="shared" si="0"/>
        <v>销售额×税（费）率</v>
      </c>
      <c r="O53" s="1754">
        <f t="shared" si="0"/>
        <v>5.0000000000000001E-4</v>
      </c>
    </row>
    <row r="54" spans="1:35" ht="12" customHeight="1">
      <c r="A54" s="182" t="s">
        <v>2220</v>
      </c>
      <c r="B54" s="3073" t="s">
        <v>2221</v>
      </c>
      <c r="C54" s="3074"/>
      <c r="D54" s="181">
        <f ca="1">C68</f>
        <v>121</v>
      </c>
      <c r="E54" s="30" t="s">
        <v>2222</v>
      </c>
      <c r="F54" s="183">
        <f>'数据-取费表'!B41</f>
        <v>5.5000000000000007E-2</v>
      </c>
      <c r="G54" s="2489"/>
      <c r="H54" s="2490"/>
      <c r="I54" s="2487"/>
      <c r="J54" s="1811">
        <v>3</v>
      </c>
      <c r="K54" s="3115" t="s">
        <v>2223</v>
      </c>
      <c r="L54" s="3115"/>
      <c r="M54" s="1753">
        <f t="shared" ca="1" si="0"/>
        <v>1314</v>
      </c>
      <c r="N54" s="1811" t="str">
        <f t="shared" si="0"/>
        <v>增值额×税（费）率</v>
      </c>
      <c r="O54" s="1755" t="str">
        <f t="shared" si="0"/>
        <v>——</v>
      </c>
    </row>
    <row r="55" spans="1:35" ht="24" customHeight="1">
      <c r="A55" s="3064" t="s">
        <v>2224</v>
      </c>
      <c r="B55" s="3065"/>
      <c r="C55" s="3065"/>
      <c r="D55" s="184">
        <f ca="1">IF(H55="个人住宅",0,ROUND(D45*I55,0))</f>
        <v>1</v>
      </c>
      <c r="E55" s="11" t="s">
        <v>2225</v>
      </c>
      <c r="F55" s="183">
        <f>IF(H55="正常",I55,"免征")</f>
        <v>5.0000000000000001E-4</v>
      </c>
      <c r="G55" s="2489"/>
      <c r="H55" s="2486" t="s">
        <v>2226</v>
      </c>
      <c r="I55" s="185">
        <f>'数据-取费表'!B49</f>
        <v>5.0000000000000001E-4</v>
      </c>
      <c r="J55" s="1811" t="str">
        <f>IF(H59="非个人房产","",4)</f>
        <v/>
      </c>
      <c r="K55" s="3115" t="str">
        <f>IF(H59="非个人房产","——","个人所得税")</f>
        <v>——</v>
      </c>
      <c r="L55" s="3115"/>
      <c r="M55" s="1756" t="str">
        <f>D59</f>
        <v>——</v>
      </c>
      <c r="N55" s="1809" t="str">
        <f>E59</f>
        <v>——</v>
      </c>
      <c r="O55" s="1757" t="str">
        <f>F59</f>
        <v>——</v>
      </c>
    </row>
    <row r="56" spans="1:35" ht="24.75">
      <c r="A56" s="3064" t="s">
        <v>2227</v>
      </c>
      <c r="B56" s="3065"/>
      <c r="C56" s="3065"/>
      <c r="D56" s="184">
        <f ca="1">IF(H56="个人住宅",D57,D58)</f>
        <v>1314</v>
      </c>
      <c r="E56" s="11" t="s">
        <v>2228</v>
      </c>
      <c r="F56" s="183" t="str">
        <f>IF(H56="正常",F58,"免征")</f>
        <v>——</v>
      </c>
      <c r="G56" s="2491" t="s">
        <v>2229</v>
      </c>
      <c r="H56" s="2492" t="s">
        <v>2226</v>
      </c>
      <c r="I56" s="2493"/>
      <c r="J56" s="1811" t="str">
        <f>IF(项目基本情况!K6="上海银行",IF(J55="",4,J55+1),"")</f>
        <v/>
      </c>
      <c r="K56" s="3138" t="str">
        <f>IF(项目基本情况!K6="上海银行","其他处置费用","")</f>
        <v/>
      </c>
      <c r="L56" s="3139"/>
      <c r="M56" s="1753" t="str">
        <f>IF(项目基本情况!K6="上海银行",M69,"")</f>
        <v/>
      </c>
      <c r="N56" s="3141" t="str">
        <f>IF(项目基本情况!K6="上海银行","包含处置中涉及的律师、诉讼、拍卖、评估等费用","")</f>
        <v/>
      </c>
      <c r="O56" s="3142"/>
    </row>
    <row r="57" spans="1:35" ht="12.75">
      <c r="A57" s="182" t="s">
        <v>2202</v>
      </c>
      <c r="B57" s="3080" t="s">
        <v>2230</v>
      </c>
      <c r="C57" s="3089"/>
      <c r="D57" s="186">
        <v>0</v>
      </c>
      <c r="E57" s="23" t="s">
        <v>2204</v>
      </c>
      <c r="F57" s="154"/>
      <c r="G57" s="2489"/>
      <c r="H57" s="2493"/>
      <c r="I57" s="2493"/>
      <c r="J57" s="3115">
        <f>IF(AND(J55="",J56=""),4,IF(项目基本情况!K6="上海银行",结果表!J56+1,结果表!J55+1))</f>
        <v>4</v>
      </c>
      <c r="K57" s="3115" t="s">
        <v>2231</v>
      </c>
      <c r="L57" s="2494" t="s">
        <v>2232</v>
      </c>
      <c r="M57" s="1758"/>
      <c r="N57" s="1759">
        <f ca="1">SUMIF(M52:M56,"&lt;9e307")</f>
        <v>1315</v>
      </c>
      <c r="O57" s="2495"/>
      <c r="P57" s="1752">
        <f ca="1">N57/M49</f>
        <v>0.56729939603106128</v>
      </c>
    </row>
    <row r="58" spans="1:35" ht="24.75">
      <c r="A58" s="182" t="s">
        <v>2213</v>
      </c>
      <c r="B58" s="3080" t="s">
        <v>2233</v>
      </c>
      <c r="C58" s="3081"/>
      <c r="D58" s="184">
        <f ca="1">IF(H58="转让取得",C81,C97)</f>
        <v>1314</v>
      </c>
      <c r="E58" s="11" t="s">
        <v>2228</v>
      </c>
      <c r="F58" s="24" t="s">
        <v>34</v>
      </c>
      <c r="G58" s="2489"/>
      <c r="H58" s="2492" t="s">
        <v>2234</v>
      </c>
      <c r="I58" s="2493"/>
      <c r="J58" s="3115"/>
      <c r="K58" s="3115"/>
      <c r="L58" s="2494" t="s">
        <v>2235</v>
      </c>
      <c r="M58" s="1760"/>
      <c r="N58" s="2496" t="str">
        <f ca="1">NUMBERSTRING(INT(N57*10000),2)&amp;"元整"</f>
        <v>壹仟叁佰壹拾伍万元整</v>
      </c>
      <c r="O58" s="2497"/>
    </row>
    <row r="59" spans="1:35" ht="24.75" thickBot="1">
      <c r="A59" s="3118" t="s">
        <v>2236</v>
      </c>
      <c r="B59" s="3119"/>
      <c r="C59" s="3119"/>
      <c r="D59" s="187" t="str">
        <f>IF(H59="非个人房产","——",IF(H59="个人住宅",0,ROUND(D45*I59,0)))</f>
        <v>——</v>
      </c>
      <c r="E59" s="188" t="str">
        <f>IF(H59="非个人房产","——","销售额×税（费）率")</f>
        <v>——</v>
      </c>
      <c r="F59" s="189" t="str">
        <f>IF(H59="非个人房产","——",IF(H59="个人住宅","免征",I59))</f>
        <v>——</v>
      </c>
      <c r="G59" s="2498" t="s">
        <v>2229</v>
      </c>
      <c r="H59" s="2492" t="s">
        <v>2237</v>
      </c>
      <c r="I59" s="190">
        <v>0.01</v>
      </c>
      <c r="J59" s="3116">
        <f>J57+1</f>
        <v>5</v>
      </c>
      <c r="K59" s="3115" t="s">
        <v>2238</v>
      </c>
      <c r="L59" s="1811" t="s">
        <v>2232</v>
      </c>
      <c r="M59" s="1761"/>
      <c r="N59" s="1762">
        <f ca="1">M49-N57</f>
        <v>1003</v>
      </c>
      <c r="O59" s="2499"/>
    </row>
    <row r="60" spans="1:35" ht="12" customHeight="1">
      <c r="A60" s="2500"/>
      <c r="B60" s="2422"/>
      <c r="C60" s="2422"/>
      <c r="D60" s="2422"/>
      <c r="E60" s="2169"/>
      <c r="F60" s="2493"/>
      <c r="G60" s="2493"/>
      <c r="H60" s="2501"/>
      <c r="I60" s="137"/>
      <c r="J60" s="3117"/>
      <c r="K60" s="3115"/>
      <c r="L60" s="2494" t="s">
        <v>2235</v>
      </c>
      <c r="M60" s="1760"/>
      <c r="N60" s="2496" t="str">
        <f ca="1">NUMBERSTRING(INT(N59*10000),2)&amp;"元整"</f>
        <v>壹仟零叁万元整</v>
      </c>
      <c r="O60" s="2497"/>
    </row>
    <row r="61" spans="1:35" ht="13.5" thickBot="1">
      <c r="A61" s="3062" t="s">
        <v>2239</v>
      </c>
      <c r="B61" s="3062"/>
      <c r="C61" s="3062"/>
      <c r="D61" s="3062"/>
      <c r="E61" s="3062"/>
      <c r="F61" s="2493"/>
      <c r="G61" s="2493"/>
      <c r="H61" s="2501"/>
      <c r="I61" s="137"/>
      <c r="J61" s="1811">
        <f>J59+1</f>
        <v>6</v>
      </c>
      <c r="K61" s="3115" t="s">
        <v>2240</v>
      </c>
      <c r="L61" s="3115"/>
      <c r="M61" s="1763"/>
      <c r="N61" s="1764">
        <f ca="1">ROUND(N59*10000/'数据-汇总表'!E3,0)</f>
        <v>17015</v>
      </c>
      <c r="O61" s="2502"/>
    </row>
    <row r="62" spans="1:35" ht="12.75">
      <c r="A62" s="3078" t="s">
        <v>2241</v>
      </c>
      <c r="B62" s="3079"/>
      <c r="C62" s="1803"/>
      <c r="D62" s="1803" t="s">
        <v>2242</v>
      </c>
      <c r="E62" s="191" t="s">
        <v>2243</v>
      </c>
      <c r="F62" s="2493"/>
      <c r="G62" s="2493"/>
      <c r="H62" s="2501"/>
      <c r="I62" s="137"/>
    </row>
    <row r="63" spans="1:35" ht="12.75">
      <c r="A63" s="202" t="s">
        <v>775</v>
      </c>
      <c r="B63" s="192" t="s">
        <v>2244</v>
      </c>
      <c r="C63" s="193">
        <f ca="1">ROUND((C64+C65)/(1+'数据-取费表'!C42),0)</f>
        <v>2208</v>
      </c>
      <c r="D63" s="194"/>
      <c r="E63" s="195"/>
      <c r="F63" s="2493"/>
      <c r="G63" s="2493"/>
      <c r="H63" s="2501"/>
      <c r="I63" s="137"/>
      <c r="J63" s="3140" t="s">
        <v>2245</v>
      </c>
      <c r="K63" s="2503" t="s">
        <v>2246</v>
      </c>
      <c r="L63" s="1751">
        <f ca="1">IF(M49&gt;10000,M49*0.5%,IF(AND(M49&gt;1000,M49&lt;=10000),M49*1%,IF(AND(M49&gt;100,M49&lt;=1000),M49*3%,IF(AND(M49&gt;10,M49&lt;=100),M49*5%,M49*8%))))</f>
        <v>23.18</v>
      </c>
      <c r="M63" s="24">
        <f ca="1">ROUND(L63,1)</f>
        <v>23.2</v>
      </c>
      <c r="Z63" s="2427"/>
      <c r="AI63" s="2428"/>
    </row>
    <row r="64" spans="1:35" ht="14.25" customHeight="1">
      <c r="A64" s="196" t="s">
        <v>770</v>
      </c>
      <c r="B64" s="197" t="s">
        <v>2247</v>
      </c>
      <c r="C64" s="198">
        <f ca="1">D45</f>
        <v>2318</v>
      </c>
      <c r="D64" s="199" t="s">
        <v>32</v>
      </c>
      <c r="E64" s="200"/>
      <c r="F64" s="2493"/>
      <c r="G64" s="2493"/>
      <c r="H64" s="2501"/>
      <c r="I64" s="137"/>
      <c r="J64" s="3140"/>
      <c r="K64" s="2503" t="s">
        <v>2248</v>
      </c>
      <c r="L64" s="1751">
        <f ca="1">IF(M49&gt;2000,M49*0.5%,IF(AND(M49&gt;1000,M49&lt;=2000),M49*0.6%,IF(AND(M49&gt;500,M49&lt;=1000),M49*0.7%,IF(AND(M49&gt;200,M49&lt;=500),M49*0.8%,IF(AND(M49&gt;100,M49&lt;=200),M49*0.9%,IF(AND(M49&gt;50,M49&lt;=100),M49*1%,IF(AND(M49&gt;20,M49&lt;=50),M49*1.5%,IF(AND(M49&gt;10,M49&lt;=20),M49*2%,IF(AND(M49&gt;1,M49&lt;=10),M49*2.5%)))))))))</f>
        <v>11.59</v>
      </c>
      <c r="M64" s="24">
        <f t="shared" ref="M64:M65" ca="1" si="1">ROUND(L64,1)</f>
        <v>11.6</v>
      </c>
      <c r="N64" s="137" t="s">
        <v>2249</v>
      </c>
      <c r="Z64" s="2427"/>
      <c r="AI64" s="2428"/>
    </row>
    <row r="65" spans="1:35" ht="14.25" customHeight="1">
      <c r="A65" s="196" t="s">
        <v>771</v>
      </c>
      <c r="B65" s="197" t="s">
        <v>2250</v>
      </c>
      <c r="C65" s="201"/>
      <c r="D65" s="199"/>
      <c r="E65" s="200"/>
      <c r="F65" s="2493"/>
      <c r="G65" s="2493"/>
      <c r="H65" s="2501"/>
      <c r="I65" s="137"/>
      <c r="J65" s="3140"/>
      <c r="K65" s="2503" t="s">
        <v>2251</v>
      </c>
      <c r="L65" s="1751">
        <f ca="1">IF(M49&gt;1000,M49*0.1%,IF(AND(M49&gt;500,M49&lt;=1000),M49*0.5%,IF(AND(M49&gt;50,M49&lt;=500),M49*1%,IF(AND(M49&gt;1,M49&lt;=50),M49*1.5%))))</f>
        <v>2.3180000000000001</v>
      </c>
      <c r="M65" s="24">
        <f t="shared" ca="1" si="1"/>
        <v>2.2999999999999998</v>
      </c>
      <c r="N65" s="137" t="s">
        <v>2249</v>
      </c>
      <c r="Z65" s="2427"/>
      <c r="AI65" s="2428"/>
    </row>
    <row r="66" spans="1:35" ht="14.25" customHeight="1">
      <c r="A66" s="202" t="s">
        <v>772</v>
      </c>
      <c r="B66" s="203" t="s">
        <v>2252</v>
      </c>
      <c r="C66" s="204"/>
      <c r="D66" s="205" t="s">
        <v>32</v>
      </c>
      <c r="E66" s="1775" t="s">
        <v>1371</v>
      </c>
      <c r="F66" s="2493"/>
      <c r="G66" s="2493"/>
      <c r="H66" s="2501"/>
      <c r="I66" s="137"/>
      <c r="J66" s="3140"/>
      <c r="K66" s="2503" t="s">
        <v>2253</v>
      </c>
      <c r="L66" s="1751">
        <f ca="1">M49*0.5%</f>
        <v>11.59</v>
      </c>
      <c r="M66" s="24">
        <f ca="1">IF(L66&gt;0.5,0.5,ROUND(L66,0))</f>
        <v>0.5</v>
      </c>
      <c r="N66" s="137" t="s">
        <v>2254</v>
      </c>
      <c r="Z66" s="2427"/>
      <c r="AI66" s="2428"/>
    </row>
    <row r="67" spans="1:35" ht="14.25" customHeight="1">
      <c r="A67" s="202" t="s">
        <v>773</v>
      </c>
      <c r="B67" s="203" t="s">
        <v>2255</v>
      </c>
      <c r="C67" s="206">
        <f ca="1">C63-C66</f>
        <v>2208</v>
      </c>
      <c r="D67" s="199" t="s">
        <v>32</v>
      </c>
      <c r="E67" s="200"/>
      <c r="F67" s="2493"/>
      <c r="G67" s="2493"/>
      <c r="H67" s="2501"/>
      <c r="I67" s="137"/>
      <c r="J67" s="3140"/>
      <c r="K67" s="2503" t="s">
        <v>2256</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7" t="s">
        <v>774</v>
      </c>
      <c r="B68" s="208" t="s">
        <v>2257</v>
      </c>
      <c r="C68" s="209">
        <f ca="1">IF(C67&lt;=0,0,ROUND(C67*D68,0))</f>
        <v>121</v>
      </c>
      <c r="D68" s="210">
        <f>'数据-取费表'!B41</f>
        <v>5.5000000000000007E-2</v>
      </c>
      <c r="E68" s="211"/>
      <c r="F68" s="2493"/>
      <c r="G68" s="2493"/>
      <c r="H68" s="2501"/>
      <c r="I68" s="137"/>
      <c r="J68" s="3140"/>
      <c r="K68" s="2503" t="s">
        <v>2258</v>
      </c>
      <c r="L68" s="1751">
        <f ca="1">IF(M49&gt;10000,M49*0.5%,IF(AND(M49&gt;5000,M49&lt;=10000),M49*1%,IF(AND(M49&gt;1000,M49&lt;=5000),M49*2%,IF(AND(M49&gt;200,M49&lt;=1000),M49*3%,M49*5%))))</f>
        <v>46.36</v>
      </c>
      <c r="M68" s="24">
        <f ca="1">ROUND(L68,1)</f>
        <v>46.4</v>
      </c>
      <c r="Z68" s="2427"/>
      <c r="AI68" s="2428"/>
    </row>
    <row r="69" spans="1:35" s="2450" customFormat="1" ht="16.5" customHeight="1">
      <c r="A69" s="2504"/>
      <c r="B69" s="2505"/>
      <c r="C69" s="2506"/>
      <c r="D69" s="2507"/>
      <c r="E69" s="2508"/>
      <c r="F69" s="2169"/>
      <c r="G69" s="2169"/>
      <c r="H69" s="2168"/>
      <c r="I69" s="2422"/>
      <c r="J69" s="3140"/>
      <c r="K69" s="2503" t="s">
        <v>2259</v>
      </c>
      <c r="L69" s="2509"/>
      <c r="M69" s="24">
        <f ca="1">ROUND(SUM(M63:M68),0)</f>
        <v>86</v>
      </c>
      <c r="N69" s="1752">
        <f ca="1">M69/M49</f>
        <v>3.7100949094046591E-2</v>
      </c>
      <c r="O69" s="794"/>
      <c r="P69" s="794"/>
      <c r="Q69" s="794"/>
      <c r="R69" s="794"/>
      <c r="S69" s="794"/>
      <c r="T69" s="794"/>
      <c r="U69" s="794"/>
      <c r="V69" s="794"/>
      <c r="W69" s="794"/>
      <c r="X69" s="794"/>
      <c r="Y69" s="794"/>
      <c r="Z69" s="2427"/>
      <c r="AA69" s="2427"/>
      <c r="AB69" s="2427"/>
      <c r="AC69" s="2427"/>
      <c r="AD69" s="2427"/>
      <c r="AE69" s="2427"/>
      <c r="AF69" s="2427"/>
      <c r="AG69" s="2427"/>
      <c r="AH69" s="2427"/>
    </row>
    <row r="70" spans="1:35" s="2511" customFormat="1" ht="15" thickBot="1">
      <c r="A70" s="3099" t="s">
        <v>2260</v>
      </c>
      <c r="B70" s="3100"/>
      <c r="C70" s="3100"/>
      <c r="D70" s="3100"/>
      <c r="E70" s="3100"/>
      <c r="F70" s="3100"/>
      <c r="G70" s="3100"/>
      <c r="H70" s="310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78" t="s">
        <v>2241</v>
      </c>
      <c r="B71" s="3079"/>
      <c r="C71" s="1803"/>
      <c r="D71" s="1803" t="s">
        <v>2242</v>
      </c>
      <c r="E71" s="212" t="s">
        <v>2243</v>
      </c>
      <c r="F71" s="213"/>
      <c r="G71" s="213"/>
      <c r="H71" s="214"/>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2" t="s">
        <v>775</v>
      </c>
      <c r="B72" s="203" t="s">
        <v>2261</v>
      </c>
      <c r="C72" s="206">
        <f ca="1">ROUND(D45/(1+'数据-取费表'!C42),0)</f>
        <v>2208</v>
      </c>
      <c r="D72" s="199" t="s">
        <v>32</v>
      </c>
      <c r="E72" s="1802"/>
      <c r="F72" s="1796"/>
      <c r="G72" s="1796"/>
      <c r="H72" s="215"/>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2" t="s">
        <v>772</v>
      </c>
      <c r="B73" s="172" t="s">
        <v>2262</v>
      </c>
      <c r="C73" s="206">
        <f ca="1">C74+C78</f>
        <v>11</v>
      </c>
      <c r="D73" s="199" t="s">
        <v>32</v>
      </c>
      <c r="E73" s="1802"/>
      <c r="F73" s="1796"/>
      <c r="G73" s="1796"/>
      <c r="H73" s="215"/>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6" t="s">
        <v>770</v>
      </c>
      <c r="B74" s="197" t="s">
        <v>2263</v>
      </c>
      <c r="C74" s="199">
        <f>ROUND(IF(G77="2016年5月1日后购买",C75/(1+'数据-取费表'!C42)+C76+C77,C75+C76+C77),0)</f>
        <v>0</v>
      </c>
      <c r="D74" s="199" t="s">
        <v>32</v>
      </c>
      <c r="E74" s="1802"/>
      <c r="F74" s="1796"/>
      <c r="G74" s="1796"/>
      <c r="H74" s="215"/>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6" t="s">
        <v>776</v>
      </c>
      <c r="B75" s="197" t="s">
        <v>2264</v>
      </c>
      <c r="C75" s="217"/>
      <c r="D75" s="199" t="s">
        <v>32</v>
      </c>
      <c r="E75" s="218" t="s">
        <v>2265</v>
      </c>
      <c r="F75" s="2515" t="s">
        <v>2266</v>
      </c>
      <c r="G75" s="218" t="s">
        <v>2267</v>
      </c>
      <c r="H75" s="219"/>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6" t="s">
        <v>777</v>
      </c>
      <c r="B76" s="220" t="s">
        <v>2268</v>
      </c>
      <c r="C76" s="199">
        <f>IF(F75="购房发票",ROUND(C75*H75*D76,0),0)</f>
        <v>0</v>
      </c>
      <c r="D76" s="221">
        <v>0.05</v>
      </c>
      <c r="E76" s="3073" t="s">
        <v>2269</v>
      </c>
      <c r="F76" s="3050"/>
      <c r="G76" s="3050"/>
      <c r="H76" s="309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7" t="s">
        <v>2272</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6" t="s">
        <v>771</v>
      </c>
      <c r="B78" s="197" t="s">
        <v>2273</v>
      </c>
      <c r="C78" s="224">
        <f ca="1">ROUND(D45*D78/(1+'数据-取费表'!C42),0)</f>
        <v>11</v>
      </c>
      <c r="D78" s="225">
        <f>'数据-取费表'!B43</f>
        <v>5.000000000000001E-3</v>
      </c>
      <c r="E78" s="3059" t="s">
        <v>2274</v>
      </c>
      <c r="F78" s="3060"/>
      <c r="G78" s="3060"/>
      <c r="H78" s="306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3" t="s">
        <v>2275</v>
      </c>
      <c r="C79" s="206">
        <f ca="1">C72-C73</f>
        <v>2197</v>
      </c>
      <c r="D79" s="199" t="s">
        <v>32</v>
      </c>
      <c r="E79" s="1802"/>
      <c r="F79" s="1796"/>
      <c r="G79" s="1796"/>
      <c r="H79" s="215"/>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3" t="s">
        <v>2276</v>
      </c>
      <c r="C80" s="226">
        <f ca="1">IF(C79&lt;=0,0,C79/C73)</f>
        <v>199.72727272727272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8" t="s">
        <v>2277</v>
      </c>
      <c r="C81" s="227">
        <f ca="1">ROUND(IF(C79&lt;=0,0,IF(C80&gt;=200%,C79*60%-C73*35%,IF(C80&gt;=100%,C79*50%-C73*15%,IF(C80&gt;=50%,C79*40%-C73*5%,IF(C80&lt;50%,C79*30%,0))))),0)</f>
        <v>1314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2"/>
      <c r="B82" s="733"/>
      <c r="C82" s="7"/>
      <c r="D82" s="7"/>
      <c r="E82" s="733"/>
      <c r="F82" s="733"/>
      <c r="G82" s="733"/>
      <c r="H82" s="734"/>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099" t="s">
        <v>2278</v>
      </c>
      <c r="B83" s="3100"/>
      <c r="C83" s="3100"/>
      <c r="D83" s="3100"/>
      <c r="E83" s="3100"/>
      <c r="F83" s="3100"/>
      <c r="G83" s="3100"/>
      <c r="H83" s="310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78" t="s">
        <v>2241</v>
      </c>
      <c r="B84" s="3079"/>
      <c r="C84" s="1803"/>
      <c r="D84" s="1803" t="s">
        <v>2242</v>
      </c>
      <c r="E84" s="212" t="s">
        <v>2243</v>
      </c>
      <c r="F84" s="213"/>
      <c r="G84" s="213"/>
      <c r="H84" s="232"/>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2" t="s">
        <v>775</v>
      </c>
      <c r="B85" s="203" t="s">
        <v>2261</v>
      </c>
      <c r="C85" s="206">
        <f ca="1">ROUND(D45/(1+'数据-取费表'!C42),0)</f>
        <v>2208</v>
      </c>
      <c r="D85" s="199" t="s">
        <v>32</v>
      </c>
      <c r="E85" s="1802"/>
      <c r="F85" s="1796"/>
      <c r="G85" s="1796"/>
      <c r="H85" s="233"/>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2" t="s">
        <v>772</v>
      </c>
      <c r="B86" s="172" t="s">
        <v>2262</v>
      </c>
      <c r="C86" s="206">
        <f ca="1">IF(H88="仅含出让金",C87+C90+C91+C92+C93+C94,C87+C91+C92+C93+C94)</f>
        <v>11</v>
      </c>
      <c r="D86" s="234"/>
      <c r="E86" s="1802"/>
      <c r="F86" s="1796"/>
      <c r="G86" s="1796"/>
      <c r="H86" s="233"/>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6" t="s">
        <v>770</v>
      </c>
      <c r="B87" s="197" t="s">
        <v>2279</v>
      </c>
      <c r="C87" s="224">
        <f>C88+C89</f>
        <v>0</v>
      </c>
      <c r="D87" s="225"/>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6" t="s">
        <v>776</v>
      </c>
      <c r="B88" s="197" t="s">
        <v>2280</v>
      </c>
      <c r="C88" s="235"/>
      <c r="D88" s="225"/>
      <c r="E88" s="236" t="s">
        <v>2281</v>
      </c>
      <c r="F88" s="1799"/>
      <c r="G88" s="237" t="s">
        <v>2282</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6" t="s">
        <v>777</v>
      </c>
      <c r="B89" s="197" t="s">
        <v>2270</v>
      </c>
      <c r="C89" s="224">
        <f>ROUND(C88*D89,0)</f>
        <v>0</v>
      </c>
      <c r="D89" s="225">
        <f>'数据-取费表'!B48+'数据-取费表'!B49</f>
        <v>3.0499999999999999E-2</v>
      </c>
      <c r="E89" s="236" t="s">
        <v>2283</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6" t="s">
        <v>771</v>
      </c>
      <c r="B90" s="197" t="s">
        <v>2284</v>
      </c>
      <c r="C90" s="235"/>
      <c r="D90" s="225"/>
      <c r="E90" s="236"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6" t="s">
        <v>2285</v>
      </c>
      <c r="B91" s="197" t="s">
        <v>2286</v>
      </c>
      <c r="C91" s="224">
        <f>IF(H91="——",成本法!C33,I91)</f>
        <v>0</v>
      </c>
      <c r="D91" s="225"/>
      <c r="E91" s="3059" t="s">
        <v>2287</v>
      </c>
      <c r="F91" s="3060"/>
      <c r="G91" s="3060"/>
      <c r="H91" s="2522" t="s">
        <v>2288</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6" t="s">
        <v>2289</v>
      </c>
      <c r="B92" s="197" t="s">
        <v>2290</v>
      </c>
      <c r="C92" s="224">
        <f>ROUND((C87+C90+C91)*D92,0)</f>
        <v>0</v>
      </c>
      <c r="D92" s="225">
        <v>0.1</v>
      </c>
      <c r="E92" s="3059" t="s">
        <v>2291</v>
      </c>
      <c r="F92" s="3060"/>
      <c r="G92" s="3060"/>
      <c r="H92" s="306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6" t="s">
        <v>2292</v>
      </c>
      <c r="B93" s="197" t="s">
        <v>2273</v>
      </c>
      <c r="C93" s="224">
        <f ca="1">ROUND(D45*D93/(1+'数据-取费表'!C42),0)</f>
        <v>11</v>
      </c>
      <c r="D93" s="225">
        <f>'数据-取费表'!B43</f>
        <v>5.000000000000001E-3</v>
      </c>
      <c r="E93" s="3059" t="s">
        <v>2274</v>
      </c>
      <c r="F93" s="3060"/>
      <c r="G93" s="3060"/>
      <c r="H93" s="306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6" t="s">
        <v>2293</v>
      </c>
      <c r="B94" s="197" t="s">
        <v>2294</v>
      </c>
      <c r="C94" s="235">
        <f>ROUND((C87+C90+C91)*D94,0)</f>
        <v>0</v>
      </c>
      <c r="D94" s="225">
        <v>0.2</v>
      </c>
      <c r="E94" s="3070" t="s">
        <v>2295</v>
      </c>
      <c r="F94" s="3071"/>
      <c r="G94" s="3071"/>
      <c r="H94" s="307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3" t="s">
        <v>2275</v>
      </c>
      <c r="C95" s="206">
        <f ca="1">ROUND(C85-C86,0)</f>
        <v>2197</v>
      </c>
      <c r="D95" s="199" t="s">
        <v>32</v>
      </c>
      <c r="E95" s="1802"/>
      <c r="F95" s="1796"/>
      <c r="G95" s="1796"/>
      <c r="H95" s="233"/>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3" t="s">
        <v>2276</v>
      </c>
      <c r="C96" s="226">
        <f ca="1">IF(C95&lt;=0,0,C95/C86)</f>
        <v>199.72727272727272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8" t="s">
        <v>2277</v>
      </c>
      <c r="C97" s="227">
        <f ca="1">ROUND(IF(C95&lt;=0,0,IF(C96&gt;=200%,C95*60%-C86*35%,IF(C96&gt;=100%,C95*50%-C86*15%,IF(C96&gt;=50%,C95*40%-C86*5%,IF(C96&lt;50%,C95*30%,0))))),0)</f>
        <v>1314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7"/>
    </row>
    <row r="99" spans="1:35" ht="21.75" customHeight="1" thickBot="1">
      <c r="A99" s="2478" t="s">
        <v>2296</v>
      </c>
      <c r="B99" s="2422"/>
      <c r="C99" s="2422"/>
      <c r="D99" s="2422"/>
      <c r="E99" s="2169"/>
      <c r="F99" s="2169"/>
      <c r="G99" s="2169"/>
      <c r="H99" s="2168"/>
      <c r="I99" s="137"/>
    </row>
    <row r="100" spans="1:35" ht="18.75" customHeight="1">
      <c r="A100" s="3044" t="s">
        <v>2297</v>
      </c>
      <c r="B100" s="3045"/>
      <c r="C100" s="3045"/>
      <c r="D100" s="3061"/>
      <c r="E100" s="3045" t="s">
        <v>2298</v>
      </c>
      <c r="F100" s="3045"/>
      <c r="G100" s="3045"/>
      <c r="H100" s="3061"/>
      <c r="I100" s="137"/>
    </row>
    <row r="101" spans="1:35" ht="18.75" customHeight="1">
      <c r="A101" s="3123" t="s">
        <v>2299</v>
      </c>
      <c r="B101" s="3124"/>
      <c r="C101" s="735" t="str">
        <f>C4</f>
        <v>比较法-办公</v>
      </c>
      <c r="D101" s="736" t="str">
        <f>D4</f>
        <v>收益法 (元)</v>
      </c>
      <c r="E101" s="3137" t="s">
        <v>2300</v>
      </c>
      <c r="F101" s="3091"/>
      <c r="G101" s="2524" t="s">
        <v>2301</v>
      </c>
      <c r="H101" s="1047">
        <f ca="1">H118</f>
        <v>2318</v>
      </c>
      <c r="I101" s="137"/>
    </row>
    <row r="102" spans="1:35" ht="18.75" customHeight="1">
      <c r="A102" s="3093" t="s">
        <v>2302</v>
      </c>
      <c r="B102" s="2524" t="s">
        <v>2301</v>
      </c>
      <c r="C102" s="735">
        <f ca="1">C19</f>
        <v>2439</v>
      </c>
      <c r="D102" s="736">
        <f ca="1">D19</f>
        <v>2197</v>
      </c>
      <c r="E102" s="3137"/>
      <c r="F102" s="3091"/>
      <c r="G102" s="2524" t="s">
        <v>2303</v>
      </c>
      <c r="H102" s="370">
        <f ca="1">I118</f>
        <v>39325</v>
      </c>
      <c r="I102" s="137"/>
    </row>
    <row r="103" spans="1:35" ht="42.75" customHeight="1">
      <c r="A103" s="3093"/>
      <c r="B103" s="2524" t="s">
        <v>2303</v>
      </c>
      <c r="C103" s="737">
        <f ca="1">C20</f>
        <v>41378</v>
      </c>
      <c r="D103" s="738">
        <f ca="1">D20</f>
        <v>37272</v>
      </c>
      <c r="E103" s="3132" t="s">
        <v>2304</v>
      </c>
      <c r="F103" s="3133"/>
      <c r="G103" s="2525" t="s">
        <v>2305</v>
      </c>
      <c r="H103" s="1047">
        <f>IF(D36="正常操作",H104+H105+H106,H105+H106)</f>
        <v>0</v>
      </c>
      <c r="I103" s="137"/>
    </row>
    <row r="104" spans="1:35" ht="18.75" customHeight="1">
      <c r="A104" s="3093" t="s">
        <v>2306</v>
      </c>
      <c r="B104" s="2526" t="s">
        <v>2301</v>
      </c>
      <c r="C104" s="739">
        <f ca="1">H118</f>
        <v>2318</v>
      </c>
      <c r="D104" s="740"/>
      <c r="E104" s="2270" t="s">
        <v>2307</v>
      </c>
      <c r="F104" s="2261"/>
      <c r="G104" s="2525" t="s">
        <v>2305</v>
      </c>
      <c r="H104" s="1048">
        <f>IF(D36="同一抵押权人同一抵押物续贷",C36&amp;"（未扣减，详见特别提示）",C36)</f>
        <v>0</v>
      </c>
      <c r="I104" s="137"/>
    </row>
    <row r="105" spans="1:35" ht="18.75" customHeight="1" thickBot="1">
      <c r="A105" s="3094"/>
      <c r="B105" s="2527" t="s">
        <v>2303</v>
      </c>
      <c r="C105" s="741">
        <f ca="1">I118</f>
        <v>39325</v>
      </c>
      <c r="D105" s="742"/>
      <c r="E105" s="2270" t="s">
        <v>2308</v>
      </c>
      <c r="F105" s="2261"/>
      <c r="G105" s="2525" t="s">
        <v>2305</v>
      </c>
      <c r="H105" s="1048">
        <f>C37</f>
        <v>0</v>
      </c>
      <c r="I105" s="137"/>
    </row>
    <row r="106" spans="1:35" ht="18.75" customHeight="1">
      <c r="A106" s="2422" t="s">
        <v>2309</v>
      </c>
      <c r="B106" s="2422"/>
      <c r="C106" s="2422"/>
      <c r="D106" s="2422"/>
      <c r="E106" s="2528" t="s">
        <v>2310</v>
      </c>
      <c r="F106" s="2261"/>
      <c r="G106" s="2525" t="s">
        <v>2305</v>
      </c>
      <c r="H106" s="1048">
        <f>C38</f>
        <v>0</v>
      </c>
      <c r="I106" s="137"/>
    </row>
    <row r="107" spans="1:35" ht="18.75" customHeight="1">
      <c r="A107" s="137"/>
      <c r="B107" s="137"/>
      <c r="C107" s="137"/>
      <c r="D107" s="137"/>
      <c r="E107" s="3090" t="str">
        <f>IF(项目基本情况!E8="已注销","——","3.房地产抵押价值")</f>
        <v>3.房地产抵押价值</v>
      </c>
      <c r="F107" s="3091"/>
      <c r="G107" s="2524" t="s">
        <v>2301</v>
      </c>
      <c r="H107" s="1047">
        <f ca="1">IF(E107="——","——",H101-H103)</f>
        <v>2318</v>
      </c>
      <c r="I107" s="137"/>
    </row>
    <row r="108" spans="1:35" ht="18.75" customHeight="1">
      <c r="A108" s="137"/>
      <c r="B108" s="137"/>
      <c r="C108" s="137"/>
      <c r="D108" s="137"/>
      <c r="E108" s="3090"/>
      <c r="F108" s="3091"/>
      <c r="G108" s="2524" t="s">
        <v>2303</v>
      </c>
      <c r="H108" s="370">
        <f ca="1">ROUND(H107*10000/'数据-汇总表'!E3,0)</f>
        <v>39322</v>
      </c>
      <c r="I108" s="137"/>
    </row>
    <row r="109" spans="1:35" ht="18.75" customHeight="1">
      <c r="A109" s="137"/>
      <c r="B109" s="137"/>
      <c r="C109" s="137"/>
      <c r="D109" s="137"/>
      <c r="E109" s="3090" t="str">
        <f>IF(项目基本情况!E8="已注销及未注销","4.抵押担保权已注销时的房地产抵押价值",IF(项目基本情况!E8="已注销","3.抵押担保权已注销时的房地产抵押价值","——"))</f>
        <v>——</v>
      </c>
      <c r="F109" s="3091"/>
      <c r="G109" s="2524" t="s">
        <v>2301</v>
      </c>
      <c r="H109" s="347" t="str">
        <f>IF(E109="——","——",H101-H105-H106)</f>
        <v>——</v>
      </c>
      <c r="I109" s="137"/>
    </row>
    <row r="110" spans="1:35" ht="18.75" customHeight="1">
      <c r="A110" s="137"/>
      <c r="B110" s="137"/>
      <c r="C110" s="137"/>
      <c r="D110" s="137"/>
      <c r="E110" s="3090"/>
      <c r="F110" s="3091"/>
      <c r="G110" s="2524" t="s">
        <v>2303</v>
      </c>
      <c r="H110" s="370" t="str">
        <f>IF(H109="——","——",ROUND(H109*10000/'数据-汇总表'!E3,0))</f>
        <v>——</v>
      </c>
      <c r="I110" s="137"/>
    </row>
    <row r="111" spans="1:35" ht="18.75" customHeight="1">
      <c r="A111" s="137"/>
      <c r="B111" s="137"/>
      <c r="C111" s="137"/>
      <c r="D111" s="137"/>
      <c r="E111" s="3125" t="str">
        <f>IF(项目基本情况!E9="抵押净值",IF(OR(项目基本情况!E8="已注销",项目基本情况!E8="房地产抵押价值"),"4.抵押净值","5.抵押净值"),"——")</f>
        <v>——</v>
      </c>
      <c r="F111" s="3126"/>
      <c r="G111" s="2524" t="s">
        <v>2301</v>
      </c>
      <c r="H111" s="1047" t="str">
        <f>IF(E111="——","——",N59)</f>
        <v>——</v>
      </c>
      <c r="I111" s="137"/>
    </row>
    <row r="112" spans="1:35" ht="18.75" customHeight="1" thickBot="1">
      <c r="A112" s="137"/>
      <c r="B112" s="137"/>
      <c r="C112" s="137"/>
      <c r="D112" s="137"/>
      <c r="E112" s="3127"/>
      <c r="F112" s="3128"/>
      <c r="G112" s="2529" t="s">
        <v>2303</v>
      </c>
      <c r="H112" s="789" t="str">
        <f>IF(E111="——","——",N61)</f>
        <v>——</v>
      </c>
      <c r="I112" s="137"/>
    </row>
    <row r="113" spans="1:11" ht="18.75" customHeight="1">
      <c r="A113" s="137"/>
      <c r="B113" s="137"/>
      <c r="C113" s="137"/>
      <c r="D113" s="137"/>
      <c r="E113" s="3095" t="s">
        <v>2309</v>
      </c>
      <c r="F113" s="3095"/>
      <c r="G113" s="3095"/>
      <c r="H113" s="3095"/>
      <c r="I113" s="137"/>
    </row>
    <row r="114" spans="1:11" ht="3.75" customHeight="1">
      <c r="A114" s="2422"/>
      <c r="B114" s="2422"/>
      <c r="C114" s="2422"/>
      <c r="D114" s="2422"/>
      <c r="E114" s="2500"/>
      <c r="F114" s="2500"/>
      <c r="G114" s="2500"/>
      <c r="H114" s="2500"/>
      <c r="I114" s="2422"/>
    </row>
    <row r="115" spans="1:11" ht="18.75" customHeight="1">
      <c r="A115" s="3108" t="s">
        <v>2311</v>
      </c>
      <c r="B115" s="3109"/>
      <c r="C115" s="3109"/>
      <c r="D115" s="3109"/>
      <c r="E115" s="3109"/>
      <c r="F115" s="3109"/>
      <c r="G115" s="3109"/>
      <c r="H115" s="3109"/>
      <c r="I115" s="3110"/>
    </row>
    <row r="116" spans="1:11" ht="27" customHeight="1">
      <c r="A116" s="3001" t="s">
        <v>2312</v>
      </c>
      <c r="B116" s="3096" t="s">
        <v>2313</v>
      </c>
      <c r="C116" s="3096" t="s">
        <v>2314</v>
      </c>
      <c r="D116" s="3112" t="s">
        <v>2315</v>
      </c>
      <c r="E116" s="3113"/>
      <c r="F116" s="3104" t="s">
        <v>2316</v>
      </c>
      <c r="G116" s="3104"/>
      <c r="H116" s="3001" t="s">
        <v>2317</v>
      </c>
      <c r="I116" s="3001"/>
    </row>
    <row r="117" spans="1:11" ht="18.75" customHeight="1">
      <c r="A117" s="3001"/>
      <c r="B117" s="3097"/>
      <c r="C117" s="3097"/>
      <c r="D117" s="1797" t="s">
        <v>2318</v>
      </c>
      <c r="E117" s="1797" t="s">
        <v>2319</v>
      </c>
      <c r="F117" s="1797" t="s">
        <v>2318</v>
      </c>
      <c r="G117" s="1797" t="s">
        <v>2320</v>
      </c>
      <c r="H117" s="1797" t="s">
        <v>2318</v>
      </c>
      <c r="I117" s="1797" t="s">
        <v>2320</v>
      </c>
    </row>
    <row r="118" spans="1:11" ht="24.75" customHeight="1">
      <c r="A118" s="2530" t="str">
        <f>项目基本情况!S2</f>
        <v>北京市房地产</v>
      </c>
      <c r="B118" s="1797">
        <f>M18</f>
        <v>589.49</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2318</v>
      </c>
      <c r="I118" s="1797">
        <f ca="1">ROUND(IF(D32="楼面单价",C32,H118*10000/B118),0)</f>
        <v>39325</v>
      </c>
    </row>
    <row r="119" spans="1:11" ht="18.75" customHeight="1">
      <c r="A119" s="3001" t="s">
        <v>2321</v>
      </c>
      <c r="B119" s="3001"/>
      <c r="C119" s="3001"/>
      <c r="D119" s="3101" t="e">
        <f ca="1">NUMBERSTRING(INT(D118*10000),2)&amp;"元整"</f>
        <v>#REF!</v>
      </c>
      <c r="E119" s="3103"/>
      <c r="F119" s="3101" t="e">
        <f ca="1">NUMBERSTRING(INT(F118*10000),2)&amp;"元整"</f>
        <v>#REF!</v>
      </c>
      <c r="G119" s="3103"/>
      <c r="H119" s="3101" t="str">
        <f ca="1">NUMBERSTRING(INT(H118*10000),2)&amp;"元整"</f>
        <v>贰仟叁佰壹拾捌万元整</v>
      </c>
      <c r="I119" s="310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27" t="str">
        <f>IF(D120=0,"故，本次评估不存在"&amp;A120,"故，本次评估"&amp;A120&amp;"为人民币"&amp;D120&amp;"万元整。")</f>
        <v>故，本次评估不存在估价师知悉的法定优先受偿款</v>
      </c>
    </row>
    <row r="121" spans="1:11" ht="18.75" customHeight="1">
      <c r="A121" s="3105" t="s">
        <v>2321</v>
      </c>
      <c r="B121" s="3106"/>
      <c r="C121" s="3107"/>
      <c r="D121" s="3101" t="str">
        <f>IF(D120=0,"零元整",NUMBERSTRING(INT(D120*10000),2)&amp;"元整")</f>
        <v>零元整</v>
      </c>
      <c r="E121" s="3102"/>
      <c r="F121" s="3102"/>
      <c r="G121" s="3102"/>
      <c r="H121" s="3102"/>
      <c r="I121" s="3103"/>
    </row>
    <row r="122" spans="1:11" ht="18.75" customHeight="1">
      <c r="A122" s="3092" t="str">
        <f>IF(项目基本情况!B9="房地产市场价值","",MID(E107,3,LEN(E107)-2))</f>
        <v>房地产抵押价值</v>
      </c>
      <c r="B122" s="3092"/>
      <c r="C122" s="3092"/>
      <c r="D122" s="3129">
        <f ca="1">H107</f>
        <v>2318</v>
      </c>
      <c r="E122" s="3130"/>
      <c r="F122" s="3130"/>
      <c r="G122" s="3130"/>
      <c r="H122" s="3130"/>
      <c r="I122" s="3131"/>
    </row>
    <row r="123" spans="1:11" ht="18.75" customHeight="1">
      <c r="A123" s="3001" t="s">
        <v>2321</v>
      </c>
      <c r="B123" s="3001"/>
      <c r="C123" s="3001"/>
      <c r="D123" s="3101" t="str">
        <f ca="1">NUMBERSTRING(INT(D122*10000),2)&amp;"元整"</f>
        <v>贰仟叁佰壹拾捌万元整</v>
      </c>
      <c r="E123" s="3102"/>
      <c r="F123" s="3102"/>
      <c r="G123" s="3102"/>
      <c r="H123" s="3102"/>
      <c r="I123" s="3103"/>
    </row>
    <row r="124" spans="1:11" ht="18.75" customHeight="1">
      <c r="A124" s="3092" t="str">
        <f>IF(项目基本情况!B9="房地产市场价值","",MID(E109,3,LEN(E109)-2))</f>
        <v/>
      </c>
      <c r="B124" s="3092"/>
      <c r="C124" s="3092"/>
      <c r="D124" s="3129" t="str">
        <f>H109</f>
        <v>——</v>
      </c>
      <c r="E124" s="3130"/>
      <c r="F124" s="3130"/>
      <c r="G124" s="3130"/>
      <c r="H124" s="3130"/>
      <c r="I124" s="3131"/>
    </row>
    <row r="125" spans="1:11" ht="18.75" customHeight="1">
      <c r="A125" s="3001" t="s">
        <v>2321</v>
      </c>
      <c r="B125" s="3001"/>
      <c r="C125" s="3001"/>
      <c r="D125" s="3101" t="e">
        <f>NUMBERSTRING(INT(D124*10000),2)&amp;"元整"</f>
        <v>#VALUE!</v>
      </c>
      <c r="E125" s="3102"/>
      <c r="F125" s="3102"/>
      <c r="G125" s="3102"/>
      <c r="H125" s="3102"/>
      <c r="I125" s="3103"/>
    </row>
    <row r="126" spans="1:11" ht="18.75" customHeight="1">
      <c r="A126" s="3092" t="str">
        <f>IF(项目基本情况!B9="房地产市场价值","",MID(E111,3,LEN(E111)-2))</f>
        <v/>
      </c>
      <c r="B126" s="3092"/>
      <c r="C126" s="3092"/>
      <c r="D126" s="3129" t="str">
        <f>H111</f>
        <v>——</v>
      </c>
      <c r="E126" s="3130"/>
      <c r="F126" s="3130"/>
      <c r="G126" s="3130"/>
      <c r="H126" s="3130"/>
      <c r="I126" s="3131"/>
    </row>
    <row r="127" spans="1:11" ht="18.75" customHeight="1">
      <c r="A127" s="3001" t="s">
        <v>2321</v>
      </c>
      <c r="B127" s="3001"/>
      <c r="C127" s="3001"/>
      <c r="D127" s="3101" t="e">
        <f>NUMBERSTRING(INT(D126*10000),2)&amp;"元整"</f>
        <v>#VALUE!</v>
      </c>
      <c r="E127" s="3102"/>
      <c r="F127" s="3102"/>
      <c r="G127" s="3102"/>
      <c r="H127" s="3102"/>
      <c r="I127" s="3103"/>
    </row>
    <row r="128" spans="1:11" ht="21.75" customHeight="1">
      <c r="A128" s="3111" t="s">
        <v>2322</v>
      </c>
      <c r="B128" s="3111"/>
      <c r="C128" s="3111"/>
      <c r="D128" s="3111"/>
      <c r="E128" s="3111"/>
      <c r="F128" s="3111"/>
      <c r="G128" s="3111"/>
      <c r="H128" s="3111"/>
      <c r="I128" s="3111"/>
    </row>
    <row r="129" spans="1:35" ht="21.75" customHeight="1">
      <c r="A129" s="2531" t="s">
        <v>2323</v>
      </c>
      <c r="B129" s="2532"/>
      <c r="C129" s="2533" t="s">
        <v>2324</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4"/>
    </row>
    <row r="135" spans="1:35" ht="21.75" customHeight="1">
      <c r="A135" s="794"/>
      <c r="B135" s="794"/>
      <c r="C135" s="794"/>
      <c r="D135" s="794"/>
      <c r="E135" s="794"/>
      <c r="F135" s="2547" t="s">
        <v>2325</v>
      </c>
      <c r="G135" s="2548"/>
      <c r="H135" s="2548"/>
      <c r="I135" s="2549" t="s">
        <v>2326</v>
      </c>
    </row>
    <row r="136" spans="1:35" ht="21.75" customHeight="1">
      <c r="A136" s="794"/>
      <c r="B136" s="2550"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8"/>
      <c r="C138" s="2548"/>
      <c r="D138" s="2548"/>
      <c r="E138" s="2548"/>
      <c r="F138" s="2548"/>
      <c r="G138" s="2548"/>
      <c r="H138" s="2548"/>
      <c r="I138" s="2549" t="s">
        <v>2328</v>
      </c>
    </row>
    <row r="139" spans="1:35" ht="21.75" customHeight="1">
      <c r="A139" s="794"/>
      <c r="B139" s="2550" t="s">
        <v>2329</v>
      </c>
      <c r="C139" s="794"/>
      <c r="D139" s="794"/>
      <c r="E139" s="794"/>
      <c r="F139" s="794"/>
      <c r="G139" s="794"/>
      <c r="H139" s="794"/>
      <c r="I139" s="794"/>
    </row>
    <row r="140" spans="1:35" ht="21.75" customHeight="1">
      <c r="A140" s="794"/>
      <c r="B140" s="2550"/>
      <c r="C140" s="794"/>
      <c r="D140" s="794"/>
      <c r="E140" s="794"/>
      <c r="F140" s="794"/>
      <c r="G140" s="794"/>
      <c r="H140" s="794"/>
      <c r="I140" s="794"/>
    </row>
    <row r="141" spans="1:35" ht="21.75" customHeight="1">
      <c r="A141" s="794"/>
      <c r="B141" s="2548"/>
      <c r="C141" s="2548"/>
      <c r="D141" s="2548"/>
      <c r="E141" s="2548"/>
      <c r="F141" s="2548"/>
      <c r="G141" s="2548"/>
      <c r="H141" s="2548"/>
      <c r="I141" s="2549" t="s">
        <v>2328</v>
      </c>
    </row>
    <row r="142" spans="1:35" ht="21.75" customHeight="1">
      <c r="A142" s="794"/>
      <c r="B142" s="2550"/>
      <c r="C142" s="2551"/>
      <c r="D142" s="2552"/>
      <c r="E142" s="2552"/>
      <c r="F142" s="2344"/>
      <c r="G142" s="794"/>
      <c r="H142" s="794"/>
      <c r="I142" s="794"/>
    </row>
    <row r="143" spans="1:35" s="138" customFormat="1" ht="21.75" customHeight="1">
      <c r="A143" s="794"/>
      <c r="B143" s="2550"/>
      <c r="C143" s="2551"/>
      <c r="D143" s="2552"/>
      <c r="E143" s="2552"/>
      <c r="F143" s="234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7</v>
      </c>
    </row>
    <row r="2" spans="1:9" s="243" customFormat="1" ht="18" customHeight="1">
      <c r="A2" s="244" t="s">
        <v>2331</v>
      </c>
      <c r="B2" s="245">
        <f ca="1">IF(D2="——",C52,C52-E2)</f>
        <v>337</v>
      </c>
      <c r="C2" s="242" t="s">
        <v>2332</v>
      </c>
      <c r="D2" s="2553" t="s">
        <v>70</v>
      </c>
      <c r="E2" s="1442" t="e">
        <f ca="1">SUMIF(INDIRECT("'"&amp;G2&amp;"'"&amp;"!A:A"),"承租人权益价值",INDIRECT("'"&amp;G2&amp;"'"&amp;"!c:c"))</f>
        <v>#REF!</v>
      </c>
      <c r="F2" s="2554" t="s">
        <v>2332</v>
      </c>
      <c r="G2" s="2555"/>
    </row>
    <row r="3" spans="1:9" s="243" customFormat="1" ht="18" customHeight="1" thickBot="1">
      <c r="A3" s="246" t="s">
        <v>2333</v>
      </c>
      <c r="B3" s="247">
        <f ca="1">ROUND(B2*10000/(IF(B1="",'数据-汇总表'!E3,INDIRECT("'数据-取费表'!k"&amp;$G$1))),0)</f>
        <v>5717</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6"/>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0</v>
      </c>
      <c r="F9" s="264"/>
      <c r="G9" s="2557"/>
      <c r="H9" s="1392"/>
      <c r="I9" s="2558"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589.49</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12</v>
      </c>
      <c r="D19" s="1038">
        <f ca="1">D9+D10</f>
        <v>589.49</v>
      </c>
      <c r="E19" s="254">
        <f>'数据-取费表'!B31</f>
        <v>200</v>
      </c>
      <c r="F19" s="274"/>
      <c r="G19" s="2556"/>
    </row>
    <row r="20" spans="1:7" s="257" customFormat="1" ht="13.5" customHeight="1">
      <c r="A20" s="298" t="s">
        <v>2362</v>
      </c>
      <c r="B20" s="253" t="s">
        <v>2363</v>
      </c>
      <c r="C20" s="275">
        <f ca="1">ROUND((C5+C19)*F20,0)</f>
        <v>0</v>
      </c>
      <c r="D20" s="275"/>
      <c r="E20" s="275"/>
      <c r="F20" s="276">
        <f>'数据-取费表'!B37</f>
        <v>0.03</v>
      </c>
      <c r="G20" s="277" t="s">
        <v>2364</v>
      </c>
    </row>
    <row r="21" spans="1:7" s="257" customFormat="1" ht="13.5" customHeight="1">
      <c r="A21" s="298" t="s">
        <v>2365</v>
      </c>
      <c r="B21" s="253" t="s">
        <v>2366</v>
      </c>
      <c r="C21" s="278">
        <f>F21</f>
        <v>0.03</v>
      </c>
      <c r="D21" s="279" t="s">
        <v>2367</v>
      </c>
      <c r="E21" s="275"/>
      <c r="F21" s="276">
        <f>'数据-取费表'!B38</f>
        <v>0.03</v>
      </c>
      <c r="G21" s="277" t="s">
        <v>2368</v>
      </c>
    </row>
    <row r="22" spans="1:7" s="257" customFormat="1" ht="13.5" customHeight="1">
      <c r="A22" s="298" t="s">
        <v>2369</v>
      </c>
      <c r="B22" s="253" t="s">
        <v>2370</v>
      </c>
      <c r="C22" s="1356">
        <f ca="1">ROUND(SUM(C23:C25),0)</f>
        <v>1</v>
      </c>
      <c r="D22" s="278">
        <f ca="1">C26</f>
        <v>1.4E-3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1</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1.4E-3</v>
      </c>
      <c r="D26" s="281"/>
      <c r="E26" s="284"/>
      <c r="F26" s="282"/>
      <c r="G26" s="286"/>
    </row>
    <row r="27" spans="1:7" s="257" customFormat="1" ht="24.75">
      <c r="A27" s="298" t="s">
        <v>2381</v>
      </c>
      <c r="B27" s="287" t="s">
        <v>2382</v>
      </c>
      <c r="C27" s="288">
        <f ca="1">C28</f>
        <v>2</v>
      </c>
      <c r="D27" s="278">
        <f ca="1">C29</f>
        <v>6.0000000000000001E-3</v>
      </c>
      <c r="E27" s="279" t="s">
        <v>2383</v>
      </c>
      <c r="F27" s="289">
        <f ca="1">IF(B1="",'数据-取费表'!Q16,INDIRECT("'数据-取费表'!q"&amp;$G$1))</f>
        <v>0.2</v>
      </c>
      <c r="G27" s="290" t="s">
        <v>2384</v>
      </c>
    </row>
    <row r="28" spans="1:7" s="257" customFormat="1" ht="13.5" customHeight="1">
      <c r="A28" s="953" t="s">
        <v>791</v>
      </c>
      <c r="B28" s="291" t="s">
        <v>2385</v>
      </c>
      <c r="C28" s="292">
        <f ca="1">ROUND((C5+C19+C20)*F27*'数据-取费表'!B21/'数据-取费表'!B20,0)</f>
        <v>2</v>
      </c>
      <c r="D28" s="278"/>
      <c r="E28" s="279"/>
      <c r="F28" s="289"/>
      <c r="G28" s="290"/>
    </row>
    <row r="29" spans="1:7" s="257" customFormat="1" ht="13.5" customHeight="1">
      <c r="A29" s="953" t="s">
        <v>792</v>
      </c>
      <c r="B29" s="291" t="s">
        <v>2386</v>
      </c>
      <c r="C29" s="281">
        <f ca="1">ROUND(C21*F27*'数据-取费表'!B21/'数据-取费表'!B20,4)</f>
        <v>6.0000000000000001E-3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16</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227</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206</v>
      </c>
      <c r="D34" s="260"/>
      <c r="E34" s="263"/>
      <c r="F34" s="300">
        <f ca="1">IF('数据-取费表'!B24=0,1,IF(B1="",'数据-取费表'!N16,INDIRECT("'数据-取费表'!n"&amp;$G$1)))</f>
        <v>1</v>
      </c>
      <c r="G34" s="262" t="s">
        <v>2395</v>
      </c>
    </row>
    <row r="35" spans="1:7" ht="13.5" customHeight="1">
      <c r="A35" s="953" t="s">
        <v>796</v>
      </c>
      <c r="B35" s="258" t="s">
        <v>2396</v>
      </c>
      <c r="C35" s="263">
        <f ca="1">ROUND(C34*F35,0)</f>
        <v>6</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3" t="s">
        <v>798</v>
      </c>
      <c r="B37" s="258" t="s">
        <v>2400</v>
      </c>
      <c r="C37" s="292">
        <f ca="1">ROUND(E37*D37*F34/10000,0)</f>
        <v>12</v>
      </c>
      <c r="D37" s="260">
        <f ca="1">D19</f>
        <v>589.49</v>
      </c>
      <c r="E37" s="292">
        <f>'数据-取费表'!B35</f>
        <v>200</v>
      </c>
      <c r="F37" s="302"/>
      <c r="G37" s="304" t="s">
        <v>2401</v>
      </c>
    </row>
    <row r="38" spans="1:7" ht="13.5" customHeight="1">
      <c r="A38" s="953" t="s">
        <v>799</v>
      </c>
      <c r="B38" s="258" t="s">
        <v>2402</v>
      </c>
      <c r="C38" s="263">
        <f ca="1">ROUND(C34*F38,0)</f>
        <v>3</v>
      </c>
      <c r="D38" s="263"/>
      <c r="E38" s="263"/>
      <c r="F38" s="302">
        <f>'数据-取费表'!B36</f>
        <v>1.4999999999999999E-2</v>
      </c>
      <c r="G38" s="262" t="s">
        <v>2397</v>
      </c>
    </row>
    <row r="39" spans="1:7" s="257" customFormat="1" ht="13.5" customHeight="1">
      <c r="A39" s="298" t="s">
        <v>2403</v>
      </c>
      <c r="B39" s="253" t="s">
        <v>2404</v>
      </c>
      <c r="C39" s="275">
        <f ca="1">ROUND(C33*F20,0)</f>
        <v>7</v>
      </c>
      <c r="D39" s="275"/>
      <c r="E39" s="275"/>
      <c r="F39" s="276"/>
      <c r="G39" s="277" t="s">
        <v>2405</v>
      </c>
    </row>
    <row r="40" spans="1:7" s="257" customFormat="1" ht="13.5" customHeight="1">
      <c r="A40" s="298" t="s">
        <v>2406</v>
      </c>
      <c r="B40" s="253" t="s">
        <v>2407</v>
      </c>
      <c r="C40" s="1730">
        <f>F21</f>
        <v>0.03</v>
      </c>
      <c r="D40" s="279" t="s">
        <v>2408</v>
      </c>
      <c r="E40" s="275"/>
      <c r="F40" s="276"/>
      <c r="G40" s="277" t="s">
        <v>2409</v>
      </c>
    </row>
    <row r="41" spans="1:7" s="257" customFormat="1" ht="13.5" customHeight="1">
      <c r="A41" s="298" t="s">
        <v>2410</v>
      </c>
      <c r="B41" s="253" t="s">
        <v>2411</v>
      </c>
      <c r="C41" s="275">
        <f ca="1">ROUND(SUM(C42:C43),0)</f>
        <v>11</v>
      </c>
      <c r="D41" s="278">
        <f ca="1">C44</f>
        <v>1.4E-3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11</v>
      </c>
      <c r="D42" s="281"/>
      <c r="E42" s="281"/>
      <c r="F42" s="282"/>
      <c r="G42" s="3143" t="s">
        <v>2413</v>
      </c>
    </row>
    <row r="43" spans="1:7" ht="13.5" customHeight="1">
      <c r="A43" s="953" t="s">
        <v>792</v>
      </c>
      <c r="B43" s="258" t="s">
        <v>2414</v>
      </c>
      <c r="C43" s="281">
        <f ca="1">ROUND(IF('数据-取费表'!B22&lt;=1,C39*F22*'数据-取费表'!B21/2,C39*(POWER((1+F22),'数据-取费表'!B21/2)-1)),0)</f>
        <v>0</v>
      </c>
      <c r="D43" s="281"/>
      <c r="E43" s="281"/>
      <c r="F43" s="282"/>
      <c r="G43" s="3144"/>
    </row>
    <row r="44" spans="1:7" ht="13.5" customHeight="1">
      <c r="A44" s="953" t="s">
        <v>793</v>
      </c>
      <c r="B44" s="258" t="s">
        <v>2415</v>
      </c>
      <c r="C44" s="281">
        <f ca="1">ROUND(IF('数据-取费表'!B22&lt;=1,C40*F22*'数据-取费表'!B21/2,C40*(POWER((1+F22),'数据-取费表'!B21/2)-1)),4)</f>
        <v>1.4E-3</v>
      </c>
      <c r="D44" s="281"/>
      <c r="E44" s="281"/>
      <c r="F44" s="282"/>
      <c r="G44" s="3145"/>
    </row>
    <row r="45" spans="1:7" s="257" customFormat="1" ht="13.5" customHeight="1">
      <c r="A45" s="298" t="s">
        <v>2416</v>
      </c>
      <c r="B45" s="287" t="s">
        <v>2382</v>
      </c>
      <c r="C45" s="288">
        <f ca="1">C46</f>
        <v>47</v>
      </c>
      <c r="D45" s="278">
        <f ca="1">C47</f>
        <v>6.0000000000000001E-3</v>
      </c>
      <c r="E45" s="279" t="s">
        <v>2408</v>
      </c>
      <c r="F45" s="289"/>
      <c r="G45" s="290" t="s">
        <v>2417</v>
      </c>
    </row>
    <row r="46" spans="1:7" s="257" customFormat="1" ht="13.5" customHeight="1">
      <c r="A46" s="953" t="s">
        <v>791</v>
      </c>
      <c r="B46" s="291" t="s">
        <v>2418</v>
      </c>
      <c r="C46" s="292">
        <f ca="1">ROUND((C33+C39)*F27,0)</f>
        <v>47</v>
      </c>
      <c r="D46" s="306"/>
      <c r="E46" s="279"/>
      <c r="F46" s="289"/>
      <c r="G46" s="290"/>
    </row>
    <row r="47" spans="1:7" s="257" customFormat="1" ht="13.5" customHeight="1">
      <c r="A47" s="953" t="s">
        <v>792</v>
      </c>
      <c r="B47" s="291" t="s">
        <v>2419</v>
      </c>
      <c r="C47" s="281">
        <f ca="1">ROUND(C40*F27,4)</f>
        <v>6.0000000000000001E-3</v>
      </c>
      <c r="D47" s="306"/>
      <c r="E47" s="279"/>
      <c r="F47" s="289"/>
      <c r="G47" s="290"/>
    </row>
    <row r="48" spans="1:7" s="257" customFormat="1" ht="13.5" customHeight="1">
      <c r="A48" s="298" t="s">
        <v>2381</v>
      </c>
      <c r="B48" s="253" t="s">
        <v>2420</v>
      </c>
      <c r="C48" s="1730">
        <f>ROUND(F30/(1+'数据-取费表'!C42),4)</f>
        <v>5.2400000000000002E-2</v>
      </c>
      <c r="D48" s="279" t="s">
        <v>2408</v>
      </c>
      <c r="E48" s="275"/>
      <c r="F48" s="280"/>
      <c r="G48" s="277" t="s">
        <v>2421</v>
      </c>
    </row>
    <row r="49" spans="1:7" ht="16.5" customHeight="1">
      <c r="A49" s="298" t="s">
        <v>2387</v>
      </c>
      <c r="B49" s="253" t="s">
        <v>2422</v>
      </c>
      <c r="C49" s="275">
        <f ca="1">ROUND((C33+C39+C41+C45)/(1-C40-D41-D45-C48),0)</f>
        <v>321</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321</v>
      </c>
      <c r="D51" s="275"/>
      <c r="E51" s="275"/>
      <c r="F51" s="307"/>
      <c r="G51" s="277" t="s">
        <v>2429</v>
      </c>
    </row>
    <row r="52" spans="1:7" s="251" customFormat="1" ht="16.5" thickBot="1">
      <c r="A52" s="308" t="s">
        <v>2430</v>
      </c>
      <c r="B52" s="309"/>
      <c r="C52" s="310">
        <f ca="1">C31+C51</f>
        <v>337</v>
      </c>
      <c r="D52" s="309"/>
      <c r="E52" s="309"/>
      <c r="F52" s="309"/>
      <c r="G52" s="311"/>
    </row>
    <row r="55" spans="1:7" ht="15">
      <c r="B55" s="313" t="s">
        <v>2431</v>
      </c>
      <c r="C55" s="314"/>
    </row>
    <row r="56" spans="1:7">
      <c r="B56" s="316" t="s">
        <v>1513</v>
      </c>
      <c r="C56" s="318">
        <f ca="1">1-C57</f>
        <v>4.7000000000000042E-2</v>
      </c>
    </row>
    <row r="57" spans="1:7">
      <c r="B57" s="316" t="s">
        <v>1514</v>
      </c>
      <c r="C57" s="317">
        <f ca="1">ROUND(C51/C52,3)</f>
        <v>0.95299999999999996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57" t="str">
        <f>项目基本情况!B1</f>
        <v>北京市房地产抵押价值预评估</v>
      </c>
      <c r="C37" s="2957"/>
      <c r="D37" s="2957"/>
      <c r="E37" s="2957"/>
      <c r="F37" s="2957"/>
      <c r="G37" s="2957"/>
      <c r="H37" s="2957"/>
      <c r="I37" s="2957"/>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9" t="s">
        <v>2432</v>
      </c>
      <c r="D1" s="241"/>
      <c r="E1" s="241"/>
      <c r="F1" s="241"/>
      <c r="G1" s="1381">
        <f>MATCH(B1,'数据-取费表'!A6:A16,0)+5</f>
        <v>7</v>
      </c>
      <c r="H1" s="1284" t="str">
        <f>IF(ISERROR(FIND("住宅",B1)),"非住宅","住宅")</f>
        <v>非住宅</v>
      </c>
    </row>
    <row r="2" spans="1:8" s="243" customFormat="1" ht="18" customHeight="1">
      <c r="A2" s="244" t="s">
        <v>2331</v>
      </c>
      <c r="B2" s="245">
        <f ca="1">ROUND(IF(D2="——",C52/10000,C52/10000-E2),0)</f>
        <v>338</v>
      </c>
      <c r="C2" s="242" t="s">
        <v>2332</v>
      </c>
      <c r="D2" s="2553" t="s">
        <v>70</v>
      </c>
      <c r="E2" s="1442" t="e">
        <f ca="1">SUMIF(INDIRECT("'"&amp;G2&amp;"'"&amp;"!A:A"),"承租人权益价值",INDIRECT("'"&amp;G2&amp;"'"&amp;"!c:c"))</f>
        <v>#REF!</v>
      </c>
      <c r="F2" s="2554" t="s">
        <v>2332</v>
      </c>
      <c r="G2" s="2555"/>
    </row>
    <row r="3" spans="1:8" s="243" customFormat="1" ht="18" customHeight="1" thickBot="1">
      <c r="A3" s="246" t="s">
        <v>2333</v>
      </c>
      <c r="B3" s="247">
        <f ca="1">ROUND(B2*10000/(IF(B1="",'数据-汇总表'!E3,INDIRECT("'数据-取费表'!k"&amp;$G$1))),0)</f>
        <v>5734</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0</v>
      </c>
      <c r="D8" s="265"/>
      <c r="E8" s="263"/>
      <c r="F8" s="264"/>
      <c r="G8" s="2556"/>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589.49</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117898</v>
      </c>
      <c r="D19" s="1038">
        <f ca="1">D9+D10</f>
        <v>589.49</v>
      </c>
      <c r="E19" s="254">
        <f>'数据-取费表'!B31</f>
        <v>200</v>
      </c>
      <c r="F19" s="274"/>
      <c r="G19" s="2556"/>
    </row>
    <row r="20" spans="1:7" s="257" customFormat="1" ht="13.5" customHeight="1">
      <c r="A20" s="298" t="s">
        <v>2443</v>
      </c>
      <c r="B20" s="253" t="s">
        <v>2444</v>
      </c>
      <c r="C20" s="275">
        <f ca="1">ROUND((C5+C19)*F20,0)</f>
        <v>3537</v>
      </c>
      <c r="D20" s="275"/>
      <c r="E20" s="275"/>
      <c r="F20" s="276">
        <f>'数据-取费表'!B37</f>
        <v>0.03</v>
      </c>
      <c r="G20" s="277" t="s">
        <v>2445</v>
      </c>
    </row>
    <row r="21" spans="1:7" s="257" customFormat="1" ht="13.5" customHeight="1">
      <c r="A21" s="298" t="s">
        <v>2446</v>
      </c>
      <c r="B21" s="253" t="s">
        <v>2447</v>
      </c>
      <c r="C21" s="278">
        <f>F21</f>
        <v>0.03</v>
      </c>
      <c r="D21" s="279" t="s">
        <v>2448</v>
      </c>
      <c r="E21" s="275"/>
      <c r="F21" s="276">
        <f>'数据-取费表'!B38</f>
        <v>0.03</v>
      </c>
      <c r="G21" s="277" t="s">
        <v>2449</v>
      </c>
    </row>
    <row r="22" spans="1:7" s="257" customFormat="1" ht="13.5" customHeight="1">
      <c r="A22" s="298" t="s">
        <v>2450</v>
      </c>
      <c r="B22" s="253" t="s">
        <v>2451</v>
      </c>
      <c r="C22" s="1382">
        <f ca="1">ROUND(SUM(C23:C25),0)</f>
        <v>11634</v>
      </c>
      <c r="D22" s="278">
        <f ca="1">C26</f>
        <v>1.4E-3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11466</v>
      </c>
      <c r="D24" s="281"/>
      <c r="E24" s="281"/>
      <c r="F24" s="282"/>
      <c r="G24" s="283" t="s">
        <v>2455</v>
      </c>
    </row>
    <row r="25" spans="1:7" s="257" customFormat="1" ht="24">
      <c r="A25" s="953" t="s">
        <v>2345</v>
      </c>
      <c r="B25" s="258" t="s">
        <v>2456</v>
      </c>
      <c r="C25" s="1383">
        <f ca="1">ROUND(IF('数据-取费表'!B22&lt;=1,C20*F22*'数据-取费表'!B22/2,C20*(POWER((1+F22),'数据-取费表'!B22/2)-1)),0)</f>
        <v>168</v>
      </c>
      <c r="D25" s="281"/>
      <c r="E25" s="284"/>
      <c r="F25" s="282"/>
      <c r="G25" s="285" t="s">
        <v>2457</v>
      </c>
    </row>
    <row r="26" spans="1:7" s="257" customFormat="1">
      <c r="A26" s="953" t="s">
        <v>795</v>
      </c>
      <c r="B26" s="258" t="s">
        <v>2380</v>
      </c>
      <c r="C26" s="281">
        <f ca="1">ROUND(IF('数据-取费表'!B22&lt;=1,F21*F22*'数据-取费表'!B22/2,F21*(POWER((1+F22),'数据-取费表'!B22/2)-1)),4)</f>
        <v>1.4E-3</v>
      </c>
      <c r="D26" s="281"/>
      <c r="E26" s="284"/>
      <c r="F26" s="282"/>
      <c r="G26" s="286"/>
    </row>
    <row r="27" spans="1:7" s="257" customFormat="1" ht="24.75">
      <c r="A27" s="298" t="s">
        <v>2381</v>
      </c>
      <c r="B27" s="287" t="s">
        <v>2382</v>
      </c>
      <c r="C27" s="288">
        <f ca="1">C28</f>
        <v>24287</v>
      </c>
      <c r="D27" s="278">
        <f ca="1">C29</f>
        <v>6.0000000000000001E-3</v>
      </c>
      <c r="E27" s="279" t="s">
        <v>2383</v>
      </c>
      <c r="F27" s="289">
        <f ca="1">IF(B1="",'数据-取费表'!Q16,INDIRECT("'数据-取费表'!q"&amp;$G$1))</f>
        <v>0.2</v>
      </c>
      <c r="G27" s="290" t="s">
        <v>2384</v>
      </c>
    </row>
    <row r="28" spans="1:7" s="257" customFormat="1" ht="13.5" customHeight="1">
      <c r="A28" s="953" t="s">
        <v>791</v>
      </c>
      <c r="B28" s="291" t="s">
        <v>2385</v>
      </c>
      <c r="C28" s="292">
        <f ca="1">ROUND((C5+C19+C20)*F27,0)</f>
        <v>24287</v>
      </c>
      <c r="D28" s="278"/>
      <c r="E28" s="279"/>
      <c r="F28" s="289"/>
      <c r="G28" s="290"/>
    </row>
    <row r="29" spans="1:7" s="257" customFormat="1" ht="13.5" customHeight="1">
      <c r="A29" s="953" t="s">
        <v>792</v>
      </c>
      <c r="B29" s="291" t="s">
        <v>2386</v>
      </c>
      <c r="C29" s="281">
        <f ca="1">ROUND(C21*F27,4)</f>
        <v>6.0000000000000001E-3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172881</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2273957</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2063215</v>
      </c>
      <c r="D34" s="260"/>
      <c r="E34" s="263"/>
      <c r="F34" s="300"/>
      <c r="G34" s="262"/>
    </row>
    <row r="35" spans="1:7" ht="13.5" customHeight="1">
      <c r="A35" s="953" t="s">
        <v>796</v>
      </c>
      <c r="B35" s="258" t="s">
        <v>2396</v>
      </c>
      <c r="C35" s="263">
        <f ca="1">ROUND(C34*F35,0)</f>
        <v>61896</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3" t="s">
        <v>798</v>
      </c>
      <c r="B37" s="258" t="s">
        <v>2400</v>
      </c>
      <c r="C37" s="292">
        <f ca="1">ROUND(E37*D37,0)</f>
        <v>117898</v>
      </c>
      <c r="D37" s="260">
        <f ca="1">D19</f>
        <v>589.49</v>
      </c>
      <c r="E37" s="292">
        <f>'数据-取费表'!B35</f>
        <v>200</v>
      </c>
      <c r="F37" s="302"/>
      <c r="G37" s="304"/>
    </row>
    <row r="38" spans="1:7" ht="13.5" customHeight="1">
      <c r="A38" s="953" t="s">
        <v>799</v>
      </c>
      <c r="B38" s="258" t="s">
        <v>2402</v>
      </c>
      <c r="C38" s="263">
        <f ca="1">ROUND(C34*F38,0)</f>
        <v>30948</v>
      </c>
      <c r="D38" s="263"/>
      <c r="E38" s="263"/>
      <c r="F38" s="302">
        <f>'数据-取费表'!B36</f>
        <v>1.4999999999999999E-2</v>
      </c>
      <c r="G38" s="262" t="s">
        <v>2397</v>
      </c>
    </row>
    <row r="39" spans="1:7" s="257" customFormat="1" ht="13.5" customHeight="1">
      <c r="A39" s="298" t="s">
        <v>2403</v>
      </c>
      <c r="B39" s="253" t="s">
        <v>2404</v>
      </c>
      <c r="C39" s="275">
        <f ca="1">ROUND(C33*F20,0)</f>
        <v>68219</v>
      </c>
      <c r="D39" s="275"/>
      <c r="E39" s="275"/>
      <c r="F39" s="276"/>
      <c r="G39" s="277" t="s">
        <v>2405</v>
      </c>
    </row>
    <row r="40" spans="1:7" s="257" customFormat="1" ht="13.5" customHeight="1">
      <c r="A40" s="298" t="s">
        <v>2406</v>
      </c>
      <c r="B40" s="253" t="s">
        <v>2407</v>
      </c>
      <c r="C40" s="1730">
        <f>F21</f>
        <v>0.03</v>
      </c>
      <c r="D40" s="279" t="s">
        <v>2408</v>
      </c>
      <c r="E40" s="275"/>
      <c r="F40" s="276"/>
      <c r="G40" s="277" t="s">
        <v>2409</v>
      </c>
    </row>
    <row r="41" spans="1:7" s="257" customFormat="1" ht="13.5" customHeight="1">
      <c r="A41" s="298" t="s">
        <v>2410</v>
      </c>
      <c r="B41" s="253" t="s">
        <v>2411</v>
      </c>
      <c r="C41" s="275">
        <f ca="1">ROUND(SUM(C42:C43),0)</f>
        <v>111253</v>
      </c>
      <c r="D41" s="278">
        <f ca="1">C44</f>
        <v>1.4E-3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108013</v>
      </c>
      <c r="D42" s="281"/>
      <c r="E42" s="281"/>
      <c r="F42" s="282"/>
      <c r="G42" s="3143" t="s">
        <v>2460</v>
      </c>
    </row>
    <row r="43" spans="1:7" ht="13.5" customHeight="1">
      <c r="A43" s="953" t="s">
        <v>792</v>
      </c>
      <c r="B43" s="258" t="s">
        <v>2414</v>
      </c>
      <c r="C43" s="281">
        <f ca="1">ROUND(IF('数据-取费表'!B22&lt;=1,C39*F22*'数据-取费表'!B20/2,C39*(POWER((1+F22),'数据-取费表'!B20/2)-1)),0)</f>
        <v>3240</v>
      </c>
      <c r="D43" s="281"/>
      <c r="E43" s="281"/>
      <c r="F43" s="282"/>
      <c r="G43" s="3144"/>
    </row>
    <row r="44" spans="1:7" ht="13.5" customHeight="1">
      <c r="A44" s="953" t="s">
        <v>793</v>
      </c>
      <c r="B44" s="258" t="s">
        <v>2415</v>
      </c>
      <c r="C44" s="281">
        <f ca="1">ROUND(IF('数据-取费表'!B22&lt;=1,C40*F22*'数据-取费表'!B20/2,C40*(POWER((1+F22),'数据-取费表'!B20/2)-1)),4)</f>
        <v>1.4E-3</v>
      </c>
      <c r="D44" s="281"/>
      <c r="E44" s="281"/>
      <c r="F44" s="282"/>
      <c r="G44" s="3145"/>
    </row>
    <row r="45" spans="1:7" s="257" customFormat="1" ht="13.5" customHeight="1">
      <c r="A45" s="298" t="s">
        <v>2416</v>
      </c>
      <c r="B45" s="287" t="s">
        <v>2382</v>
      </c>
      <c r="C45" s="288">
        <f ca="1">C46</f>
        <v>468435</v>
      </c>
      <c r="D45" s="278">
        <f ca="1">C47</f>
        <v>6.0000000000000001E-3</v>
      </c>
      <c r="E45" s="279" t="s">
        <v>2408</v>
      </c>
      <c r="F45" s="289"/>
      <c r="G45" s="290" t="s">
        <v>2417</v>
      </c>
    </row>
    <row r="46" spans="1:7" s="257" customFormat="1" ht="13.5" customHeight="1">
      <c r="A46" s="953" t="s">
        <v>791</v>
      </c>
      <c r="B46" s="291" t="s">
        <v>2418</v>
      </c>
      <c r="C46" s="292">
        <f ca="1">ROUND((C33+C39)*F27,0)</f>
        <v>468435</v>
      </c>
      <c r="D46" s="306"/>
      <c r="E46" s="279"/>
      <c r="F46" s="289"/>
      <c r="G46" s="290"/>
    </row>
    <row r="47" spans="1:7" s="257" customFormat="1" ht="13.5" customHeight="1">
      <c r="A47" s="953" t="s">
        <v>792</v>
      </c>
      <c r="B47" s="291" t="s">
        <v>2419</v>
      </c>
      <c r="C47" s="281">
        <f ca="1">ROUND(C40*F27,4)</f>
        <v>6.0000000000000001E-3</v>
      </c>
      <c r="D47" s="306"/>
      <c r="E47" s="279"/>
      <c r="F47" s="289"/>
      <c r="G47" s="290"/>
    </row>
    <row r="48" spans="1:7" s="257" customFormat="1" ht="13.5" customHeight="1">
      <c r="A48" s="298" t="s">
        <v>2381</v>
      </c>
      <c r="B48" s="253" t="s">
        <v>2420</v>
      </c>
      <c r="C48" s="305">
        <f>ROUND(F30/(1+'数据-取费表'!C42),4)</f>
        <v>5.2400000000000002E-2</v>
      </c>
      <c r="D48" s="279" t="s">
        <v>2408</v>
      </c>
      <c r="E48" s="275"/>
      <c r="F48" s="280"/>
      <c r="G48" s="277" t="s">
        <v>2421</v>
      </c>
    </row>
    <row r="49" spans="1:7" ht="16.5" customHeight="1">
      <c r="A49" s="298" t="s">
        <v>2387</v>
      </c>
      <c r="B49" s="253" t="s">
        <v>2461</v>
      </c>
      <c r="C49" s="275">
        <f ca="1">ROUND((C33+C39+C41+C45)/(1-C40-D41-D45-C48),0)</f>
        <v>3210134</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3210134</v>
      </c>
      <c r="D51" s="275"/>
      <c r="E51" s="275"/>
      <c r="F51" s="307"/>
      <c r="G51" s="277" t="s">
        <v>2429</v>
      </c>
    </row>
    <row r="52" spans="1:7" s="251" customFormat="1" ht="16.5" thickBot="1">
      <c r="A52" s="308" t="s">
        <v>2430</v>
      </c>
      <c r="B52" s="309"/>
      <c r="C52" s="310">
        <f ca="1">C31+C51</f>
        <v>3383015</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7</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60" t="s">
        <v>2469</v>
      </c>
      <c r="D5" s="2560" t="s">
        <v>2470</v>
      </c>
      <c r="E5" s="2560" t="s">
        <v>2471</v>
      </c>
      <c r="F5" s="2560"/>
      <c r="G5" s="2560"/>
      <c r="H5" s="2560"/>
      <c r="I5" s="2560"/>
      <c r="J5" s="2560"/>
      <c r="K5" s="256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1"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4"/>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4"/>
      <c r="F13" s="978">
        <f>'数据-取费表'!B34</f>
        <v>0.03</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589.49</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589.49</v>
      </c>
      <c r="E17" s="24">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0</v>
      </c>
      <c r="D18" s="1035"/>
      <c r="E18" s="24"/>
      <c r="F18" s="978"/>
      <c r="G18" s="2562"/>
      <c r="H18" s="1579"/>
      <c r="I18" s="2563"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0</v>
      </c>
      <c r="D20" s="1035">
        <f ca="1">IF(C1="",'数据-汇总表'!E6,IF(INDIRECT("'数据-取费表'!c"&amp;$K$1)="住宅",INDIRECT("'数据-取费表'!s"&amp;$K$1),INDIRECT("'数据-取费表'!k"&amp;$K$1)+INDIRECT("'数据-取费表'!s"&amp;$K$1)))</f>
        <v>589.49</v>
      </c>
      <c r="E20" s="24">
        <f>'数据-取费表'!B28</f>
        <v>0</v>
      </c>
      <c r="F20" s="978"/>
      <c r="G20" s="15"/>
      <c r="H20" s="983"/>
      <c r="I20" s="983"/>
      <c r="J20" s="983"/>
      <c r="K20" s="984"/>
    </row>
    <row r="21" spans="1:33" s="977" customFormat="1" ht="13.5" customHeight="1">
      <c r="A21" s="963" t="s">
        <v>802</v>
      </c>
      <c r="B21" s="987" t="s">
        <v>2500</v>
      </c>
      <c r="C21" s="988">
        <f ca="1">C16+C17+C18</f>
        <v>0</v>
      </c>
      <c r="D21" s="989"/>
      <c r="E21" s="324"/>
      <c r="F21" s="324"/>
      <c r="G21" s="139" t="s">
        <v>2501</v>
      </c>
      <c r="H21" s="981"/>
      <c r="I21" s="981"/>
      <c r="J21" s="981"/>
      <c r="K21" s="982"/>
    </row>
    <row r="22" spans="1:33" s="977" customFormat="1" ht="13.5" customHeight="1">
      <c r="A22" s="963" t="s">
        <v>2473</v>
      </c>
      <c r="B22" s="987" t="s">
        <v>2502</v>
      </c>
      <c r="C22" s="988">
        <f ca="1">ROUND(C21*F22,0)</f>
        <v>0</v>
      </c>
      <c r="D22" s="324"/>
      <c r="E22" s="324"/>
      <c r="F22" s="990">
        <f>'数据-取费表'!B37</f>
        <v>0.03</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0.03</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4" t="str">
        <f>IF('数据-取费表'!B22&lt;=1,"（1）-（3）项×年利率×建设期÷2","（1）-（3）项×((1+年利率)^(建设期÷2)-1)")</f>
        <v>（1）-（3）项×((1+年利率)^(建设期÷2)-1)</v>
      </c>
      <c r="H27" s="981"/>
      <c r="I27" s="981"/>
      <c r="J27" s="981"/>
      <c r="K27" s="982"/>
    </row>
    <row r="28" spans="1:33" s="332" customFormat="1" ht="13.5" customHeight="1">
      <c r="A28" s="963" t="s">
        <v>2513</v>
      </c>
      <c r="B28" s="2565" t="s">
        <v>2514</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0</v>
      </c>
      <c r="D30" s="327"/>
      <c r="E30" s="328"/>
      <c r="F30" s="333"/>
      <c r="G30" s="139"/>
      <c r="H30" s="981"/>
      <c r="I30" s="981"/>
      <c r="J30" s="981"/>
      <c r="K30" s="982"/>
    </row>
    <row r="31" spans="1:33" s="977" customFormat="1" ht="13.5" customHeight="1" thickBot="1">
      <c r="A31" s="2566" t="s">
        <v>2518</v>
      </c>
      <c r="B31" s="1007" t="s">
        <v>2519</v>
      </c>
      <c r="C31" s="1008">
        <f>ROUND(C4*F31/(1+'数据-取费表'!C42),0)</f>
        <v>0</v>
      </c>
      <c r="D31" s="1009"/>
      <c r="E31" s="1010"/>
      <c r="F31" s="1011">
        <f>'数据-取费表'!B41</f>
        <v>5.5000000000000007E-2</v>
      </c>
      <c r="G31" s="1012" t="s">
        <v>2520</v>
      </c>
      <c r="H31" s="1013"/>
      <c r="I31" s="1013"/>
      <c r="J31" s="1013"/>
      <c r="K31" s="1014"/>
    </row>
    <row r="32" spans="1:33" s="972" customFormat="1" ht="13.5" customHeight="1" thickBot="1">
      <c r="A32" s="1002" t="s">
        <v>2521</v>
      </c>
      <c r="B32" s="1003"/>
      <c r="C32" s="1004">
        <f ca="1">ROUND((C4-C21-C22-C23-C25-C28-C31)/(1+C24+D25+D28),0)</f>
        <v>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148" t="s">
        <v>1403</v>
      </c>
      <c r="C6" s="1298">
        <f ca="1">ROUND(F6*F8*F7*(1-F9)/10000,0)</f>
        <v>0</v>
      </c>
      <c r="D6" s="163" t="s">
        <v>3035</v>
      </c>
      <c r="E6" s="346" t="s">
        <v>1405</v>
      </c>
      <c r="F6" s="347">
        <f ca="1">INDIRECT("'数据-取费表'!u"&amp;$G$1)</f>
        <v>0</v>
      </c>
      <c r="G6" s="1853"/>
      <c r="H6" s="1293" t="s">
        <v>1035</v>
      </c>
      <c r="I6" s="3148" t="s">
        <v>1403</v>
      </c>
      <c r="J6" s="345">
        <f ca="1">ROUND(M6*M8*M7*(1-M9)/10000,0)</f>
        <v>0</v>
      </c>
      <c r="K6" s="163" t="s">
        <v>3034</v>
      </c>
      <c r="L6" s="346" t="s">
        <v>1405</v>
      </c>
      <c r="M6" s="347">
        <f ca="1">INDIRECT("'数据-取费表'!z"&amp;$G$1)</f>
        <v>0</v>
      </c>
    </row>
    <row r="7" spans="1:37" ht="18" customHeight="1">
      <c r="A7" s="1297"/>
      <c r="B7" s="3149"/>
      <c r="C7" s="1299"/>
      <c r="D7" s="351"/>
      <c r="E7" s="1300" t="s">
        <v>1406</v>
      </c>
      <c r="F7" s="347">
        <f ca="1">IF(INDIRECT("'数据-取费表'!ah"&amp;$G$1)="",INDIRECT("'数据-取费表'!k"&amp;$G$1),INDIRECT("'数据-取费表'!ah"&amp;$G$1))</f>
        <v>0</v>
      </c>
      <c r="G7" s="1853"/>
      <c r="H7" s="348"/>
      <c r="I7" s="3149"/>
      <c r="J7" s="350"/>
      <c r="K7" s="351"/>
      <c r="L7" s="346" t="s">
        <v>1406</v>
      </c>
      <c r="M7" s="347">
        <f ca="1">F7</f>
        <v>0</v>
      </c>
    </row>
    <row r="8" spans="1:37" ht="18" customHeight="1">
      <c r="A8" s="348"/>
      <c r="B8" s="3149"/>
      <c r="C8" s="350"/>
      <c r="D8" s="351"/>
      <c r="E8" s="346" t="s">
        <v>1407</v>
      </c>
      <c r="F8" s="347">
        <f ca="1">INDIRECT("'数据-取费表'!ai"&amp;$G$1)</f>
        <v>0</v>
      </c>
      <c r="G8" s="1853"/>
      <c r="H8" s="348"/>
      <c r="I8" s="3149"/>
      <c r="J8" s="350"/>
      <c r="K8" s="351"/>
      <c r="L8" s="346" t="s">
        <v>1407</v>
      </c>
      <c r="M8" s="347">
        <f ca="1">INDIRECT("'数据-取费表'!ai"&amp;$G$1)</f>
        <v>0</v>
      </c>
    </row>
    <row r="9" spans="1:37" ht="18" customHeight="1">
      <c r="A9" s="348"/>
      <c r="B9" s="3150"/>
      <c r="C9" s="350"/>
      <c r="D9" s="351"/>
      <c r="E9" s="346" t="s">
        <v>1408</v>
      </c>
      <c r="F9" s="356">
        <f ca="1">INDIRECT("'数据-取费表'!w"&amp;$G$1)</f>
        <v>0</v>
      </c>
      <c r="G9" s="1853"/>
      <c r="H9" s="348"/>
      <c r="I9" s="315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3044</v>
      </c>
      <c r="E10" s="357" t="s">
        <v>1410</v>
      </c>
      <c r="F10" s="1368"/>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0.03</v>
      </c>
      <c r="G20" s="1856"/>
      <c r="H20" s="1203" t="s">
        <v>1389</v>
      </c>
      <c r="I20" s="163" t="s">
        <v>1441</v>
      </c>
      <c r="J20" s="25">
        <f ca="1">ROUND(M20*M21/10000,2)</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46" t="s">
        <v>1548</v>
      </c>
      <c r="L53" s="3147"/>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104" sqref="C104:L10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5" t="s">
        <v>2690</v>
      </c>
      <c r="C1" s="1622" t="s">
        <v>2534</v>
      </c>
      <c r="D1" s="1623" t="s">
        <v>27</v>
      </c>
      <c r="E1" s="1632"/>
      <c r="F1" s="2590" t="s">
        <v>3123</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2439</v>
      </c>
      <c r="C2" s="2592" t="s">
        <v>70</v>
      </c>
      <c r="D2" s="1367" t="e">
        <f ca="1">SUMIF(INDIRECT("'"&amp;F2&amp;"'"&amp;"!A:A"),"承租人权益价值",INDIRECT("'"&amp;F2&amp;"'"&amp;"!c:c"))</f>
        <v>#REF!</v>
      </c>
      <c r="E2" s="2593" t="s">
        <v>2332</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41378</v>
      </c>
      <c r="C3" s="399" t="s">
        <v>2648</v>
      </c>
      <c r="D3" s="398">
        <f>IF(D1="",'数据-汇总表'!E3,SUMIF('数据-汇总表'!$C19:$C33,D1,'数据-汇总表'!$E19:$E33))</f>
        <v>589.49</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191" t="s">
        <v>2650</v>
      </c>
      <c r="D4" s="3192"/>
      <c r="E4" s="3193" t="s">
        <v>2651</v>
      </c>
      <c r="F4" s="3194"/>
      <c r="G4" s="3191" t="s">
        <v>2652</v>
      </c>
      <c r="H4" s="3192"/>
      <c r="I4" s="3191" t="s">
        <v>2653</v>
      </c>
      <c r="J4" s="3192"/>
      <c r="K4" s="609" t="s">
        <v>2654</v>
      </c>
      <c r="L4" s="1132"/>
      <c r="M4" s="1133"/>
      <c r="N4" s="1133"/>
      <c r="O4" s="1133"/>
      <c r="P4" s="3225" t="s">
        <v>2655</v>
      </c>
      <c r="Q4" s="3226"/>
      <c r="R4" s="3229" t="s">
        <v>2651</v>
      </c>
      <c r="S4" s="3230"/>
      <c r="T4" s="3229" t="s">
        <v>2652</v>
      </c>
      <c r="U4" s="3230"/>
      <c r="V4" s="3231" t="s">
        <v>2653</v>
      </c>
      <c r="W4" s="3231"/>
      <c r="X4" s="2676"/>
      <c r="Y4" s="3229" t="s">
        <v>2655</v>
      </c>
      <c r="Z4" s="3230"/>
      <c r="AA4" s="3233" t="s">
        <v>2651</v>
      </c>
      <c r="AB4" s="3233" t="s">
        <v>2652</v>
      </c>
      <c r="AC4" s="3222" t="s">
        <v>2653</v>
      </c>
    </row>
    <row r="5" spans="1:29" ht="15">
      <c r="A5" s="403"/>
      <c r="B5" s="404"/>
      <c r="C5" s="3210" t="s">
        <v>2546</v>
      </c>
      <c r="D5" s="3211"/>
      <c r="E5" s="3285" t="s">
        <v>3110</v>
      </c>
      <c r="F5" s="3218"/>
      <c r="G5" s="3286" t="s">
        <v>3065</v>
      </c>
      <c r="H5" s="3211"/>
      <c r="I5" s="3286" t="s">
        <v>3120</v>
      </c>
      <c r="J5" s="3211"/>
      <c r="K5" s="609"/>
      <c r="L5" s="1132"/>
      <c r="M5" s="1133"/>
      <c r="N5" s="1133"/>
      <c r="O5" s="1133"/>
      <c r="P5" s="3227"/>
      <c r="Q5" s="3198"/>
      <c r="R5" s="3203"/>
      <c r="S5" s="3204"/>
      <c r="T5" s="3203"/>
      <c r="U5" s="3204"/>
      <c r="V5" s="3207"/>
      <c r="W5" s="3207"/>
      <c r="X5" s="1815"/>
      <c r="Y5" s="3203"/>
      <c r="Z5" s="3204"/>
      <c r="AA5" s="3189"/>
      <c r="AB5" s="3189"/>
      <c r="AC5" s="3223"/>
    </row>
    <row r="6" spans="1:29" ht="15.75" customHeight="1" thickBot="1">
      <c r="A6" s="405"/>
      <c r="B6" s="406"/>
      <c r="C6" s="3208" t="s">
        <v>2550</v>
      </c>
      <c r="D6" s="3209"/>
      <c r="E6" s="3297" t="s">
        <v>3114</v>
      </c>
      <c r="F6" s="3298"/>
      <c r="G6" s="3287" t="s">
        <v>3066</v>
      </c>
      <c r="H6" s="3209"/>
      <c r="I6" s="3287" t="s">
        <v>3121</v>
      </c>
      <c r="J6" s="3209"/>
      <c r="K6" s="609" t="s">
        <v>2551</v>
      </c>
      <c r="L6" s="1132"/>
      <c r="M6" s="1133"/>
      <c r="N6" s="1133"/>
      <c r="O6" s="1133"/>
      <c r="P6" s="3228"/>
      <c r="Q6" s="3200"/>
      <c r="R6" s="3203"/>
      <c r="S6" s="3204"/>
      <c r="T6" s="3205"/>
      <c r="U6" s="3206"/>
      <c r="V6" s="3207"/>
      <c r="W6" s="3207"/>
      <c r="X6" s="1815"/>
      <c r="Y6" s="3205"/>
      <c r="Z6" s="3206"/>
      <c r="AA6" s="3190"/>
      <c r="AB6" s="3190"/>
      <c r="AC6" s="3224"/>
    </row>
    <row r="7" spans="1:29" s="117" customFormat="1" ht="15.75" thickBot="1">
      <c r="A7" s="407" t="s">
        <v>2552</v>
      </c>
      <c r="B7" s="408"/>
      <c r="C7" s="409">
        <f>'数据-取费表'!B2</f>
        <v>43355</v>
      </c>
      <c r="D7" s="410">
        <v>100</v>
      </c>
      <c r="E7" s="411">
        <v>43339</v>
      </c>
      <c r="F7" s="412">
        <f>SUMIF(59:59,YEAR(E7)&amp;"-"&amp;MONTH(E7),60:60)</f>
        <v>100</v>
      </c>
      <c r="G7" s="411">
        <v>43353</v>
      </c>
      <c r="H7" s="410">
        <f>SUMIF(59:59,YEAR(G7)&amp;"-"&amp;MONTH(G7),60:60)</f>
        <v>100</v>
      </c>
      <c r="I7" s="411">
        <v>43300</v>
      </c>
      <c r="J7" s="410">
        <f>SUMIF(59:59,YEAR(I7)&amp;"-"&amp;MONTH(I7),60:60)</f>
        <v>100</v>
      </c>
      <c r="K7" s="610"/>
      <c r="L7" s="1134"/>
      <c r="M7" s="1135"/>
      <c r="N7" s="1135"/>
      <c r="O7" s="1135"/>
      <c r="P7" s="3232" t="s">
        <v>2553</v>
      </c>
      <c r="Q7" s="3214"/>
      <c r="R7" s="769" t="s">
        <v>17</v>
      </c>
      <c r="S7" s="770">
        <f t="shared" ref="S7:S15" si="0">F7</f>
        <v>100</v>
      </c>
      <c r="T7" s="769" t="s">
        <v>17</v>
      </c>
      <c r="U7" s="770">
        <f t="shared" ref="U7:U15" si="1">H7</f>
        <v>100</v>
      </c>
      <c r="V7" s="769" t="s">
        <v>17</v>
      </c>
      <c r="W7" s="770">
        <f t="shared" ref="W7:W15" si="2">J7</f>
        <v>100</v>
      </c>
      <c r="X7" s="771"/>
      <c r="Y7" s="3212" t="s">
        <v>2553</v>
      </c>
      <c r="Z7" s="3213"/>
      <c r="AA7" s="772">
        <f>D7/F7</f>
        <v>1</v>
      </c>
      <c r="AB7" s="772">
        <f>D7/H7</f>
        <v>1</v>
      </c>
      <c r="AC7" s="2677">
        <f>D7/J7</f>
        <v>1</v>
      </c>
    </row>
    <row r="8" spans="1:29" s="117" customFormat="1" ht="15.75" thickBot="1">
      <c r="A8" s="407" t="s">
        <v>2554</v>
      </c>
      <c r="B8" s="408"/>
      <c r="C8" s="413" t="s">
        <v>2656</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232" t="s">
        <v>2556</v>
      </c>
      <c r="Q8" s="3213"/>
      <c r="R8" s="769" t="s">
        <v>17</v>
      </c>
      <c r="S8" s="770">
        <f t="shared" si="0"/>
        <v>100</v>
      </c>
      <c r="T8" s="769" t="s">
        <v>17</v>
      </c>
      <c r="U8" s="770">
        <f t="shared" si="1"/>
        <v>100</v>
      </c>
      <c r="V8" s="769" t="s">
        <v>17</v>
      </c>
      <c r="W8" s="770">
        <f t="shared" si="2"/>
        <v>100</v>
      </c>
      <c r="X8" s="771"/>
      <c r="Y8" s="3212" t="s">
        <v>2556</v>
      </c>
      <c r="Z8" s="3213"/>
      <c r="AA8" s="772">
        <f t="shared" ref="AA8:AA47" si="3">D8/F8</f>
        <v>1</v>
      </c>
      <c r="AB8" s="772">
        <f t="shared" ref="AB8:AB47" si="4">D8/H8</f>
        <v>1</v>
      </c>
      <c r="AC8" s="2677">
        <f t="shared" ref="AC8:AC47" si="5">D8/J8</f>
        <v>1</v>
      </c>
    </row>
    <row r="9" spans="1:29" s="117" customFormat="1">
      <c r="A9" s="414" t="s">
        <v>2557</v>
      </c>
      <c r="B9" s="71" t="s">
        <v>2558</v>
      </c>
      <c r="C9" s="3288" t="s">
        <v>3067</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87" t="s">
        <v>2559</v>
      </c>
      <c r="Q9" s="1797" t="str">
        <f t="shared" ref="Q9:Q15" si="6">B9</f>
        <v>用途</v>
      </c>
      <c r="R9" s="769" t="s">
        <v>17</v>
      </c>
      <c r="S9" s="770">
        <f t="shared" si="0"/>
        <v>100</v>
      </c>
      <c r="T9" s="769" t="s">
        <v>17</v>
      </c>
      <c r="U9" s="770">
        <f t="shared" si="1"/>
        <v>100</v>
      </c>
      <c r="V9" s="769" t="s">
        <v>17</v>
      </c>
      <c r="W9" s="770">
        <f t="shared" si="2"/>
        <v>100</v>
      </c>
      <c r="X9" s="771"/>
      <c r="Y9" s="3001" t="s">
        <v>2560</v>
      </c>
      <c r="Z9" s="55" t="str">
        <f t="shared" ref="Z9:Z15" si="7">Q9</f>
        <v>用途</v>
      </c>
      <c r="AA9" s="772">
        <f t="shared" si="3"/>
        <v>1</v>
      </c>
      <c r="AB9" s="772">
        <f t="shared" si="4"/>
        <v>1</v>
      </c>
      <c r="AC9" s="2677">
        <f t="shared" si="5"/>
        <v>1</v>
      </c>
    </row>
    <row r="10" spans="1:29" s="426" customFormat="1" ht="27">
      <c r="A10" s="420"/>
      <c r="B10" s="421" t="s">
        <v>2561</v>
      </c>
      <c r="C10" s="422" t="s">
        <v>3068</v>
      </c>
      <c r="D10" s="135">
        <v>100</v>
      </c>
      <c r="E10" s="422" t="s">
        <v>3068</v>
      </c>
      <c r="F10" s="135">
        <f>SUMIF(66:66,E10,67:67)-SUMIF(66:66,C10,67:67)+100</f>
        <v>100</v>
      </c>
      <c r="G10" s="422" t="s">
        <v>3068</v>
      </c>
      <c r="H10" s="135">
        <f>SUMIF(66:66,G10,67:67)-SUMIF(66:66,C10,67:67)+100</f>
        <v>100</v>
      </c>
      <c r="I10" s="422" t="s">
        <v>3068</v>
      </c>
      <c r="J10" s="135">
        <f>SUMIF(66:66,I10,67:67)-SUMIF(66:66,C10,67:67)+100</f>
        <v>100</v>
      </c>
      <c r="K10" s="611">
        <v>1</v>
      </c>
      <c r="L10" s="1137"/>
      <c r="M10" s="1138"/>
      <c r="N10" s="1138"/>
      <c r="O10" s="1138"/>
      <c r="P10" s="3187"/>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2677">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187"/>
      <c r="Q11" s="1797" t="str">
        <f t="shared" si="6"/>
        <v>容积率</v>
      </c>
      <c r="R11" s="769" t="s">
        <v>17</v>
      </c>
      <c r="S11" s="770">
        <f t="shared" si="0"/>
        <v>100</v>
      </c>
      <c r="T11" s="769" t="s">
        <v>17</v>
      </c>
      <c r="U11" s="770">
        <f t="shared" si="1"/>
        <v>100</v>
      </c>
      <c r="V11" s="769" t="s">
        <v>17</v>
      </c>
      <c r="W11" s="770">
        <f t="shared" si="2"/>
        <v>100</v>
      </c>
      <c r="X11" s="771"/>
      <c r="Y11" s="3001"/>
      <c r="Z11" s="55" t="str">
        <f t="shared" si="7"/>
        <v>容积率</v>
      </c>
      <c r="AA11" s="772">
        <f t="shared" si="3"/>
        <v>1</v>
      </c>
      <c r="AB11" s="772">
        <f t="shared" si="4"/>
        <v>1</v>
      </c>
      <c r="AC11" s="2677">
        <f t="shared" si="5"/>
        <v>1</v>
      </c>
    </row>
    <row r="12" spans="1:29" s="117" customFormat="1" ht="15">
      <c r="A12" s="430"/>
      <c r="B12" s="2606">
        <v>111</v>
      </c>
      <c r="C12" s="431"/>
      <c r="D12" s="432">
        <v>100</v>
      </c>
      <c r="E12" s="431"/>
      <c r="F12" s="135">
        <f>SUMIF(71:71,E12,72:72)-SUMIF(71:71,C12,72:72)+100</f>
        <v>100</v>
      </c>
      <c r="G12" s="2678"/>
      <c r="H12" s="135">
        <f>SUMIF(71:71,G12,72:72)-SUMIF(71:71,C12,72:72)+100</f>
        <v>100</v>
      </c>
      <c r="I12" s="431"/>
      <c r="J12" s="135">
        <f>SUMIF(71:71,I12,72:72)-SUMIF(71:71,C12,72:72)+100</f>
        <v>100</v>
      </c>
      <c r="K12" s="612"/>
      <c r="L12" s="1134"/>
      <c r="M12" s="1135"/>
      <c r="N12" s="1135"/>
      <c r="O12" s="1135"/>
      <c r="P12" s="3187"/>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2677">
        <f>D12/J12</f>
        <v>1</v>
      </c>
    </row>
    <row r="13" spans="1:29" ht="15">
      <c r="A13" s="427"/>
      <c r="B13" s="2606">
        <v>111</v>
      </c>
      <c r="C13" s="433"/>
      <c r="D13" s="434">
        <v>100</v>
      </c>
      <c r="E13" s="431"/>
      <c r="F13" s="135">
        <f>SUMIF(73:73,E13,74:74)-SUMIF(73:73,C13,74:74)+100</f>
        <v>100</v>
      </c>
      <c r="G13" s="2678"/>
      <c r="H13" s="434">
        <f>SUMIF(73:73,G13,74:74)-SUMIF(73:73,C13,74:74)+100</f>
        <v>100</v>
      </c>
      <c r="I13" s="431"/>
      <c r="J13" s="434">
        <f>SUMIF(73:73,I13,74:74)-SUMIF(73:73,C13,74:74)+100</f>
        <v>100</v>
      </c>
      <c r="K13" s="612"/>
      <c r="L13" s="1142"/>
      <c r="M13" s="1133"/>
      <c r="N13" s="1133"/>
      <c r="O13" s="1133"/>
      <c r="P13" s="3187"/>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2677">
        <f t="shared" si="5"/>
        <v>1</v>
      </c>
    </row>
    <row r="14" spans="1:29" ht="15.75" thickBot="1">
      <c r="A14" s="435"/>
      <c r="B14" s="2608">
        <v>111</v>
      </c>
      <c r="C14" s="436"/>
      <c r="D14" s="437">
        <v>100</v>
      </c>
      <c r="E14" s="627"/>
      <c r="F14" s="437">
        <f>SUMIF(75:75,E14,76:76)-SUMIF(75:75,C14,76:76)+100</f>
        <v>100</v>
      </c>
      <c r="G14" s="2678"/>
      <c r="H14" s="437">
        <f>SUMIF(75:75,G14,76:76)-SUMIF(75:75,C14,76:76)+100</f>
        <v>100</v>
      </c>
      <c r="I14" s="431"/>
      <c r="J14" s="437">
        <f>SUMIF(75:75,I14,76:76)-SUMIF(75:75,C14,76:76)+100</f>
        <v>100</v>
      </c>
      <c r="K14" s="612"/>
      <c r="L14" s="1142"/>
      <c r="M14" s="1133"/>
      <c r="N14" s="1133"/>
      <c r="O14" s="1133"/>
      <c r="P14" s="3187"/>
      <c r="Q14" s="1797">
        <f t="shared" si="6"/>
        <v>111</v>
      </c>
      <c r="R14" s="769" t="s">
        <v>17</v>
      </c>
      <c r="S14" s="770">
        <f t="shared" si="0"/>
        <v>100</v>
      </c>
      <c r="T14" s="769" t="s">
        <v>17</v>
      </c>
      <c r="U14" s="770">
        <f t="shared" si="1"/>
        <v>100</v>
      </c>
      <c r="V14" s="769" t="s">
        <v>17</v>
      </c>
      <c r="W14" s="770">
        <f t="shared" si="2"/>
        <v>100</v>
      </c>
      <c r="X14" s="771"/>
      <c r="Y14" s="3001"/>
      <c r="Z14" s="55">
        <f t="shared" si="7"/>
        <v>111</v>
      </c>
      <c r="AA14" s="772">
        <f t="shared" si="3"/>
        <v>1</v>
      </c>
      <c r="AB14" s="772">
        <f t="shared" si="4"/>
        <v>1</v>
      </c>
      <c r="AC14" s="2677">
        <f t="shared" si="5"/>
        <v>1</v>
      </c>
    </row>
    <row r="15" spans="1:29" ht="71.25">
      <c r="A15" s="439" t="s">
        <v>2563</v>
      </c>
      <c r="B15" s="628" t="s">
        <v>2691</v>
      </c>
      <c r="C15" s="267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185" t="s">
        <v>2564</v>
      </c>
      <c r="Q15" s="1812" t="str">
        <f t="shared" si="6"/>
        <v>办公集聚程度</v>
      </c>
      <c r="R15" s="773" t="s">
        <v>17</v>
      </c>
      <c r="S15" s="774">
        <f t="shared" si="0"/>
        <v>100</v>
      </c>
      <c r="T15" s="773" t="s">
        <v>17</v>
      </c>
      <c r="U15" s="774">
        <f t="shared" si="1"/>
        <v>100</v>
      </c>
      <c r="V15" s="773" t="s">
        <v>17</v>
      </c>
      <c r="W15" s="774">
        <f t="shared" si="2"/>
        <v>100</v>
      </c>
      <c r="X15" s="1815"/>
      <c r="Y15" s="3178" t="s">
        <v>2564</v>
      </c>
      <c r="Z15" s="1816" t="str">
        <f t="shared" si="7"/>
        <v>办公集聚程度</v>
      </c>
      <c r="AA15" s="1813">
        <f t="shared" si="3"/>
        <v>1</v>
      </c>
      <c r="AB15" s="1813">
        <f t="shared" si="4"/>
        <v>1</v>
      </c>
      <c r="AC15" s="2680">
        <f t="shared" si="5"/>
        <v>1</v>
      </c>
    </row>
    <row r="16" spans="1:29" ht="15">
      <c r="A16" s="427"/>
      <c r="B16" s="629"/>
      <c r="C16" s="2617" t="s">
        <v>3084</v>
      </c>
      <c r="D16" s="447"/>
      <c r="E16" s="2617" t="s">
        <v>3084</v>
      </c>
      <c r="F16" s="447"/>
      <c r="G16" s="2617" t="s">
        <v>3084</v>
      </c>
      <c r="H16" s="449"/>
      <c r="I16" s="2617" t="s">
        <v>3084</v>
      </c>
      <c r="J16" s="447"/>
      <c r="K16" s="614"/>
      <c r="L16" s="1142"/>
      <c r="M16" s="1133"/>
      <c r="N16" s="1133"/>
      <c r="O16" s="1133"/>
      <c r="P16" s="3186"/>
      <c r="Q16" s="1812"/>
      <c r="R16" s="773"/>
      <c r="S16" s="774"/>
      <c r="T16" s="773"/>
      <c r="U16" s="774"/>
      <c r="V16" s="773"/>
      <c r="W16" s="774"/>
      <c r="X16" s="1815"/>
      <c r="Y16" s="3179"/>
      <c r="Z16" s="1816"/>
      <c r="AA16" s="1813">
        <v>1</v>
      </c>
      <c r="AB16" s="1813">
        <v>1</v>
      </c>
      <c r="AC16" s="2680">
        <v>1</v>
      </c>
    </row>
    <row r="17" spans="1:29" ht="71.25">
      <c r="A17" s="427"/>
      <c r="B17" s="630" t="s">
        <v>2101</v>
      </c>
      <c r="C17" s="268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186"/>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2680">
        <f t="shared" si="5"/>
        <v>1</v>
      </c>
    </row>
    <row r="18" spans="1:29" ht="15">
      <c r="A18" s="427"/>
      <c r="B18" s="631"/>
      <c r="C18" s="2617" t="s">
        <v>3084</v>
      </c>
      <c r="D18" s="449"/>
      <c r="E18" s="2617" t="s">
        <v>3084</v>
      </c>
      <c r="F18" s="449"/>
      <c r="G18" s="2617" t="s">
        <v>3084</v>
      </c>
      <c r="H18" s="447"/>
      <c r="I18" s="2617" t="s">
        <v>3084</v>
      </c>
      <c r="J18" s="447"/>
      <c r="K18" s="614"/>
      <c r="L18" s="1142"/>
      <c r="M18" s="1133"/>
      <c r="N18" s="1133"/>
      <c r="O18" s="1133"/>
      <c r="P18" s="3186"/>
      <c r="Q18" s="1812"/>
      <c r="R18" s="773"/>
      <c r="S18" s="774"/>
      <c r="T18" s="773"/>
      <c r="U18" s="774"/>
      <c r="V18" s="773"/>
      <c r="W18" s="774"/>
      <c r="X18" s="1815"/>
      <c r="Y18" s="3179"/>
      <c r="Z18" s="1816"/>
      <c r="AA18" s="1813">
        <v>1</v>
      </c>
      <c r="AB18" s="1813">
        <v>1</v>
      </c>
      <c r="AC18" s="2680">
        <v>1</v>
      </c>
    </row>
    <row r="19" spans="1:29" ht="42.75">
      <c r="A19" s="427"/>
      <c r="B19" s="630" t="s">
        <v>2692</v>
      </c>
      <c r="C19" s="268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186"/>
      <c r="Q19" s="1812" t="str">
        <f>B19</f>
        <v>公共配套设施</v>
      </c>
      <c r="R19" s="773" t="s">
        <v>17</v>
      </c>
      <c r="S19" s="774">
        <f>F19</f>
        <v>100</v>
      </c>
      <c r="T19" s="773" t="s">
        <v>17</v>
      </c>
      <c r="U19" s="774">
        <f>H19</f>
        <v>100</v>
      </c>
      <c r="V19" s="773" t="s">
        <v>17</v>
      </c>
      <c r="W19" s="774">
        <f>J19</f>
        <v>100</v>
      </c>
      <c r="X19" s="1815"/>
      <c r="Y19" s="3179"/>
      <c r="Z19" s="1816" t="str">
        <f>Q19</f>
        <v>公共配套设施</v>
      </c>
      <c r="AA19" s="1813">
        <f t="shared" si="3"/>
        <v>1</v>
      </c>
      <c r="AB19" s="1813">
        <f t="shared" si="4"/>
        <v>1</v>
      </c>
      <c r="AC19" s="2680">
        <f t="shared" si="5"/>
        <v>1</v>
      </c>
    </row>
    <row r="20" spans="1:29" ht="15">
      <c r="A20" s="427"/>
      <c r="B20" s="631"/>
      <c r="C20" s="2617" t="s">
        <v>3084</v>
      </c>
      <c r="D20" s="447"/>
      <c r="E20" s="2617" t="s">
        <v>3084</v>
      </c>
      <c r="F20" s="447"/>
      <c r="G20" s="2617" t="s">
        <v>3084</v>
      </c>
      <c r="H20" s="447"/>
      <c r="I20" s="2617" t="s">
        <v>3084</v>
      </c>
      <c r="J20" s="447"/>
      <c r="K20" s="614"/>
      <c r="L20" s="1142"/>
      <c r="M20" s="1133"/>
      <c r="N20" s="1133"/>
      <c r="O20" s="1133"/>
      <c r="P20" s="3186"/>
      <c r="Q20" s="1812"/>
      <c r="R20" s="773"/>
      <c r="S20" s="774"/>
      <c r="T20" s="773"/>
      <c r="U20" s="774"/>
      <c r="V20" s="773"/>
      <c r="W20" s="774"/>
      <c r="X20" s="1815"/>
      <c r="Y20" s="3179"/>
      <c r="Z20" s="1816"/>
      <c r="AA20" s="1813">
        <v>1</v>
      </c>
      <c r="AB20" s="1813">
        <v>1</v>
      </c>
      <c r="AC20" s="2680">
        <v>1</v>
      </c>
    </row>
    <row r="21" spans="1:29" ht="28.5">
      <c r="A21" s="427"/>
      <c r="B21" s="632" t="s">
        <v>2693</v>
      </c>
      <c r="C21" s="268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186"/>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2680">
        <f t="shared" ref="AC21" si="10">D21/J21</f>
        <v>1</v>
      </c>
    </row>
    <row r="22" spans="1:29" ht="15">
      <c r="A22" s="427"/>
      <c r="B22" s="632"/>
      <c r="C22" s="2682" t="s">
        <v>3081</v>
      </c>
      <c r="D22" s="447"/>
      <c r="E22" s="2682" t="s">
        <v>3081</v>
      </c>
      <c r="F22" s="447"/>
      <c r="G22" s="2682" t="s">
        <v>3081</v>
      </c>
      <c r="H22" s="447"/>
      <c r="I22" s="2682" t="s">
        <v>3081</v>
      </c>
      <c r="J22" s="447"/>
      <c r="K22" s="1385"/>
      <c r="L22" s="1142"/>
      <c r="M22" s="1133"/>
      <c r="N22" s="1133"/>
      <c r="O22" s="1133"/>
      <c r="P22" s="3186"/>
      <c r="Q22" s="1812"/>
      <c r="R22" s="773"/>
      <c r="S22" s="774"/>
      <c r="T22" s="773"/>
      <c r="U22" s="774"/>
      <c r="V22" s="773"/>
      <c r="W22" s="774"/>
      <c r="X22" s="1815"/>
      <c r="Y22" s="3179"/>
      <c r="Z22" s="1816"/>
      <c r="AA22" s="1813">
        <v>1</v>
      </c>
      <c r="AB22" s="1813">
        <v>1</v>
      </c>
      <c r="AC22" s="2680">
        <v>1</v>
      </c>
    </row>
    <row r="23" spans="1:29" ht="42.75">
      <c r="A23" s="427"/>
      <c r="B23" s="630" t="s">
        <v>2694</v>
      </c>
      <c r="C23" s="268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186"/>
      <c r="Q23" s="1812" t="str">
        <f>B23</f>
        <v>环境质量</v>
      </c>
      <c r="R23" s="773" t="s">
        <v>17</v>
      </c>
      <c r="S23" s="774">
        <f>F23</f>
        <v>100</v>
      </c>
      <c r="T23" s="773" t="s">
        <v>17</v>
      </c>
      <c r="U23" s="774">
        <f>H23</f>
        <v>100</v>
      </c>
      <c r="V23" s="773" t="s">
        <v>17</v>
      </c>
      <c r="W23" s="774">
        <f>J23</f>
        <v>100</v>
      </c>
      <c r="X23" s="1815"/>
      <c r="Y23" s="3179"/>
      <c r="Z23" s="1816" t="str">
        <f>Q23</f>
        <v>环境质量</v>
      </c>
      <c r="AA23" s="1813">
        <f t="shared" si="3"/>
        <v>1</v>
      </c>
      <c r="AB23" s="1813">
        <f t="shared" si="4"/>
        <v>1</v>
      </c>
      <c r="AC23" s="2680">
        <f t="shared" si="5"/>
        <v>1</v>
      </c>
    </row>
    <row r="24" spans="1:29" ht="15">
      <c r="A24" s="427"/>
      <c r="B24" s="632"/>
      <c r="C24" s="2617" t="s">
        <v>3084</v>
      </c>
      <c r="D24" s="447"/>
      <c r="E24" s="2617" t="s">
        <v>3084</v>
      </c>
      <c r="F24" s="447"/>
      <c r="G24" s="2617" t="s">
        <v>3084</v>
      </c>
      <c r="H24" s="447"/>
      <c r="I24" s="2617" t="s">
        <v>3084</v>
      </c>
      <c r="J24" s="447"/>
      <c r="K24" s="614"/>
      <c r="L24" s="1142"/>
      <c r="M24" s="1133"/>
      <c r="N24" s="1133"/>
      <c r="O24" s="1133"/>
      <c r="P24" s="3186"/>
      <c r="Q24" s="1812"/>
      <c r="R24" s="773"/>
      <c r="S24" s="774"/>
      <c r="T24" s="773"/>
      <c r="U24" s="774"/>
      <c r="V24" s="773"/>
      <c r="W24" s="774"/>
      <c r="X24" s="1815"/>
      <c r="Y24" s="3179"/>
      <c r="Z24" s="1816"/>
      <c r="AA24" s="1813">
        <v>1</v>
      </c>
      <c r="AB24" s="1813">
        <v>1</v>
      </c>
      <c r="AC24" s="2680">
        <v>1</v>
      </c>
    </row>
    <row r="25" spans="1:29" ht="28.5">
      <c r="A25" s="403"/>
      <c r="B25" s="630" t="s">
        <v>2695</v>
      </c>
      <c r="C25" s="2621" t="s">
        <v>3069</v>
      </c>
      <c r="D25" s="434">
        <v>100</v>
      </c>
      <c r="E25" s="2621" t="s">
        <v>3072</v>
      </c>
      <c r="F25" s="434">
        <f>SUMIF(87:87,E26,88:88)-SUMIF(87:87,C26,88:88)+100</f>
        <v>100</v>
      </c>
      <c r="G25" s="2621" t="s">
        <v>3074</v>
      </c>
      <c r="H25" s="434">
        <f>SUMIF(87:87,G26,88:88)-SUMIF(87:87,C26,88:88)+100</f>
        <v>100</v>
      </c>
      <c r="I25" s="2621" t="s">
        <v>3122</v>
      </c>
      <c r="J25" s="434">
        <f>SUMIF(87:87,I26,88:88)-SUMIF(87:87,C26,88:88)+100</f>
        <v>100</v>
      </c>
      <c r="K25" s="613">
        <v>2</v>
      </c>
      <c r="L25" s="1142"/>
      <c r="M25" s="1133"/>
      <c r="N25" s="1133"/>
      <c r="O25" s="1133"/>
      <c r="P25" s="3186"/>
      <c r="Q25" s="1812" t="str">
        <f>B25</f>
        <v>毗邻道路的类型与等级</v>
      </c>
      <c r="R25" s="773" t="s">
        <v>17</v>
      </c>
      <c r="S25" s="774">
        <f>F25</f>
        <v>100</v>
      </c>
      <c r="T25" s="773" t="s">
        <v>17</v>
      </c>
      <c r="U25" s="774">
        <f>H25</f>
        <v>100</v>
      </c>
      <c r="V25" s="773" t="s">
        <v>17</v>
      </c>
      <c r="W25" s="774">
        <f>J25</f>
        <v>100</v>
      </c>
      <c r="X25" s="1815"/>
      <c r="Y25" s="3179"/>
      <c r="Z25" s="1816" t="str">
        <f>Q25</f>
        <v>毗邻道路的类型与等级</v>
      </c>
      <c r="AA25" s="1813">
        <f t="shared" si="3"/>
        <v>1</v>
      </c>
      <c r="AB25" s="1813">
        <f t="shared" si="4"/>
        <v>1</v>
      </c>
      <c r="AC25" s="2680">
        <f t="shared" si="5"/>
        <v>1</v>
      </c>
    </row>
    <row r="26" spans="1:29" ht="15">
      <c r="A26" s="403"/>
      <c r="B26" s="631"/>
      <c r="C26" s="633" t="s">
        <v>3070</v>
      </c>
      <c r="D26" s="434"/>
      <c r="E26" s="633" t="s">
        <v>3070</v>
      </c>
      <c r="F26" s="434"/>
      <c r="G26" s="633" t="s">
        <v>3070</v>
      </c>
      <c r="H26" s="434"/>
      <c r="I26" s="633" t="s">
        <v>3070</v>
      </c>
      <c r="J26" s="434"/>
      <c r="K26" s="614"/>
      <c r="L26" s="1142"/>
      <c r="M26" s="1133"/>
      <c r="N26" s="1133"/>
      <c r="O26" s="1133"/>
      <c r="P26" s="3186"/>
      <c r="Q26" s="1812"/>
      <c r="R26" s="773"/>
      <c r="S26" s="774"/>
      <c r="T26" s="773"/>
      <c r="U26" s="774"/>
      <c r="V26" s="773"/>
      <c r="W26" s="774"/>
      <c r="X26" s="1815"/>
      <c r="Y26" s="3179"/>
      <c r="Z26" s="1816"/>
      <c r="AA26" s="1813">
        <v>1</v>
      </c>
      <c r="AB26" s="1813">
        <v>1</v>
      </c>
      <c r="AC26" s="2680">
        <v>1</v>
      </c>
    </row>
    <row r="27" spans="1:29" ht="15">
      <c r="A27" s="427"/>
      <c r="B27" s="631" t="s">
        <v>2663</v>
      </c>
      <c r="C27" s="633" t="s">
        <v>3071</v>
      </c>
      <c r="D27" s="434">
        <v>100</v>
      </c>
      <c r="E27" s="615" t="s">
        <v>3071</v>
      </c>
      <c r="F27" s="434">
        <f>SUMIF(89:89,E27,90:90)-SUMIF(89:89,C27,90:90)+100</f>
        <v>100</v>
      </c>
      <c r="G27" s="633" t="s">
        <v>3071</v>
      </c>
      <c r="H27" s="434">
        <f>SUMIF(89:89,G27,90:90)-SUMIF(89:89,C27,90:90)+100</f>
        <v>100</v>
      </c>
      <c r="I27" s="615" t="s">
        <v>3073</v>
      </c>
      <c r="J27" s="434">
        <f>SUMIF(89:89,I27,90:90)-SUMIF(89:89,C27,90:90)+100</f>
        <v>99</v>
      </c>
      <c r="K27" s="611">
        <v>1</v>
      </c>
      <c r="L27" s="1142"/>
      <c r="M27" s="1133"/>
      <c r="N27" s="1133"/>
      <c r="O27" s="1133"/>
      <c r="P27" s="3186"/>
      <c r="Q27" s="1812" t="str">
        <f t="shared" ref="Q27:Q47" si="11">B27</f>
        <v>楼层</v>
      </c>
      <c r="R27" s="773" t="s">
        <v>17</v>
      </c>
      <c r="S27" s="774">
        <f>F27</f>
        <v>100</v>
      </c>
      <c r="T27" s="773" t="s">
        <v>17</v>
      </c>
      <c r="U27" s="774">
        <f>H27</f>
        <v>100</v>
      </c>
      <c r="V27" s="773" t="s">
        <v>17</v>
      </c>
      <c r="W27" s="774">
        <f>J27</f>
        <v>99</v>
      </c>
      <c r="X27" s="1815"/>
      <c r="Y27" s="3179"/>
      <c r="Z27" s="1816" t="str">
        <f>Q27</f>
        <v>楼层</v>
      </c>
      <c r="AA27" s="1813">
        <f t="shared" si="3"/>
        <v>1</v>
      </c>
      <c r="AB27" s="1813">
        <f t="shared" si="4"/>
        <v>1</v>
      </c>
      <c r="AC27" s="2680">
        <f t="shared" si="5"/>
        <v>1.0101010101010102</v>
      </c>
    </row>
    <row r="28" spans="1:29" s="117" customFormat="1" ht="15">
      <c r="A28" s="430"/>
      <c r="B28" s="630" t="s">
        <v>2696</v>
      </c>
      <c r="C28" s="2683"/>
      <c r="D28" s="461">
        <v>100</v>
      </c>
      <c r="E28" s="2671"/>
      <c r="F28" s="461">
        <f>SUMIF(91:91,E28,92:92)-SUMIF(91:91,C28,92:92)+100</f>
        <v>100</v>
      </c>
      <c r="G28" s="2683"/>
      <c r="H28" s="461">
        <f>SUMIF(91:91,G28,92:92)-SUMIF(91:91,C28,92:92)+100</f>
        <v>100</v>
      </c>
      <c r="I28" s="2671"/>
      <c r="J28" s="461">
        <f>SUMIF(91:91,I28,92:92)-SUMIF(91:91,C28,92:92)+100</f>
        <v>100</v>
      </c>
      <c r="K28" s="611"/>
      <c r="L28" s="1134"/>
      <c r="M28" s="1135"/>
      <c r="N28" s="1135"/>
      <c r="O28" s="1135"/>
      <c r="P28" s="3186"/>
      <c r="Q28" s="1797" t="str">
        <f t="shared" si="11"/>
        <v>朝向</v>
      </c>
      <c r="R28" s="769" t="s">
        <v>17</v>
      </c>
      <c r="S28" s="770">
        <f>F28</f>
        <v>100</v>
      </c>
      <c r="T28" s="769" t="s">
        <v>17</v>
      </c>
      <c r="U28" s="770">
        <f>H28</f>
        <v>100</v>
      </c>
      <c r="V28" s="769" t="s">
        <v>17</v>
      </c>
      <c r="W28" s="770">
        <f>J28</f>
        <v>100</v>
      </c>
      <c r="X28" s="771"/>
      <c r="Y28" s="3179"/>
      <c r="Z28" s="55" t="str">
        <f>Q28</f>
        <v>朝向</v>
      </c>
      <c r="AA28" s="1813">
        <f>D28/F28</f>
        <v>1</v>
      </c>
      <c r="AB28" s="1813">
        <f>D28/H28</f>
        <v>1</v>
      </c>
      <c r="AC28" s="2680">
        <f>D28/J28</f>
        <v>1</v>
      </c>
    </row>
    <row r="29" spans="1:29" ht="15">
      <c r="A29" s="427"/>
      <c r="B29" s="2684">
        <v>111</v>
      </c>
      <c r="C29" s="2621"/>
      <c r="D29" s="434">
        <v>100</v>
      </c>
      <c r="E29" s="431"/>
      <c r="F29" s="434">
        <f>SUMIF(93:93,E29,94:94)-SUMIF(93:93,C29,94:94)+100</f>
        <v>100</v>
      </c>
      <c r="G29" s="2678"/>
      <c r="H29" s="434">
        <f>SUMIF(93:93,G29,94:94)-SUMIF(93:93,C29,94:94)+100</f>
        <v>100</v>
      </c>
      <c r="I29" s="431"/>
      <c r="J29" s="434">
        <f>SUMIF(93:93,I29,94:94)-SUMIF(93:93,C29,94:94)+100</f>
        <v>100</v>
      </c>
      <c r="K29" s="612"/>
      <c r="L29" s="1142"/>
      <c r="M29" s="1133"/>
      <c r="N29" s="1133"/>
      <c r="O29" s="1133"/>
      <c r="P29" s="3186"/>
      <c r="Q29" s="1812">
        <f t="shared" si="11"/>
        <v>111</v>
      </c>
      <c r="R29" s="773" t="s">
        <v>17</v>
      </c>
      <c r="S29" s="774">
        <f t="shared" ref="S29:S47" si="12">F29</f>
        <v>100</v>
      </c>
      <c r="T29" s="773" t="s">
        <v>17</v>
      </c>
      <c r="U29" s="774">
        <f t="shared" ref="U29:U47" si="13">H29</f>
        <v>100</v>
      </c>
      <c r="V29" s="773" t="s">
        <v>17</v>
      </c>
      <c r="W29" s="774">
        <f t="shared" ref="W29:W47" si="14">J29</f>
        <v>100</v>
      </c>
      <c r="X29" s="1815"/>
      <c r="Y29" s="3179"/>
      <c r="Z29" s="1816">
        <f t="shared" ref="Z29:Z47" si="15">Q29</f>
        <v>111</v>
      </c>
      <c r="AA29" s="1813">
        <f t="shared" si="3"/>
        <v>1</v>
      </c>
      <c r="AB29" s="1813">
        <f t="shared" si="4"/>
        <v>1</v>
      </c>
      <c r="AC29" s="2680">
        <f t="shared" si="5"/>
        <v>1</v>
      </c>
    </row>
    <row r="30" spans="1:29" ht="15">
      <c r="A30" s="427"/>
      <c r="B30" s="2684">
        <v>111</v>
      </c>
      <c r="C30" s="2621"/>
      <c r="D30" s="434">
        <v>100</v>
      </c>
      <c r="E30" s="431"/>
      <c r="F30" s="434">
        <f>SUMIF(95:95,E30,96:96)-SUMIF(95:95,C30,96:96)+100</f>
        <v>100</v>
      </c>
      <c r="G30" s="2678"/>
      <c r="H30" s="434">
        <f>SUMIF(95:95,G30,96:96)-SUMIF(95:95,C30,96:96)+100</f>
        <v>100</v>
      </c>
      <c r="I30" s="431"/>
      <c r="J30" s="434">
        <f>SUMIF(95:95,I30,96:96)-SUMIF(95:95,C30,96:96)+100</f>
        <v>100</v>
      </c>
      <c r="K30" s="612"/>
      <c r="L30" s="1142"/>
      <c r="M30" s="1133"/>
      <c r="N30" s="1133"/>
      <c r="O30" s="1133"/>
      <c r="P30" s="3186"/>
      <c r="Q30" s="1812">
        <f t="shared" si="11"/>
        <v>111</v>
      </c>
      <c r="R30" s="773" t="s">
        <v>17</v>
      </c>
      <c r="S30" s="774">
        <f t="shared" si="12"/>
        <v>100</v>
      </c>
      <c r="T30" s="773" t="s">
        <v>17</v>
      </c>
      <c r="U30" s="774">
        <f t="shared" si="13"/>
        <v>100</v>
      </c>
      <c r="V30" s="773" t="s">
        <v>17</v>
      </c>
      <c r="W30" s="774">
        <f t="shared" si="14"/>
        <v>100</v>
      </c>
      <c r="X30" s="1815"/>
      <c r="Y30" s="3179"/>
      <c r="Z30" s="1816">
        <f t="shared" si="15"/>
        <v>111</v>
      </c>
      <c r="AA30" s="1813">
        <f t="shared" si="3"/>
        <v>1</v>
      </c>
      <c r="AB30" s="1813">
        <f t="shared" si="4"/>
        <v>1</v>
      </c>
      <c r="AC30" s="2680">
        <f t="shared" si="5"/>
        <v>1</v>
      </c>
    </row>
    <row r="31" spans="1:29" ht="15">
      <c r="A31" s="427"/>
      <c r="B31" s="2684">
        <v>111</v>
      </c>
      <c r="C31" s="2621"/>
      <c r="D31" s="434">
        <v>100</v>
      </c>
      <c r="E31" s="431"/>
      <c r="F31" s="434">
        <f>SUMIF(97:97,E31,98:98)-SUMIF(97:97,C31,98:98)+100</f>
        <v>100</v>
      </c>
      <c r="G31" s="2678"/>
      <c r="H31" s="434">
        <f>SUMIF(97:97,G31,98:98)-SUMIF(97:97,C31,98:98)+100</f>
        <v>100</v>
      </c>
      <c r="I31" s="431"/>
      <c r="J31" s="434">
        <f>SUMIF(97:97,I31,98:98)-SUMIF(97:97,C31,98:98)+100</f>
        <v>100</v>
      </c>
      <c r="K31" s="612"/>
      <c r="L31" s="1142"/>
      <c r="M31" s="1133"/>
      <c r="N31" s="1133"/>
      <c r="O31" s="1133"/>
      <c r="P31" s="3186"/>
      <c r="Q31" s="1812">
        <f t="shared" si="11"/>
        <v>111</v>
      </c>
      <c r="R31" s="773" t="s">
        <v>17</v>
      </c>
      <c r="S31" s="774">
        <f t="shared" si="12"/>
        <v>100</v>
      </c>
      <c r="T31" s="773" t="s">
        <v>17</v>
      </c>
      <c r="U31" s="774">
        <f t="shared" si="13"/>
        <v>100</v>
      </c>
      <c r="V31" s="773" t="s">
        <v>17</v>
      </c>
      <c r="W31" s="774">
        <f t="shared" si="14"/>
        <v>100</v>
      </c>
      <c r="X31" s="1815"/>
      <c r="Y31" s="3179"/>
      <c r="Z31" s="1816">
        <f t="shared" si="15"/>
        <v>111</v>
      </c>
      <c r="AA31" s="1813">
        <f t="shared" si="3"/>
        <v>1</v>
      </c>
      <c r="AB31" s="1813">
        <f t="shared" si="4"/>
        <v>1</v>
      </c>
      <c r="AC31" s="2680">
        <f t="shared" si="5"/>
        <v>1</v>
      </c>
    </row>
    <row r="32" spans="1:29" ht="15.75" thickBot="1">
      <c r="A32" s="435"/>
      <c r="B32" s="634">
        <v>111</v>
      </c>
      <c r="C32" s="2622"/>
      <c r="D32" s="437">
        <v>100</v>
      </c>
      <c r="E32" s="627"/>
      <c r="F32" s="437">
        <f>SUMIF(99:99,E32,100:100)-SUMIF(99:99,C32,100:100)+100</f>
        <v>100</v>
      </c>
      <c r="G32" s="2678"/>
      <c r="H32" s="437">
        <f>SUMIF(99:99,G32,100:100)-SUMIF(99:99,C32,100:100)+100</f>
        <v>100</v>
      </c>
      <c r="I32" s="431"/>
      <c r="J32" s="437">
        <f>SUMIF(99:99,I32,100:100)-SUMIF(99:99,C32,100:100)+100</f>
        <v>100</v>
      </c>
      <c r="K32" s="612"/>
      <c r="L32" s="1142"/>
      <c r="M32" s="1133"/>
      <c r="N32" s="1133"/>
      <c r="O32" s="1133"/>
      <c r="P32" s="3186"/>
      <c r="Q32" s="1812">
        <f t="shared" si="11"/>
        <v>111</v>
      </c>
      <c r="R32" s="773" t="s">
        <v>17</v>
      </c>
      <c r="S32" s="774">
        <f t="shared" si="12"/>
        <v>100</v>
      </c>
      <c r="T32" s="773" t="s">
        <v>17</v>
      </c>
      <c r="U32" s="774">
        <f t="shared" si="13"/>
        <v>100</v>
      </c>
      <c r="V32" s="773" t="s">
        <v>17</v>
      </c>
      <c r="W32" s="774">
        <f t="shared" si="14"/>
        <v>100</v>
      </c>
      <c r="X32" s="1815"/>
      <c r="Y32" s="3179"/>
      <c r="Z32" s="1816">
        <f t="shared" si="15"/>
        <v>111</v>
      </c>
      <c r="AA32" s="1813">
        <f t="shared" si="3"/>
        <v>1</v>
      </c>
      <c r="AB32" s="1813">
        <f t="shared" si="4"/>
        <v>1</v>
      </c>
      <c r="AC32" s="2680">
        <f t="shared" si="5"/>
        <v>1</v>
      </c>
    </row>
    <row r="33" spans="1:29" ht="15">
      <c r="A33" s="439" t="s">
        <v>2567</v>
      </c>
      <c r="B33" s="71" t="s">
        <v>2697</v>
      </c>
      <c r="C33" s="2685" t="s">
        <v>3076</v>
      </c>
      <c r="D33" s="466">
        <v>100</v>
      </c>
      <c r="E33" s="2685" t="s">
        <v>3076</v>
      </c>
      <c r="F33" s="460">
        <f>SUMIF(101:101,E33,102:102)-SUMIF(101:101,C33,102:102)+100</f>
        <v>100</v>
      </c>
      <c r="G33" s="2685" t="s">
        <v>3076</v>
      </c>
      <c r="H33" s="434">
        <f>SUMIF(101:101,G33,102:102)-SUMIF(101:101,C33,102:102)+100</f>
        <v>100</v>
      </c>
      <c r="I33" s="2685" t="s">
        <v>3076</v>
      </c>
      <c r="J33" s="466">
        <f>SUMIF(101:101,I33,102:102)-SUMIF(101:101,C33,102:102)+100</f>
        <v>100</v>
      </c>
      <c r="K33" s="611">
        <v>1</v>
      </c>
      <c r="L33" s="1142"/>
      <c r="M33" s="1133"/>
      <c r="N33" s="1133"/>
      <c r="O33" s="1133"/>
      <c r="P33" s="3180" t="s">
        <v>2569</v>
      </c>
      <c r="Q33" s="1812" t="str">
        <f t="shared" si="11"/>
        <v>建筑类型</v>
      </c>
      <c r="R33" s="773" t="s">
        <v>17</v>
      </c>
      <c r="S33" s="774">
        <f t="shared" si="12"/>
        <v>100</v>
      </c>
      <c r="T33" s="773" t="s">
        <v>17</v>
      </c>
      <c r="U33" s="774">
        <f t="shared" si="13"/>
        <v>100</v>
      </c>
      <c r="V33" s="773" t="s">
        <v>17</v>
      </c>
      <c r="W33" s="774">
        <f t="shared" si="14"/>
        <v>100</v>
      </c>
      <c r="X33" s="1815"/>
      <c r="Y33" s="3183" t="s">
        <v>2569</v>
      </c>
      <c r="Z33" s="1816" t="str">
        <f t="shared" si="15"/>
        <v>建筑类型</v>
      </c>
      <c r="AA33" s="1813">
        <f t="shared" si="3"/>
        <v>1</v>
      </c>
      <c r="AB33" s="1813">
        <f t="shared" si="4"/>
        <v>1</v>
      </c>
      <c r="AC33" s="2680">
        <f t="shared" si="5"/>
        <v>1</v>
      </c>
    </row>
    <row r="34" spans="1:29" s="470" customFormat="1" ht="15">
      <c r="A34" s="467"/>
      <c r="B34" s="421" t="s">
        <v>2570</v>
      </c>
      <c r="C34" s="468">
        <f>'数据-汇总表'!F19</f>
        <v>589.49</v>
      </c>
      <c r="D34" s="135">
        <v>100</v>
      </c>
      <c r="E34" s="429">
        <v>1010</v>
      </c>
      <c r="F34" s="424">
        <f>LOOKUP(E34,104:104,105:105)-LOOKUP(C34,104:104,105:105)+100</f>
        <v>97</v>
      </c>
      <c r="G34" s="428">
        <v>5000</v>
      </c>
      <c r="H34" s="135">
        <f>LOOKUP(G34,104:104,105:105)-LOOKUP(C34,104:104,105:105)+100</f>
        <v>95</v>
      </c>
      <c r="I34" s="428">
        <v>67.59</v>
      </c>
      <c r="J34" s="135">
        <f>LOOKUP(I34,104:104,105:105)-LOOKUP(C34,104:104,105:105)+100</f>
        <v>98</v>
      </c>
      <c r="K34" s="612"/>
      <c r="L34" s="1140"/>
      <c r="M34" s="1143"/>
      <c r="N34" s="1143"/>
      <c r="O34" s="1143"/>
      <c r="P34" s="3181"/>
      <c r="Q34" s="775" t="str">
        <f t="shared" si="11"/>
        <v>项目建筑规模</v>
      </c>
      <c r="R34" s="776" t="s">
        <v>17</v>
      </c>
      <c r="S34" s="777">
        <f t="shared" si="12"/>
        <v>97</v>
      </c>
      <c r="T34" s="776" t="s">
        <v>17</v>
      </c>
      <c r="U34" s="777">
        <f t="shared" si="13"/>
        <v>95</v>
      </c>
      <c r="V34" s="776" t="s">
        <v>17</v>
      </c>
      <c r="W34" s="777">
        <f t="shared" si="14"/>
        <v>98</v>
      </c>
      <c r="X34" s="778"/>
      <c r="Y34" s="3183"/>
      <c r="Z34" s="779" t="str">
        <f t="shared" si="15"/>
        <v>项目建筑规模</v>
      </c>
      <c r="AA34" s="1813">
        <f t="shared" si="3"/>
        <v>1.0309278350515463</v>
      </c>
      <c r="AB34" s="1813">
        <f t="shared" si="4"/>
        <v>1.0526315789473684</v>
      </c>
      <c r="AC34" s="2680">
        <f t="shared" si="5"/>
        <v>1.0204081632653061</v>
      </c>
    </row>
    <row r="35" spans="1:29" ht="15">
      <c r="A35" s="471"/>
      <c r="B35" s="421" t="s">
        <v>2571</v>
      </c>
      <c r="C35" s="459" t="s">
        <v>3077</v>
      </c>
      <c r="D35" s="434">
        <v>100</v>
      </c>
      <c r="E35" s="459" t="s">
        <v>3077</v>
      </c>
      <c r="F35" s="460">
        <f>SUMIF(106:106,E35,107:107)-SUMIF(106:106,C35,107:107)+100</f>
        <v>100</v>
      </c>
      <c r="G35" s="459" t="s">
        <v>3077</v>
      </c>
      <c r="H35" s="434">
        <f>SUMIF(106:106,G35,107:107)-SUMIF(106:106,C35,107:107)+100</f>
        <v>100</v>
      </c>
      <c r="I35" s="459" t="s">
        <v>3077</v>
      </c>
      <c r="J35" s="434">
        <f>SUMIF(106:106,I35,107:107)-SUMIF(106:106,C35,107:107)+100</f>
        <v>100</v>
      </c>
      <c r="K35" s="611">
        <v>1</v>
      </c>
      <c r="L35" s="1142"/>
      <c r="M35" s="1133"/>
      <c r="N35" s="1133"/>
      <c r="O35" s="1133"/>
      <c r="P35" s="3181"/>
      <c r="Q35" s="1812" t="str">
        <f t="shared" si="11"/>
        <v>建筑结构</v>
      </c>
      <c r="R35" s="773" t="s">
        <v>17</v>
      </c>
      <c r="S35" s="774">
        <f t="shared" si="12"/>
        <v>100</v>
      </c>
      <c r="T35" s="773" t="s">
        <v>17</v>
      </c>
      <c r="U35" s="774">
        <f t="shared" si="13"/>
        <v>100</v>
      </c>
      <c r="V35" s="773" t="s">
        <v>17</v>
      </c>
      <c r="W35" s="774">
        <f t="shared" si="14"/>
        <v>100</v>
      </c>
      <c r="X35" s="1815"/>
      <c r="Y35" s="3183"/>
      <c r="Z35" s="1816" t="str">
        <f t="shared" si="15"/>
        <v>建筑结构</v>
      </c>
      <c r="AA35" s="1813">
        <f t="shared" si="3"/>
        <v>1</v>
      </c>
      <c r="AB35" s="1813">
        <f t="shared" si="4"/>
        <v>1</v>
      </c>
      <c r="AC35" s="2680">
        <f t="shared" si="5"/>
        <v>1</v>
      </c>
    </row>
    <row r="36" spans="1:29" ht="15">
      <c r="A36" s="471"/>
      <c r="B36" s="421" t="s">
        <v>2665</v>
      </c>
      <c r="C36" s="459" t="s">
        <v>3078</v>
      </c>
      <c r="D36" s="434">
        <v>100</v>
      </c>
      <c r="E36" s="459" t="s">
        <v>3078</v>
      </c>
      <c r="F36" s="460">
        <f>SUMIF(108:108,E36,109:109)-SUMIF(108:108,C36,109:109)+100</f>
        <v>100</v>
      </c>
      <c r="G36" s="459" t="s">
        <v>3078</v>
      </c>
      <c r="H36" s="434">
        <f>SUMIF(108:108,G36,109:109)-SUMIF(108:108,C36,109:109)+100</f>
        <v>100</v>
      </c>
      <c r="I36" s="459" t="s">
        <v>3078</v>
      </c>
      <c r="J36" s="434">
        <f>SUMIF(108:108,I36,109:109)-SUMIF(108:108,C36,109:109)+100</f>
        <v>100</v>
      </c>
      <c r="K36" s="611">
        <v>2</v>
      </c>
      <c r="L36" s="1142"/>
      <c r="M36" s="1133"/>
      <c r="N36" s="1133"/>
      <c r="O36" s="1133"/>
      <c r="P36" s="3181"/>
      <c r="Q36" s="1812" t="str">
        <f t="shared" si="11"/>
        <v>公共部分装修</v>
      </c>
      <c r="R36" s="773" t="s">
        <v>17</v>
      </c>
      <c r="S36" s="774">
        <f t="shared" si="12"/>
        <v>100</v>
      </c>
      <c r="T36" s="773" t="s">
        <v>17</v>
      </c>
      <c r="U36" s="774">
        <f t="shared" si="13"/>
        <v>100</v>
      </c>
      <c r="V36" s="773" t="s">
        <v>17</v>
      </c>
      <c r="W36" s="774">
        <f t="shared" si="14"/>
        <v>100</v>
      </c>
      <c r="X36" s="1815"/>
      <c r="Y36" s="3183"/>
      <c r="Z36" s="1816" t="str">
        <f t="shared" si="15"/>
        <v>公共部分装修</v>
      </c>
      <c r="AA36" s="1813">
        <f t="shared" si="3"/>
        <v>1</v>
      </c>
      <c r="AB36" s="1813">
        <f t="shared" si="4"/>
        <v>1</v>
      </c>
      <c r="AC36" s="2680">
        <f t="shared" si="5"/>
        <v>1</v>
      </c>
    </row>
    <row r="37" spans="1:29" ht="15">
      <c r="A37" s="471"/>
      <c r="B37" s="421" t="s">
        <v>2666</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1</v>
      </c>
      <c r="L37" s="1142"/>
      <c r="M37" s="1133"/>
      <c r="N37" s="1133"/>
      <c r="O37" s="1133"/>
      <c r="P37" s="3181"/>
      <c r="Q37" s="1812" t="str">
        <f t="shared" si="11"/>
        <v>成新度</v>
      </c>
      <c r="R37" s="773" t="s">
        <v>17</v>
      </c>
      <c r="S37" s="774">
        <f t="shared" si="12"/>
        <v>100</v>
      </c>
      <c r="T37" s="773" t="s">
        <v>17</v>
      </c>
      <c r="U37" s="774">
        <f t="shared" si="13"/>
        <v>100</v>
      </c>
      <c r="V37" s="773" t="s">
        <v>17</v>
      </c>
      <c r="W37" s="774">
        <f t="shared" si="14"/>
        <v>100</v>
      </c>
      <c r="X37" s="1815"/>
      <c r="Y37" s="3183"/>
      <c r="Z37" s="1816" t="str">
        <f t="shared" si="15"/>
        <v>成新度</v>
      </c>
      <c r="AA37" s="1813">
        <f t="shared" si="3"/>
        <v>1</v>
      </c>
      <c r="AB37" s="1813">
        <f t="shared" si="4"/>
        <v>1</v>
      </c>
      <c r="AC37" s="2680">
        <f t="shared" si="5"/>
        <v>1</v>
      </c>
    </row>
    <row r="38" spans="1:29" s="117" customFormat="1" ht="15">
      <c r="A38" s="472"/>
      <c r="B38" s="421" t="s">
        <v>2698</v>
      </c>
      <c r="C38" s="459" t="s">
        <v>3079</v>
      </c>
      <c r="D38" s="135">
        <v>100</v>
      </c>
      <c r="E38" s="459" t="s">
        <v>3079</v>
      </c>
      <c r="F38" s="460">
        <f>SUMIF(113:113,E38,114:114)-SUMIF(113:113,C38,114:114)+100</f>
        <v>100</v>
      </c>
      <c r="G38" s="459" t="s">
        <v>3079</v>
      </c>
      <c r="H38" s="434">
        <f>SUMIF(113:113,G38,114:114)-SUMIF(113:113,C38,114:114)+100</f>
        <v>100</v>
      </c>
      <c r="I38" s="459" t="s">
        <v>3079</v>
      </c>
      <c r="J38" s="434">
        <f>SUMIF(113:113,I38,114:114)-SUMIF(113:113,C38,114:114)+100</f>
        <v>100</v>
      </c>
      <c r="K38" s="611">
        <v>2</v>
      </c>
      <c r="L38" s="1134"/>
      <c r="M38" s="1135"/>
      <c r="N38" s="1135"/>
      <c r="O38" s="1135"/>
      <c r="P38" s="3181"/>
      <c r="Q38" s="1797" t="str">
        <f t="shared" si="11"/>
        <v>写字楼等级</v>
      </c>
      <c r="R38" s="769" t="s">
        <v>17</v>
      </c>
      <c r="S38" s="770">
        <f t="shared" si="12"/>
        <v>100</v>
      </c>
      <c r="T38" s="769" t="s">
        <v>17</v>
      </c>
      <c r="U38" s="770">
        <f t="shared" si="13"/>
        <v>100</v>
      </c>
      <c r="V38" s="769" t="s">
        <v>17</v>
      </c>
      <c r="W38" s="770">
        <f t="shared" si="14"/>
        <v>100</v>
      </c>
      <c r="X38" s="771"/>
      <c r="Y38" s="3183"/>
      <c r="Z38" s="55" t="str">
        <f t="shared" si="15"/>
        <v>写字楼等级</v>
      </c>
      <c r="AA38" s="772">
        <f t="shared" si="3"/>
        <v>1</v>
      </c>
      <c r="AB38" s="772">
        <f t="shared" si="4"/>
        <v>1</v>
      </c>
      <c r="AC38" s="2677">
        <f t="shared" si="5"/>
        <v>1</v>
      </c>
    </row>
    <row r="39" spans="1:29" ht="15">
      <c r="A39" s="471"/>
      <c r="B39" s="421" t="s">
        <v>2699</v>
      </c>
      <c r="C39" s="459" t="s">
        <v>3080</v>
      </c>
      <c r="D39" s="434">
        <v>100</v>
      </c>
      <c r="E39" s="459" t="s">
        <v>3080</v>
      </c>
      <c r="F39" s="460">
        <f>SUMIF(115:115,E39,116:116)-SUMIF(115:115,C39,116:116)+100</f>
        <v>100</v>
      </c>
      <c r="G39" s="459" t="s">
        <v>3080</v>
      </c>
      <c r="H39" s="434">
        <f>SUMIF(115:115,G39,116:116)-SUMIF(115:115,C39,116:116)+100</f>
        <v>100</v>
      </c>
      <c r="I39" s="459" t="s">
        <v>3080</v>
      </c>
      <c r="J39" s="434">
        <f>SUMIF(115:115,I39,116:116)-SUMIF(115:115,C39,116:116)+100</f>
        <v>100</v>
      </c>
      <c r="K39" s="611">
        <v>2</v>
      </c>
      <c r="L39" s="1142"/>
      <c r="M39" s="1133"/>
      <c r="N39" s="1133"/>
      <c r="O39" s="1133"/>
      <c r="P39" s="3181" t="s">
        <v>2569</v>
      </c>
      <c r="Q39" s="1812" t="str">
        <f t="shared" si="11"/>
        <v>物业管理</v>
      </c>
      <c r="R39" s="773" t="s">
        <v>17</v>
      </c>
      <c r="S39" s="774">
        <f t="shared" si="12"/>
        <v>100</v>
      </c>
      <c r="T39" s="773" t="s">
        <v>17</v>
      </c>
      <c r="U39" s="774">
        <f t="shared" si="13"/>
        <v>100</v>
      </c>
      <c r="V39" s="773" t="s">
        <v>17</v>
      </c>
      <c r="W39" s="774">
        <f t="shared" si="14"/>
        <v>100</v>
      </c>
      <c r="X39" s="1815"/>
      <c r="Y39" s="3183" t="s">
        <v>2569</v>
      </c>
      <c r="Z39" s="1816" t="str">
        <f t="shared" si="15"/>
        <v>物业管理</v>
      </c>
      <c r="AA39" s="1813">
        <f t="shared" si="3"/>
        <v>1</v>
      </c>
      <c r="AB39" s="1813">
        <f t="shared" si="4"/>
        <v>1</v>
      </c>
      <c r="AC39" s="2680">
        <f t="shared" si="5"/>
        <v>1</v>
      </c>
    </row>
    <row r="40" spans="1:29" ht="15">
      <c r="A40" s="471"/>
      <c r="B40" s="421" t="s">
        <v>2667</v>
      </c>
      <c r="C40" s="459" t="s">
        <v>3081</v>
      </c>
      <c r="D40" s="434">
        <v>100</v>
      </c>
      <c r="E40" s="459" t="s">
        <v>3087</v>
      </c>
      <c r="F40" s="460">
        <f>SUMIF(117:117,E40,118:118)-SUMIF(117:117,C40,118:118)+100</f>
        <v>99</v>
      </c>
      <c r="G40" s="459" t="s">
        <v>3087</v>
      </c>
      <c r="H40" s="434">
        <f>SUMIF(117:117,G40,118:118)-SUMIF(117:117,C40,118:118)+100</f>
        <v>99</v>
      </c>
      <c r="I40" s="459" t="s">
        <v>3087</v>
      </c>
      <c r="J40" s="434">
        <f>SUMIF(117:117,I40,118:118)-SUMIF(117:117,C40,118:118)+100</f>
        <v>99</v>
      </c>
      <c r="K40" s="3292">
        <v>1</v>
      </c>
      <c r="L40" s="1142"/>
      <c r="M40" s="1133"/>
      <c r="N40" s="1133"/>
      <c r="O40" s="1133"/>
      <c r="P40" s="3181"/>
      <c r="Q40" s="1812" t="str">
        <f t="shared" si="11"/>
        <v>市政基础设施</v>
      </c>
      <c r="R40" s="773" t="s">
        <v>17</v>
      </c>
      <c r="S40" s="774">
        <f t="shared" si="12"/>
        <v>99</v>
      </c>
      <c r="T40" s="773" t="s">
        <v>17</v>
      </c>
      <c r="U40" s="774">
        <f t="shared" si="13"/>
        <v>99</v>
      </c>
      <c r="V40" s="773" t="s">
        <v>17</v>
      </c>
      <c r="W40" s="774">
        <f t="shared" si="14"/>
        <v>99</v>
      </c>
      <c r="X40" s="1815"/>
      <c r="Y40" s="3183"/>
      <c r="Z40" s="1816" t="str">
        <f t="shared" si="15"/>
        <v>市政基础设施</v>
      </c>
      <c r="AA40" s="1813">
        <f t="shared" si="3"/>
        <v>1.0101010101010102</v>
      </c>
      <c r="AB40" s="1813">
        <f t="shared" si="4"/>
        <v>1.0101010101010102</v>
      </c>
      <c r="AC40" s="2680">
        <f t="shared" si="5"/>
        <v>1.0101010101010102</v>
      </c>
    </row>
    <row r="41" spans="1:29" ht="15">
      <c r="A41" s="471"/>
      <c r="B41" s="421" t="s">
        <v>2669</v>
      </c>
      <c r="C41" s="615" t="s">
        <v>3082</v>
      </c>
      <c r="D41" s="434">
        <v>100</v>
      </c>
      <c r="E41" s="615" t="s">
        <v>3082</v>
      </c>
      <c r="F41" s="460">
        <f>SUMIF(119:119,E41,120:120)-SUMIF(119:119,C41,120:120)+100</f>
        <v>100</v>
      </c>
      <c r="G41" s="615" t="s">
        <v>3082</v>
      </c>
      <c r="H41" s="434">
        <f>SUMIF(119:119,G41,120:120)-SUMIF(119:119,C41,120:120)+100</f>
        <v>100</v>
      </c>
      <c r="I41" s="615" t="s">
        <v>3082</v>
      </c>
      <c r="J41" s="434">
        <f>SUMIF(119:119,I41,120:120)-SUMIF(119:119,C41,120:120)+100</f>
        <v>100</v>
      </c>
      <c r="K41" s="611">
        <v>2</v>
      </c>
      <c r="L41" s="1142"/>
      <c r="M41" s="1133"/>
      <c r="N41" s="1133"/>
      <c r="O41" s="1133"/>
      <c r="P41" s="3181"/>
      <c r="Q41" s="1812" t="str">
        <f t="shared" si="11"/>
        <v>层高</v>
      </c>
      <c r="R41" s="773" t="s">
        <v>17</v>
      </c>
      <c r="S41" s="774">
        <f t="shared" si="12"/>
        <v>100</v>
      </c>
      <c r="T41" s="773" t="s">
        <v>17</v>
      </c>
      <c r="U41" s="774">
        <f t="shared" si="13"/>
        <v>100</v>
      </c>
      <c r="V41" s="773" t="s">
        <v>17</v>
      </c>
      <c r="W41" s="774">
        <f t="shared" si="14"/>
        <v>100</v>
      </c>
      <c r="X41" s="1815"/>
      <c r="Y41" s="3183"/>
      <c r="Z41" s="1816" t="str">
        <f t="shared" si="15"/>
        <v>层高</v>
      </c>
      <c r="AA41" s="1813">
        <f t="shared" si="3"/>
        <v>1</v>
      </c>
      <c r="AB41" s="1813">
        <f t="shared" si="4"/>
        <v>1</v>
      </c>
      <c r="AC41" s="2680">
        <f t="shared" si="5"/>
        <v>1</v>
      </c>
    </row>
    <row r="42" spans="1:29" s="470" customFormat="1" ht="15">
      <c r="A42" s="467"/>
      <c r="B42" s="181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81"/>
      <c r="Q42" s="775" t="str">
        <f t="shared" si="11"/>
        <v>单套建筑面积</v>
      </c>
      <c r="R42" s="776" t="s">
        <v>17</v>
      </c>
      <c r="S42" s="777">
        <f t="shared" si="12"/>
        <v>100</v>
      </c>
      <c r="T42" s="776" t="s">
        <v>17</v>
      </c>
      <c r="U42" s="777">
        <f t="shared" si="13"/>
        <v>100</v>
      </c>
      <c r="V42" s="776" t="s">
        <v>17</v>
      </c>
      <c r="W42" s="777">
        <f t="shared" si="14"/>
        <v>100</v>
      </c>
      <c r="X42" s="778"/>
      <c r="Y42" s="3183"/>
      <c r="Z42" s="779" t="str">
        <f t="shared" si="15"/>
        <v>单套建筑面积</v>
      </c>
      <c r="AA42" s="1813">
        <f t="shared" si="3"/>
        <v>1</v>
      </c>
      <c r="AB42" s="1813">
        <f t="shared" si="4"/>
        <v>1</v>
      </c>
      <c r="AC42" s="2680">
        <f t="shared" si="5"/>
        <v>1</v>
      </c>
    </row>
    <row r="43" spans="1:29" ht="15">
      <c r="A43" s="471"/>
      <c r="B43" s="421" t="s">
        <v>2672</v>
      </c>
      <c r="C43" s="459" t="s">
        <v>3083</v>
      </c>
      <c r="D43" s="434">
        <v>100</v>
      </c>
      <c r="E43" s="459" t="s">
        <v>3078</v>
      </c>
      <c r="F43" s="460">
        <f>SUMIF(123:123,E43,124:124)-SUMIF(123:123,C43,124:124)+100</f>
        <v>102</v>
      </c>
      <c r="G43" s="459" t="s">
        <v>3100</v>
      </c>
      <c r="H43" s="434">
        <f>SUMIF(123:123,G43,124:124)-SUMIF(123:123,C43,124:124)+100</f>
        <v>99</v>
      </c>
      <c r="I43" s="459" t="s">
        <v>3078</v>
      </c>
      <c r="J43" s="434">
        <f>SUMIF(123:123,I43,124:124)-SUMIF(123:123,C43,124:124)+100</f>
        <v>102</v>
      </c>
      <c r="K43" s="611">
        <v>1</v>
      </c>
      <c r="L43" s="1142"/>
      <c r="M43" s="1133"/>
      <c r="N43" s="1133"/>
      <c r="O43" s="1133"/>
      <c r="P43" s="3181"/>
      <c r="Q43" s="1812" t="str">
        <f t="shared" si="11"/>
        <v>内部装修</v>
      </c>
      <c r="R43" s="773" t="s">
        <v>17</v>
      </c>
      <c r="S43" s="774">
        <f t="shared" si="12"/>
        <v>102</v>
      </c>
      <c r="T43" s="773" t="s">
        <v>17</v>
      </c>
      <c r="U43" s="774">
        <f t="shared" si="13"/>
        <v>99</v>
      </c>
      <c r="V43" s="773" t="s">
        <v>17</v>
      </c>
      <c r="W43" s="774">
        <f t="shared" si="14"/>
        <v>102</v>
      </c>
      <c r="X43" s="1815"/>
      <c r="Y43" s="3183"/>
      <c r="Z43" s="1816" t="str">
        <f t="shared" si="15"/>
        <v>内部装修</v>
      </c>
      <c r="AA43" s="1813">
        <f t="shared" si="3"/>
        <v>0.98039215686274506</v>
      </c>
      <c r="AB43" s="1813">
        <f t="shared" si="4"/>
        <v>1.0101010101010102</v>
      </c>
      <c r="AC43" s="2680">
        <f t="shared" si="5"/>
        <v>0.98039215686274506</v>
      </c>
    </row>
    <row r="44" spans="1:29" ht="15">
      <c r="A44" s="471"/>
      <c r="B44" s="421" t="s">
        <v>2580</v>
      </c>
      <c r="C44" s="459" t="s">
        <v>3084</v>
      </c>
      <c r="D44" s="434">
        <v>100</v>
      </c>
      <c r="E44" s="459" t="s">
        <v>3084</v>
      </c>
      <c r="F44" s="460">
        <f>SUMIF(125:125,E44,126:126)-SUMIF(125:125,C44,126:126)+100</f>
        <v>100</v>
      </c>
      <c r="G44" s="459" t="s">
        <v>3084</v>
      </c>
      <c r="H44" s="434">
        <f>SUMIF(125:125,G44,126:126)-SUMIF(125:125,C44,126:126)+100</f>
        <v>100</v>
      </c>
      <c r="I44" s="459" t="s">
        <v>3084</v>
      </c>
      <c r="J44" s="434">
        <f>SUMIF(125:125,I44,126:126)-SUMIF(125:125,C44,126:126)+100</f>
        <v>100</v>
      </c>
      <c r="K44" s="611">
        <v>2</v>
      </c>
      <c r="L44" s="1142"/>
      <c r="M44" s="1133"/>
      <c r="N44" s="1133"/>
      <c r="O44" s="1133"/>
      <c r="P44" s="3181"/>
      <c r="Q44" s="1812" t="str">
        <f t="shared" si="11"/>
        <v>内部装修维护情况</v>
      </c>
      <c r="R44" s="773" t="s">
        <v>17</v>
      </c>
      <c r="S44" s="774">
        <f t="shared" si="12"/>
        <v>100</v>
      </c>
      <c r="T44" s="773" t="s">
        <v>17</v>
      </c>
      <c r="U44" s="774">
        <f t="shared" si="13"/>
        <v>100</v>
      </c>
      <c r="V44" s="773" t="s">
        <v>17</v>
      </c>
      <c r="W44" s="774">
        <f t="shared" si="14"/>
        <v>100</v>
      </c>
      <c r="X44" s="1815"/>
      <c r="Y44" s="3183"/>
      <c r="Z44" s="1816" t="str">
        <f t="shared" si="15"/>
        <v>内部装修维护情况</v>
      </c>
      <c r="AA44" s="1813">
        <f t="shared" si="3"/>
        <v>1</v>
      </c>
      <c r="AB44" s="1813">
        <f t="shared" si="4"/>
        <v>1</v>
      </c>
      <c r="AC44" s="2680">
        <f t="shared" si="5"/>
        <v>1</v>
      </c>
    </row>
    <row r="45" spans="1:29" s="117" customFormat="1" ht="15">
      <c r="A45" s="472"/>
      <c r="B45" s="3291" t="s">
        <v>3091</v>
      </c>
      <c r="C45" s="468" t="s">
        <v>3085</v>
      </c>
      <c r="D45" s="135">
        <v>100</v>
      </c>
      <c r="E45" s="3290" t="s">
        <v>3089</v>
      </c>
      <c r="F45" s="424">
        <f>SUMIF(127:127,E45,128:128)-SUMIF(127:127,C45,128:128)+100</f>
        <v>97</v>
      </c>
      <c r="G45" s="3290" t="s">
        <v>3089</v>
      </c>
      <c r="H45" s="135">
        <f>SUMIF(127:127,G45,128:128)-SUMIF(127:127,C45,128:128)+100</f>
        <v>97</v>
      </c>
      <c r="I45" s="3290" t="s">
        <v>3089</v>
      </c>
      <c r="J45" s="135">
        <f>SUMIF(127:127,I45,128:128)-SUMIF(127:127,C45,128:128)+100</f>
        <v>97</v>
      </c>
      <c r="K45" s="612"/>
      <c r="L45" s="1134"/>
      <c r="M45" s="1135"/>
      <c r="N45" s="1135"/>
      <c r="O45" s="1135"/>
      <c r="P45" s="3181"/>
      <c r="Q45" s="1797" t="str">
        <f t="shared" si="11"/>
        <v>智能环保系统</v>
      </c>
      <c r="R45" s="769" t="s">
        <v>17</v>
      </c>
      <c r="S45" s="770">
        <f t="shared" si="12"/>
        <v>97</v>
      </c>
      <c r="T45" s="769" t="s">
        <v>17</v>
      </c>
      <c r="U45" s="770">
        <f t="shared" si="13"/>
        <v>97</v>
      </c>
      <c r="V45" s="769" t="s">
        <v>17</v>
      </c>
      <c r="W45" s="770">
        <f t="shared" si="14"/>
        <v>97</v>
      </c>
      <c r="X45" s="771"/>
      <c r="Y45" s="3183"/>
      <c r="Z45" s="55" t="str">
        <f t="shared" si="15"/>
        <v>智能环保系统</v>
      </c>
      <c r="AA45" s="772">
        <f t="shared" si="3"/>
        <v>1.0309278350515463</v>
      </c>
      <c r="AB45" s="772">
        <f t="shared" si="4"/>
        <v>1.0309278350515463</v>
      </c>
      <c r="AC45" s="2677">
        <f t="shared" si="5"/>
        <v>1.0309278350515463</v>
      </c>
    </row>
    <row r="46" spans="1:29" ht="15">
      <c r="A46" s="471"/>
      <c r="B46" s="3291" t="s">
        <v>3092</v>
      </c>
      <c r="C46" s="3289" t="s">
        <v>3086</v>
      </c>
      <c r="D46" s="434">
        <v>100</v>
      </c>
      <c r="E46" s="3289" t="s">
        <v>3090</v>
      </c>
      <c r="F46" s="460">
        <f>SUMIF(129:129,E46,130:130)-SUMIF(129:129,C46,130:130)+100</f>
        <v>98</v>
      </c>
      <c r="G46" s="3289" t="s">
        <v>3090</v>
      </c>
      <c r="H46" s="434">
        <f>SUMIF(129:129,G46,130:130)-SUMIF(129:129,C46,130:130)+100</f>
        <v>98</v>
      </c>
      <c r="I46" s="3289" t="s">
        <v>3090</v>
      </c>
      <c r="J46" s="434">
        <f>SUMIF(129:129,I46,130:130)-SUMIF(129:129,C46,130:130)+100</f>
        <v>98</v>
      </c>
      <c r="K46" s="612"/>
      <c r="L46" s="1142"/>
      <c r="M46" s="1133"/>
      <c r="N46" s="1133"/>
      <c r="O46" s="1133"/>
      <c r="P46" s="3181"/>
      <c r="Q46" s="1812" t="str">
        <f t="shared" si="11"/>
        <v>建筑品质</v>
      </c>
      <c r="R46" s="773" t="s">
        <v>17</v>
      </c>
      <c r="S46" s="774">
        <f t="shared" si="12"/>
        <v>98</v>
      </c>
      <c r="T46" s="773" t="s">
        <v>17</v>
      </c>
      <c r="U46" s="774">
        <f t="shared" si="13"/>
        <v>98</v>
      </c>
      <c r="V46" s="773" t="s">
        <v>17</v>
      </c>
      <c r="W46" s="774">
        <f t="shared" si="14"/>
        <v>98</v>
      </c>
      <c r="X46" s="1815"/>
      <c r="Y46" s="3183"/>
      <c r="Z46" s="1816" t="str">
        <f t="shared" si="15"/>
        <v>建筑品质</v>
      </c>
      <c r="AA46" s="1813">
        <f t="shared" si="3"/>
        <v>1.0204081632653061</v>
      </c>
      <c r="AB46" s="1813">
        <f t="shared" si="4"/>
        <v>1.0204081632653061</v>
      </c>
      <c r="AC46" s="2680">
        <f t="shared" si="5"/>
        <v>1.0204081632653061</v>
      </c>
    </row>
    <row r="47" spans="1:29" ht="15.75" thickBot="1">
      <c r="A47" s="477"/>
      <c r="B47" s="260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82"/>
      <c r="Q47" s="1812">
        <f t="shared" si="11"/>
        <v>111</v>
      </c>
      <c r="R47" s="773" t="s">
        <v>17</v>
      </c>
      <c r="S47" s="774">
        <f t="shared" si="12"/>
        <v>100</v>
      </c>
      <c r="T47" s="773" t="s">
        <v>17</v>
      </c>
      <c r="U47" s="774">
        <f t="shared" si="13"/>
        <v>100</v>
      </c>
      <c r="V47" s="773" t="s">
        <v>17</v>
      </c>
      <c r="W47" s="774">
        <f t="shared" si="14"/>
        <v>100</v>
      </c>
      <c r="X47" s="1815"/>
      <c r="Y47" s="3184"/>
      <c r="Z47" s="1816">
        <f t="shared" si="15"/>
        <v>111</v>
      </c>
      <c r="AA47" s="1813">
        <f t="shared" si="3"/>
        <v>1</v>
      </c>
      <c r="AB47" s="1813">
        <f t="shared" si="4"/>
        <v>1</v>
      </c>
      <c r="AC47" s="2680">
        <f t="shared" si="5"/>
        <v>1</v>
      </c>
    </row>
    <row r="48" spans="1:29" ht="15">
      <c r="A48" s="478" t="s">
        <v>2581</v>
      </c>
      <c r="B48" s="479"/>
      <c r="C48" s="1409" t="s">
        <v>1</v>
      </c>
      <c r="D48" s="1410"/>
      <c r="E48" s="1411">
        <v>37000</v>
      </c>
      <c r="F48" s="1412"/>
      <c r="G48" s="1413">
        <v>38000</v>
      </c>
      <c r="H48" s="1414"/>
      <c r="I48" s="1411">
        <v>38615</v>
      </c>
      <c r="J48" s="484"/>
      <c r="K48" s="782"/>
      <c r="L48" s="1145"/>
      <c r="M48" s="1133"/>
      <c r="N48" s="1133"/>
      <c r="O48" s="1133"/>
      <c r="P48" s="3187" t="str">
        <f>A48</f>
        <v>成交单价（元/平方米）</v>
      </c>
      <c r="Q48" s="3176"/>
      <c r="R48" s="3177">
        <f>E48</f>
        <v>37000</v>
      </c>
      <c r="S48" s="3177"/>
      <c r="T48" s="3177">
        <f>G48</f>
        <v>38000</v>
      </c>
      <c r="U48" s="3177"/>
      <c r="V48" s="3177">
        <f>I48</f>
        <v>38615</v>
      </c>
      <c r="W48" s="3177"/>
      <c r="X48" s="445"/>
      <c r="Y48" s="780"/>
      <c r="Z48" s="445"/>
      <c r="AA48" s="445"/>
      <c r="AB48" s="445"/>
      <c r="AC48" s="629"/>
    </row>
    <row r="49" spans="1:29" ht="15.75" thickBot="1">
      <c r="A49" s="485" t="s">
        <v>2673</v>
      </c>
      <c r="B49" s="486"/>
      <c r="C49" s="1415">
        <f>R50</f>
        <v>41378</v>
      </c>
      <c r="D49" s="1416"/>
      <c r="E49" s="1417">
        <f>R49</f>
        <v>39737</v>
      </c>
      <c r="F49" s="1417"/>
      <c r="G49" s="1415">
        <f>T49</f>
        <v>42933</v>
      </c>
      <c r="H49" s="1416"/>
      <c r="I49" s="1417">
        <f>V49</f>
        <v>41463</v>
      </c>
      <c r="J49" s="488"/>
      <c r="K49" s="783"/>
      <c r="L49" s="1145"/>
      <c r="M49" s="1133"/>
      <c r="N49" s="1133"/>
      <c r="O49" s="1133"/>
      <c r="P49" s="3187" t="str">
        <f>A49</f>
        <v>比较价值（元/平方米）</v>
      </c>
      <c r="Q49" s="3176"/>
      <c r="R49" s="3177">
        <f>IF(F1="售价",ROUND(PRODUCT(R48,AA7:AA47),0),ROUND(PRODUCT(R48,AA7:AA47),1))</f>
        <v>39737</v>
      </c>
      <c r="S49" s="3177"/>
      <c r="T49" s="3177">
        <f>IF(F1="售价",ROUND(PRODUCT(T48,AB7:AB47),0),ROUND(PRODUCT(T48,AB7:AB47),1))</f>
        <v>42933</v>
      </c>
      <c r="U49" s="3177"/>
      <c r="V49" s="3177">
        <f>IF(F1="售价",ROUND(PRODUCT(V48,AC7:AC47),0),ROUND(PRODUCT(V48,AC7:AC47),1))</f>
        <v>41463</v>
      </c>
      <c r="W49" s="3177"/>
      <c r="X49" s="445"/>
      <c r="Y49" s="445"/>
      <c r="Z49" s="445"/>
      <c r="AA49" s="445"/>
      <c r="AB49" s="445"/>
      <c r="AC49" s="629"/>
    </row>
    <row r="50" spans="1:29" ht="15.75" thickBot="1">
      <c r="A50" s="491" t="s">
        <v>2674</v>
      </c>
      <c r="B50" s="492"/>
      <c r="C50" s="1419">
        <f>R50</f>
        <v>41378</v>
      </c>
      <c r="D50" s="1419"/>
      <c r="E50" s="1419"/>
      <c r="F50" s="1419"/>
      <c r="G50" s="1419"/>
      <c r="H50" s="1419"/>
      <c r="I50" s="1419"/>
      <c r="J50" s="493"/>
      <c r="K50" s="784"/>
      <c r="L50" s="1145"/>
      <c r="M50" s="1133"/>
      <c r="N50" s="1133"/>
      <c r="O50" s="1133"/>
      <c r="P50" s="3219" t="str">
        <f>A50</f>
        <v>估价对象XX用房的比较价值（楼面单价，元/平方米）</v>
      </c>
      <c r="Q50" s="3220"/>
      <c r="R50" s="3221">
        <f>IF(F1="售价",ROUND(AVERAGE(R49:V49),0),ROUND(AVERAGE(R49:V49),1))</f>
        <v>41378</v>
      </c>
      <c r="S50" s="3221"/>
      <c r="T50" s="3221"/>
      <c r="U50" s="3221"/>
      <c r="V50" s="3221"/>
      <c r="W50" s="3221"/>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7.3972972972973006E-2</v>
      </c>
      <c r="F53" s="499" t="str">
        <f>IF(OR(E53&gt;=0.3,E53&lt;=-0.3),"超过30%","")</f>
        <v/>
      </c>
      <c r="G53" s="498">
        <f>IF(G48&lt;G49,G49/G48-1,G48/G49-1)</f>
        <v>0.12981578947368422</v>
      </c>
      <c r="H53" s="499" t="str">
        <f>IF(OR(G53&gt;=0.3,G53&lt;=-0.3),"超过30%","")</f>
        <v/>
      </c>
      <c r="I53" s="498">
        <f>IF(I48&lt;I49,I49/I48-1,I48/I49-1)</f>
        <v>7.3753722646639819E-2</v>
      </c>
      <c r="J53" s="499" t="str">
        <f>IF(OR(I53&gt;=0.3,I53&lt;=-0.3),"超过30%","")</f>
        <v/>
      </c>
      <c r="K53" s="1107"/>
      <c r="L53" s="1108"/>
      <c r="M53" s="1146"/>
      <c r="N53" s="1146"/>
      <c r="O53" s="1146"/>
    </row>
    <row r="54" spans="1:29" ht="13.5" customHeight="1">
      <c r="A54" s="1146"/>
      <c r="B54" s="1146"/>
      <c r="C54" s="496" t="s">
        <v>2676</v>
      </c>
      <c r="D54" s="500"/>
      <c r="E54" s="498">
        <f>IF(E49&lt;G49,G49/E49-1,E49/G49-1)</f>
        <v>8.0428819488134407E-2</v>
      </c>
      <c r="F54" s="499" t="str">
        <f>IF(OR(E54&gt;=0.2,E54&lt;=-0.2),"超过20%","")</f>
        <v/>
      </c>
      <c r="G54" s="498">
        <f>IF(G49&lt;I49,I49/G49-1,G49/I49-1)</f>
        <v>3.545329570942779E-2</v>
      </c>
      <c r="H54" s="499" t="str">
        <f>IF(OR(G54&gt;=0.2,G54&lt;=-0.2),"超过20%","")</f>
        <v/>
      </c>
      <c r="I54" s="498">
        <f>IF(I49&lt;E49,E49/I49-1,I49/E49-1)</f>
        <v>4.3435588997659647E-2</v>
      </c>
      <c r="J54" s="499" t="str">
        <f>IF(OR(I54&gt;=0.2,I54&lt;=-0.2),"超过20%","")</f>
        <v/>
      </c>
      <c r="K54" s="1107"/>
      <c r="L54" s="1108"/>
      <c r="M54" s="1146"/>
      <c r="N54" s="1146"/>
      <c r="O54" s="1146"/>
    </row>
    <row r="55" spans="1:29" s="501" customFormat="1" ht="13.5" customHeight="1">
      <c r="A55" s="1147"/>
      <c r="B55" s="1147"/>
      <c r="C55" s="496" t="s">
        <v>2677</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50"/>
      <c r="L55" s="1151"/>
      <c r="M55" s="1147"/>
      <c r="N55" s="1147"/>
      <c r="O55" s="1147"/>
      <c r="P55" s="2686"/>
    </row>
    <row r="56" spans="1:29" s="501"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7"/>
      <c r="Q58" s="503"/>
    </row>
    <row r="59" spans="1:29" s="507" customFormat="1" ht="15">
      <c r="A59" s="504" t="s">
        <v>2552</v>
      </c>
      <c r="B59" s="505"/>
      <c r="C59" s="1576" t="str">
        <f>YEAR(C7)&amp;"-"&amp;MONTH(C7)</f>
        <v>2018-9</v>
      </c>
      <c r="D59" s="1577">
        <f>EDATE(C59,-1)</f>
        <v>43313</v>
      </c>
      <c r="E59" s="1577">
        <f>EDATE(D59,-1)</f>
        <v>43282</v>
      </c>
      <c r="F59" s="1577">
        <f t="shared" ref="F59:O59" si="16">EDATE(E59,-1)</f>
        <v>43252</v>
      </c>
      <c r="G59" s="1577">
        <f t="shared" si="16"/>
        <v>43221</v>
      </c>
      <c r="H59" s="1577">
        <f t="shared" si="16"/>
        <v>43191</v>
      </c>
      <c r="I59" s="1577">
        <f t="shared" si="16"/>
        <v>43160</v>
      </c>
      <c r="J59" s="1577">
        <f t="shared" si="16"/>
        <v>43132</v>
      </c>
      <c r="K59" s="1577">
        <f t="shared" si="16"/>
        <v>43101</v>
      </c>
      <c r="L59" s="1577">
        <f t="shared" si="16"/>
        <v>43070</v>
      </c>
      <c r="M59" s="1577">
        <f t="shared" si="16"/>
        <v>43040</v>
      </c>
      <c r="N59" s="1577">
        <f t="shared" si="16"/>
        <v>43009</v>
      </c>
      <c r="O59" s="1577">
        <f t="shared" si="16"/>
        <v>42979</v>
      </c>
      <c r="P59" s="1573"/>
    </row>
    <row r="60" spans="1:29" s="117" customFormat="1" ht="15">
      <c r="A60" s="508"/>
      <c r="B60" s="509"/>
      <c r="C60" s="1575">
        <v>100</v>
      </c>
      <c r="D60" s="511">
        <v>100</v>
      </c>
      <c r="E60" s="511">
        <v>100</v>
      </c>
      <c r="F60" s="511"/>
      <c r="G60" s="511"/>
      <c r="H60" s="511"/>
      <c r="I60" s="511"/>
      <c r="J60" s="511"/>
      <c r="K60" s="511"/>
      <c r="L60" s="511"/>
      <c r="M60" s="512"/>
      <c r="N60" s="511"/>
      <c r="O60" s="512"/>
      <c r="P60" s="2688"/>
    </row>
    <row r="61" spans="1:29" s="117" customFormat="1" ht="15.75" thickBot="1">
      <c r="A61" s="514" t="s">
        <v>2589</v>
      </c>
      <c r="B61" s="515"/>
      <c r="C61" s="516"/>
      <c r="D61" s="517"/>
      <c r="E61" s="517"/>
      <c r="F61" s="517"/>
      <c r="G61" s="517"/>
      <c r="H61" s="517"/>
      <c r="I61" s="517"/>
      <c r="J61" s="517"/>
      <c r="K61" s="517"/>
      <c r="L61" s="517"/>
      <c r="M61" s="518"/>
      <c r="N61" s="517"/>
      <c r="O61" s="518"/>
      <c r="P61" s="2688"/>
      <c r="Q61" s="503"/>
    </row>
    <row r="62" spans="1:29" s="117" customFormat="1" ht="15">
      <c r="A62" s="520" t="s">
        <v>2554</v>
      </c>
      <c r="B62" s="509"/>
      <c r="C62" s="521" t="s">
        <v>2656</v>
      </c>
      <c r="D62" s="522"/>
      <c r="E62" s="522"/>
      <c r="F62" s="522"/>
      <c r="G62" s="522"/>
      <c r="H62" s="522"/>
      <c r="I62" s="522"/>
      <c r="J62" s="522"/>
      <c r="K62" s="522"/>
      <c r="L62" s="523"/>
      <c r="M62" s="524"/>
      <c r="N62" s="1153"/>
      <c r="O62" s="1153"/>
      <c r="P62" s="2689"/>
      <c r="Q62" s="503"/>
    </row>
    <row r="63" spans="1:29" s="117" customFormat="1" ht="15.75" thickBot="1">
      <c r="A63" s="520"/>
      <c r="B63" s="509"/>
      <c r="C63" s="510">
        <v>100</v>
      </c>
      <c r="D63" s="511"/>
      <c r="E63" s="511"/>
      <c r="F63" s="511"/>
      <c r="G63" s="511"/>
      <c r="H63" s="511"/>
      <c r="I63" s="511"/>
      <c r="J63" s="511"/>
      <c r="K63" s="511"/>
      <c r="L63" s="511"/>
      <c r="M63" s="513"/>
      <c r="N63" s="1153"/>
      <c r="O63" s="1153"/>
      <c r="P63" s="2688"/>
      <c r="Q63" s="503"/>
    </row>
    <row r="64" spans="1:29">
      <c r="A64" s="526" t="s">
        <v>2592</v>
      </c>
      <c r="B64" s="527" t="s">
        <v>2558</v>
      </c>
      <c r="C64" s="528" t="str">
        <f>C9</f>
        <v>办公</v>
      </c>
      <c r="D64" s="529"/>
      <c r="E64" s="529"/>
      <c r="F64" s="529"/>
      <c r="G64" s="529"/>
      <c r="H64" s="529"/>
      <c r="I64" s="529"/>
      <c r="J64" s="529"/>
      <c r="K64" s="530"/>
      <c r="L64" s="531"/>
      <c r="M64" s="532"/>
      <c r="N64" s="1154"/>
      <c r="O64" s="1154"/>
      <c r="P64" s="2690"/>
      <c r="Q64" s="503"/>
    </row>
    <row r="65" spans="1:17" ht="15.75" thickBot="1">
      <c r="A65" s="533"/>
      <c r="B65" s="534"/>
      <c r="C65" s="535">
        <v>100</v>
      </c>
      <c r="D65" s="535"/>
      <c r="E65" s="535"/>
      <c r="F65" s="535"/>
      <c r="G65" s="535"/>
      <c r="H65" s="535"/>
      <c r="I65" s="535"/>
      <c r="J65" s="535"/>
      <c r="K65" s="535"/>
      <c r="L65" s="535"/>
      <c r="M65" s="536"/>
      <c r="N65" s="1155"/>
      <c r="O65" s="1155"/>
      <c r="P65" s="2690"/>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90"/>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90"/>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90"/>
      <c r="Q68" s="503"/>
    </row>
    <row r="69" spans="1:17" ht="15">
      <c r="A69" s="533"/>
      <c r="B69" s="547"/>
      <c r="C69" s="548">
        <v>0</v>
      </c>
      <c r="D69" s="548">
        <v>1</v>
      </c>
      <c r="E69" s="548">
        <v>2</v>
      </c>
      <c r="F69" s="548">
        <v>3</v>
      </c>
      <c r="G69" s="548"/>
      <c r="H69" s="548"/>
      <c r="I69" s="548"/>
      <c r="J69" s="548"/>
      <c r="K69" s="549"/>
      <c r="L69" s="550"/>
      <c r="M69" s="551"/>
      <c r="N69" s="1154"/>
      <c r="O69" s="1154"/>
      <c r="P69" s="269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90"/>
      <c r="Q70" s="503"/>
    </row>
    <row r="71" spans="1:17" s="470" customFormat="1" ht="15.75" thickTop="1">
      <c r="A71" s="552"/>
      <c r="B71" s="537">
        <f>B12</f>
        <v>111</v>
      </c>
      <c r="C71" s="553"/>
      <c r="D71" s="553"/>
      <c r="E71" s="553"/>
      <c r="F71" s="553"/>
      <c r="G71" s="553"/>
      <c r="H71" s="554"/>
      <c r="I71" s="554"/>
      <c r="J71" s="554"/>
      <c r="K71" s="554"/>
      <c r="L71" s="555"/>
      <c r="M71" s="556"/>
      <c r="N71" s="1156"/>
      <c r="O71" s="1156"/>
      <c r="P71" s="2691"/>
      <c r="Q71" s="558"/>
    </row>
    <row r="72" spans="1:17" s="470" customFormat="1" ht="15.75" thickBot="1">
      <c r="A72" s="552"/>
      <c r="B72" s="542"/>
      <c r="C72" s="559"/>
      <c r="D72" s="535"/>
      <c r="E72" s="535"/>
      <c r="F72" s="535"/>
      <c r="G72" s="535"/>
      <c r="H72" s="535"/>
      <c r="I72" s="535"/>
      <c r="J72" s="535"/>
      <c r="K72" s="535"/>
      <c r="L72" s="535"/>
      <c r="M72" s="536"/>
      <c r="N72" s="1155"/>
      <c r="O72" s="1155"/>
      <c r="P72" s="2691"/>
      <c r="Q72" s="558"/>
    </row>
    <row r="73" spans="1:17" s="470" customFormat="1" ht="15.75" thickTop="1">
      <c r="A73" s="552"/>
      <c r="B73" s="537">
        <f>B13</f>
        <v>111</v>
      </c>
      <c r="C73" s="553"/>
      <c r="D73" s="553"/>
      <c r="E73" s="553"/>
      <c r="F73" s="553"/>
      <c r="G73" s="553"/>
      <c r="H73" s="554"/>
      <c r="I73" s="554"/>
      <c r="J73" s="554"/>
      <c r="K73" s="554"/>
      <c r="L73" s="555"/>
      <c r="M73" s="556"/>
      <c r="N73" s="1156"/>
      <c r="O73" s="1156"/>
      <c r="P73" s="2692"/>
      <c r="Q73" s="560"/>
    </row>
    <row r="74" spans="1:17" s="470" customFormat="1" ht="15.75" thickBot="1">
      <c r="A74" s="552"/>
      <c r="B74" s="542"/>
      <c r="C74" s="559"/>
      <c r="D74" s="559"/>
      <c r="E74" s="559"/>
      <c r="F74" s="559"/>
      <c r="G74" s="559"/>
      <c r="H74" s="561"/>
      <c r="I74" s="561"/>
      <c r="J74" s="561"/>
      <c r="K74" s="561"/>
      <c r="L74" s="561"/>
      <c r="M74" s="562"/>
      <c r="N74" s="1156"/>
      <c r="O74" s="1156"/>
      <c r="P74" s="2691"/>
      <c r="Q74" s="558"/>
    </row>
    <row r="75" spans="1:17" s="470" customFormat="1" ht="15.75" thickTop="1">
      <c r="A75" s="552"/>
      <c r="B75" s="545">
        <f>B14</f>
        <v>111</v>
      </c>
      <c r="C75" s="522"/>
      <c r="D75" s="522"/>
      <c r="E75" s="522"/>
      <c r="F75" s="522"/>
      <c r="G75" s="522"/>
      <c r="H75" s="563"/>
      <c r="I75" s="563"/>
      <c r="J75" s="563"/>
      <c r="K75" s="563"/>
      <c r="L75" s="564"/>
      <c r="M75" s="565"/>
      <c r="N75" s="1156"/>
      <c r="O75" s="1156"/>
      <c r="P75" s="2693"/>
      <c r="Q75" s="558"/>
    </row>
    <row r="76" spans="1:17" s="470" customFormat="1" ht="15.75" thickBot="1">
      <c r="A76" s="567"/>
      <c r="B76" s="568"/>
      <c r="C76" s="569"/>
      <c r="D76" s="569"/>
      <c r="E76" s="569"/>
      <c r="F76" s="569"/>
      <c r="G76" s="569"/>
      <c r="H76" s="570"/>
      <c r="I76" s="570"/>
      <c r="J76" s="570"/>
      <c r="K76" s="570"/>
      <c r="L76" s="570"/>
      <c r="M76" s="571"/>
      <c r="N76" s="1156"/>
      <c r="O76" s="1156"/>
      <c r="P76" s="2691"/>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90"/>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9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90"/>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90"/>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90"/>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9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90"/>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9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90"/>
      <c r="Q86" s="503"/>
    </row>
    <row r="87" spans="1:17" s="117" customFormat="1" ht="27.75" thickTop="1">
      <c r="A87" s="578"/>
      <c r="B87" s="537" t="s">
        <v>2703</v>
      </c>
      <c r="C87" s="553" t="s">
        <v>3093</v>
      </c>
      <c r="D87" s="553" t="s">
        <v>3094</v>
      </c>
      <c r="E87" s="553" t="s">
        <v>3095</v>
      </c>
      <c r="F87" s="553" t="s">
        <v>3070</v>
      </c>
      <c r="G87" s="553" t="s">
        <v>3096</v>
      </c>
      <c r="H87" s="553"/>
      <c r="I87" s="553"/>
      <c r="J87" s="553"/>
      <c r="K87" s="553"/>
      <c r="L87" s="579"/>
      <c r="M87" s="580"/>
      <c r="N87" s="1153"/>
      <c r="O87" s="1153"/>
      <c r="P87" s="2690"/>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90"/>
      <c r="Q88" s="503"/>
    </row>
    <row r="89" spans="1:17" s="117" customFormat="1" ht="15.75" thickTop="1">
      <c r="A89" s="578"/>
      <c r="B89" s="537" t="str">
        <f>B27</f>
        <v>楼层</v>
      </c>
      <c r="C89" s="553" t="s">
        <v>3071</v>
      </c>
      <c r="D89" s="553" t="s">
        <v>3073</v>
      </c>
      <c r="E89" s="553" t="s">
        <v>3075</v>
      </c>
      <c r="F89" s="2641"/>
      <c r="G89" s="553"/>
      <c r="H89" s="553"/>
      <c r="I89" s="553"/>
      <c r="J89" s="553"/>
      <c r="K89" s="553"/>
      <c r="L89" s="553"/>
      <c r="M89" s="580"/>
      <c r="N89" s="1153"/>
      <c r="O89" s="1153"/>
      <c r="P89" s="2690"/>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90"/>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1"/>
      <c r="Q92" s="558"/>
    </row>
    <row r="93" spans="1:17" ht="15.75" thickTop="1">
      <c r="A93" s="533"/>
      <c r="B93" s="537">
        <f>B29</f>
        <v>111</v>
      </c>
      <c r="C93" s="553"/>
      <c r="D93" s="553"/>
      <c r="E93" s="553"/>
      <c r="F93" s="553"/>
      <c r="G93" s="553"/>
      <c r="H93" s="553"/>
      <c r="I93" s="553"/>
      <c r="J93" s="553"/>
      <c r="K93" s="553"/>
      <c r="L93" s="579"/>
      <c r="M93" s="580"/>
      <c r="N93" s="1154"/>
      <c r="O93" s="1154"/>
      <c r="P93" s="2690"/>
      <c r="Q93" s="503"/>
    </row>
    <row r="94" spans="1:17" ht="15.75" thickBot="1">
      <c r="A94" s="533"/>
      <c r="B94" s="542"/>
      <c r="C94" s="559"/>
      <c r="D94" s="535"/>
      <c r="E94" s="535"/>
      <c r="F94" s="535"/>
      <c r="G94" s="535"/>
      <c r="H94" s="535"/>
      <c r="I94" s="535"/>
      <c r="J94" s="535"/>
      <c r="K94" s="535"/>
      <c r="L94" s="535"/>
      <c r="M94" s="536"/>
      <c r="N94" s="1155"/>
      <c r="O94" s="1155"/>
      <c r="P94" s="2690"/>
      <c r="Q94" s="503"/>
    </row>
    <row r="95" spans="1:17" ht="15.75" thickTop="1">
      <c r="A95" s="533"/>
      <c r="B95" s="537">
        <f>B30</f>
        <v>111</v>
      </c>
      <c r="C95" s="553"/>
      <c r="D95" s="553"/>
      <c r="E95" s="553"/>
      <c r="F95" s="553"/>
      <c r="G95" s="582"/>
      <c r="H95" s="582"/>
      <c r="I95" s="582"/>
      <c r="J95" s="582"/>
      <c r="K95" s="583"/>
      <c r="L95" s="584"/>
      <c r="M95" s="585"/>
      <c r="N95" s="1154"/>
      <c r="O95" s="1154"/>
      <c r="P95" s="2690"/>
      <c r="Q95" s="503"/>
    </row>
    <row r="96" spans="1:17" ht="15.75" thickBot="1">
      <c r="A96" s="533"/>
      <c r="B96" s="542"/>
      <c r="C96" s="559"/>
      <c r="D96" s="559"/>
      <c r="E96" s="559"/>
      <c r="F96" s="559"/>
      <c r="G96" s="535"/>
      <c r="H96" s="535"/>
      <c r="I96" s="535"/>
      <c r="J96" s="535"/>
      <c r="K96" s="535"/>
      <c r="L96" s="535"/>
      <c r="M96" s="536"/>
      <c r="N96" s="1155"/>
      <c r="O96" s="1155"/>
      <c r="P96" s="2690"/>
      <c r="Q96" s="503"/>
    </row>
    <row r="97" spans="1:17" ht="15.75" thickTop="1">
      <c r="A97" s="533"/>
      <c r="B97" s="537">
        <f>B31</f>
        <v>111</v>
      </c>
      <c r="C97" s="553"/>
      <c r="D97" s="553"/>
      <c r="E97" s="553"/>
      <c r="F97" s="553"/>
      <c r="G97" s="582"/>
      <c r="H97" s="582"/>
      <c r="I97" s="582"/>
      <c r="J97" s="582"/>
      <c r="K97" s="583"/>
      <c r="L97" s="584"/>
      <c r="M97" s="585"/>
      <c r="N97" s="1154"/>
      <c r="O97" s="1154"/>
      <c r="P97" s="2690"/>
      <c r="Q97" s="503"/>
    </row>
    <row r="98" spans="1:17" ht="15.75" thickBot="1">
      <c r="A98" s="533"/>
      <c r="B98" s="542"/>
      <c r="C98" s="559"/>
      <c r="D98" s="535"/>
      <c r="E98" s="535"/>
      <c r="F98" s="535"/>
      <c r="G98" s="535"/>
      <c r="H98" s="535"/>
      <c r="I98" s="535"/>
      <c r="J98" s="535"/>
      <c r="K98" s="535"/>
      <c r="L98" s="535"/>
      <c r="M98" s="536"/>
      <c r="N98" s="1155"/>
      <c r="O98" s="1155"/>
      <c r="P98" s="2690"/>
      <c r="Q98" s="503"/>
    </row>
    <row r="99" spans="1:17" ht="15.75" thickTop="1">
      <c r="A99" s="533"/>
      <c r="B99" s="545">
        <f>B32</f>
        <v>111</v>
      </c>
      <c r="C99" s="522"/>
      <c r="D99" s="522"/>
      <c r="E99" s="522"/>
      <c r="F99" s="522"/>
      <c r="G99" s="586"/>
      <c r="H99" s="586"/>
      <c r="I99" s="586"/>
      <c r="J99" s="586"/>
      <c r="K99" s="587"/>
      <c r="L99" s="588"/>
      <c r="M99" s="589"/>
      <c r="N99" s="1154"/>
      <c r="O99" s="1154"/>
      <c r="P99" s="2690"/>
      <c r="Q99" s="503"/>
    </row>
    <row r="100" spans="1:17" ht="15.75" thickBot="1">
      <c r="A100" s="2642"/>
      <c r="B100" s="568"/>
      <c r="C100" s="569"/>
      <c r="D100" s="569"/>
      <c r="E100" s="569"/>
      <c r="F100" s="569"/>
      <c r="G100" s="590"/>
      <c r="H100" s="590"/>
      <c r="I100" s="590"/>
      <c r="J100" s="590"/>
      <c r="K100" s="590"/>
      <c r="L100" s="590"/>
      <c r="M100" s="591"/>
      <c r="N100" s="1155"/>
      <c r="O100" s="1155"/>
      <c r="P100" s="2690"/>
      <c r="Q100" s="503"/>
    </row>
    <row r="101" spans="1:17">
      <c r="A101" s="526" t="s">
        <v>2567</v>
      </c>
      <c r="B101" s="527" t="s">
        <v>2616</v>
      </c>
      <c r="C101" s="529" t="s">
        <v>3076</v>
      </c>
      <c r="D101" s="529" t="s">
        <v>3097</v>
      </c>
      <c r="E101" s="529"/>
      <c r="F101" s="529"/>
      <c r="G101" s="529"/>
      <c r="H101" s="529"/>
      <c r="I101" s="529"/>
      <c r="J101" s="529"/>
      <c r="K101" s="530"/>
      <c r="L101" s="531"/>
      <c r="M101" s="532"/>
      <c r="N101" s="1154"/>
      <c r="O101" s="1154"/>
      <c r="P101" s="2690"/>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90"/>
      <c r="Q102" s="503"/>
    </row>
    <row r="103" spans="1:17" ht="15.7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90"/>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1"/>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1"/>
      <c r="Q105" s="558"/>
    </row>
    <row r="106" spans="1:17" ht="15" thickTop="1">
      <c r="A106" s="598"/>
      <c r="B106" s="537" t="s">
        <v>2618</v>
      </c>
      <c r="C106" s="553" t="s">
        <v>3098</v>
      </c>
      <c r="D106" s="553" t="s">
        <v>3077</v>
      </c>
      <c r="E106" s="582" t="s">
        <v>3099</v>
      </c>
      <c r="F106" s="582"/>
      <c r="G106" s="582"/>
      <c r="H106" s="582"/>
      <c r="I106" s="582"/>
      <c r="J106" s="582"/>
      <c r="K106" s="583"/>
      <c r="L106" s="584"/>
      <c r="M106" s="585"/>
      <c r="N106" s="1154"/>
      <c r="O106" s="1154"/>
      <c r="P106" s="2690"/>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90"/>
      <c r="Q107" s="503"/>
    </row>
    <row r="108" spans="1:17" ht="15" thickTop="1">
      <c r="A108" s="598"/>
      <c r="B108" s="537" t="s">
        <v>2620</v>
      </c>
      <c r="C108" s="553" t="s">
        <v>3078</v>
      </c>
      <c r="D108" s="553" t="s">
        <v>3088</v>
      </c>
      <c r="E108" s="553" t="s">
        <v>3083</v>
      </c>
      <c r="F108" s="582" t="s">
        <v>3100</v>
      </c>
      <c r="G108" s="582"/>
      <c r="H108" s="582"/>
      <c r="I108" s="582"/>
      <c r="J108" s="582"/>
      <c r="K108" s="583"/>
      <c r="L108" s="584"/>
      <c r="M108" s="585"/>
      <c r="N108" s="1154"/>
      <c r="O108" s="1154"/>
      <c r="P108" s="269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90"/>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90"/>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90"/>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90"/>
      <c r="Q112" s="503"/>
    </row>
    <row r="113" spans="1:17" s="470" customFormat="1" ht="15" thickTop="1">
      <c r="A113" s="592"/>
      <c r="B113" s="537" t="s">
        <v>2704</v>
      </c>
      <c r="C113" s="553" t="s">
        <v>3079</v>
      </c>
      <c r="D113" s="553" t="s">
        <v>3101</v>
      </c>
      <c r="E113" s="553" t="s">
        <v>3102</v>
      </c>
      <c r="F113" s="553"/>
      <c r="G113" s="553"/>
      <c r="H113" s="582"/>
      <c r="I113" s="582"/>
      <c r="J113" s="582"/>
      <c r="K113" s="583"/>
      <c r="L113" s="584"/>
      <c r="M113" s="585"/>
      <c r="N113" s="1156"/>
      <c r="O113" s="1156"/>
      <c r="P113" s="2691"/>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1"/>
      <c r="Q114" s="558"/>
    </row>
    <row r="115" spans="1:17" ht="15" thickTop="1">
      <c r="A115" s="598"/>
      <c r="B115" s="537" t="s">
        <v>2621</v>
      </c>
      <c r="C115" s="553" t="s">
        <v>3080</v>
      </c>
      <c r="D115" s="553" t="s">
        <v>3103</v>
      </c>
      <c r="E115" s="582"/>
      <c r="F115" s="582"/>
      <c r="G115" s="582"/>
      <c r="H115" s="582"/>
      <c r="I115" s="582"/>
      <c r="J115" s="582"/>
      <c r="K115" s="583"/>
      <c r="L115" s="584"/>
      <c r="M115" s="585"/>
      <c r="N115" s="1154"/>
      <c r="O115" s="1154"/>
      <c r="P115" s="2690"/>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90"/>
      <c r="Q116" s="503"/>
    </row>
    <row r="117" spans="1:17" ht="15" thickTop="1">
      <c r="A117" s="598"/>
      <c r="B117" s="537" t="s">
        <v>2622</v>
      </c>
      <c r="C117" s="553" t="s">
        <v>3081</v>
      </c>
      <c r="D117" s="553" t="s">
        <v>3087</v>
      </c>
      <c r="E117" s="553" t="s">
        <v>3104</v>
      </c>
      <c r="F117" s="553" t="s">
        <v>3105</v>
      </c>
      <c r="G117" s="553" t="s">
        <v>3106</v>
      </c>
      <c r="H117" s="582"/>
      <c r="I117" s="582"/>
      <c r="J117" s="582"/>
      <c r="K117" s="583"/>
      <c r="L117" s="584"/>
      <c r="M117" s="585"/>
      <c r="N117" s="1154"/>
      <c r="O117" s="1154"/>
      <c r="P117" s="269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90"/>
      <c r="Q118" s="503"/>
    </row>
    <row r="119" spans="1:17" ht="15" thickTop="1">
      <c r="A119" s="598"/>
      <c r="B119" s="635" t="s">
        <v>2705</v>
      </c>
      <c r="C119" s="582" t="s">
        <v>3107</v>
      </c>
      <c r="D119" s="582" t="s">
        <v>3082</v>
      </c>
      <c r="E119" s="582"/>
      <c r="F119" s="582"/>
      <c r="G119" s="582"/>
      <c r="H119" s="582"/>
      <c r="I119" s="582"/>
      <c r="J119" s="582"/>
      <c r="K119" s="582"/>
      <c r="L119" s="2695"/>
      <c r="M119" s="2696"/>
      <c r="N119" s="1155"/>
      <c r="O119" s="1155"/>
      <c r="P119" s="269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90"/>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1"/>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1"/>
      <c r="Q122" s="558"/>
    </row>
    <row r="123" spans="1:17" ht="15" thickTop="1">
      <c r="A123" s="598"/>
      <c r="B123" s="537" t="s">
        <v>2624</v>
      </c>
      <c r="C123" s="553" t="s">
        <v>3078</v>
      </c>
      <c r="D123" s="553" t="s">
        <v>3088</v>
      </c>
      <c r="E123" s="553" t="s">
        <v>3083</v>
      </c>
      <c r="F123" s="582" t="s">
        <v>3100</v>
      </c>
      <c r="G123" s="582"/>
      <c r="H123" s="582"/>
      <c r="I123" s="582"/>
      <c r="J123" s="582"/>
      <c r="K123" s="583"/>
      <c r="L123" s="584"/>
      <c r="M123" s="585"/>
      <c r="N123" s="1154"/>
      <c r="O123" s="1154"/>
      <c r="P123" s="2690"/>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90"/>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90"/>
      <c r="Q126" s="503"/>
    </row>
    <row r="127" spans="1:17" s="470" customFormat="1" ht="15" thickTop="1">
      <c r="A127" s="592"/>
      <c r="B127" s="537" t="str">
        <f>B45</f>
        <v>智能环保系统</v>
      </c>
      <c r="C127" s="553" t="s">
        <v>3085</v>
      </c>
      <c r="D127" s="553" t="s">
        <v>3108</v>
      </c>
      <c r="E127" s="553"/>
      <c r="F127" s="553"/>
      <c r="G127" s="553"/>
      <c r="H127" s="554"/>
      <c r="I127" s="554"/>
      <c r="J127" s="554"/>
      <c r="K127" s="554"/>
      <c r="L127" s="555"/>
      <c r="M127" s="556"/>
      <c r="N127" s="1156"/>
      <c r="O127" s="1156"/>
      <c r="P127" s="2691"/>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1"/>
      <c r="Q128" s="558"/>
    </row>
    <row r="129" spans="1:17" ht="15" thickTop="1">
      <c r="A129" s="598"/>
      <c r="B129" s="537" t="str">
        <f>B46</f>
        <v>建筑品质</v>
      </c>
      <c r="C129" s="553" t="s">
        <v>3109</v>
      </c>
      <c r="D129" s="553" t="s">
        <v>3103</v>
      </c>
      <c r="E129" s="553"/>
      <c r="F129" s="553"/>
      <c r="G129" s="582"/>
      <c r="H129" s="582"/>
      <c r="I129" s="582"/>
      <c r="J129" s="582"/>
      <c r="K129" s="583"/>
      <c r="L129" s="584"/>
      <c r="M129" s="585"/>
      <c r="N129" s="1154"/>
      <c r="O129" s="1154"/>
      <c r="P129" s="2690"/>
      <c r="Q129" s="503"/>
    </row>
    <row r="130" spans="1:17" ht="15.75" thickBot="1">
      <c r="A130" s="533"/>
      <c r="B130" s="542"/>
      <c r="C130" s="559">
        <v>100</v>
      </c>
      <c r="D130" s="559">
        <v>98</v>
      </c>
      <c r="E130" s="559"/>
      <c r="F130" s="559"/>
      <c r="G130" s="535"/>
      <c r="H130" s="535"/>
      <c r="I130" s="535"/>
      <c r="J130" s="535"/>
      <c r="K130" s="535"/>
      <c r="L130" s="535"/>
      <c r="M130" s="536"/>
      <c r="N130" s="1155"/>
      <c r="O130" s="1155"/>
      <c r="P130" s="2690"/>
      <c r="Q130" s="503"/>
    </row>
    <row r="131" spans="1:17" ht="15" thickTop="1">
      <c r="A131" s="598"/>
      <c r="B131" s="545">
        <f>B47</f>
        <v>111</v>
      </c>
      <c r="C131" s="522"/>
      <c r="D131" s="522"/>
      <c r="E131" s="522"/>
      <c r="F131" s="522"/>
      <c r="G131" s="586"/>
      <c r="H131" s="586"/>
      <c r="I131" s="586"/>
      <c r="J131" s="586"/>
      <c r="K131" s="522"/>
      <c r="L131" s="523"/>
      <c r="M131" s="589"/>
      <c r="N131" s="1154"/>
      <c r="O131" s="1154"/>
      <c r="P131" s="2690"/>
      <c r="Q131" s="503"/>
    </row>
    <row r="132" spans="1:17" ht="15.75" thickBot="1">
      <c r="A132" s="2642"/>
      <c r="B132" s="568"/>
      <c r="C132" s="569"/>
      <c r="D132" s="569"/>
      <c r="E132" s="569"/>
      <c r="F132" s="569"/>
      <c r="G132" s="590"/>
      <c r="H132" s="590"/>
      <c r="I132" s="590"/>
      <c r="J132" s="590"/>
      <c r="K132" s="590"/>
      <c r="L132" s="590"/>
      <c r="M132" s="591"/>
      <c r="N132" s="1155"/>
      <c r="O132" s="1155"/>
      <c r="P132" s="269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40.799999999999997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2197</v>
      </c>
      <c r="C2" s="1847" t="s">
        <v>1591</v>
      </c>
      <c r="D2" s="1940">
        <f ca="1">C40+J29+L46</f>
        <v>21971443</v>
      </c>
      <c r="E2" s="1848" t="s">
        <v>1592</v>
      </c>
      <c r="F2" s="1849"/>
      <c r="G2" s="1850"/>
      <c r="H2" s="1842"/>
      <c r="I2" s="1842"/>
      <c r="J2" s="1842"/>
      <c r="K2" s="1843"/>
      <c r="L2" s="1842"/>
      <c r="M2" s="1842"/>
    </row>
    <row r="3" spans="1:37" ht="18" customHeight="1" thickBot="1">
      <c r="A3" s="1851" t="s">
        <v>1593</v>
      </c>
      <c r="B3" s="1852">
        <f ca="1">IF(ISERROR(D2/F43),0,ROUND(D2/F43,0))</f>
        <v>37272</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1067724</v>
      </c>
      <c r="D5" s="1824" t="s">
        <v>1601</v>
      </c>
      <c r="E5" s="1295"/>
      <c r="F5" s="1296"/>
      <c r="G5" s="1853"/>
      <c r="H5" s="343">
        <v>1</v>
      </c>
      <c r="I5" s="344" t="s">
        <v>1600</v>
      </c>
      <c r="J5" s="1294">
        <f ca="1">J6+J10+J12</f>
        <v>0</v>
      </c>
      <c r="K5" s="1824" t="s">
        <v>1601</v>
      </c>
      <c r="L5" s="1295"/>
      <c r="M5" s="1296"/>
    </row>
    <row r="6" spans="1:37" ht="18" customHeight="1">
      <c r="A6" s="1293" t="s">
        <v>1035</v>
      </c>
      <c r="B6" s="3148" t="s">
        <v>1403</v>
      </c>
      <c r="C6" s="1298">
        <f ca="1">ROUND(F6*F8*F7*(1-F9),0)</f>
        <v>1065061</v>
      </c>
      <c r="D6" s="163" t="s">
        <v>3032</v>
      </c>
      <c r="E6" s="346" t="s">
        <v>1405</v>
      </c>
      <c r="F6" s="347">
        <f ca="1">INDIRECT("'数据-取费表'!u"&amp;$G$1)</f>
        <v>5.5</v>
      </c>
      <c r="G6" s="1853"/>
      <c r="H6" s="1293" t="s">
        <v>1035</v>
      </c>
      <c r="I6" s="3148" t="s">
        <v>1403</v>
      </c>
      <c r="J6" s="345">
        <f ca="1">ROUND(M6*M8*M7*(1-M9),0)</f>
        <v>0</v>
      </c>
      <c r="K6" s="1836" t="s">
        <v>3033</v>
      </c>
      <c r="L6" s="346" t="s">
        <v>1405</v>
      </c>
      <c r="M6" s="347">
        <f ca="1">INDIRECT("'数据-取费表'!z"&amp;$G$1)</f>
        <v>0</v>
      </c>
    </row>
    <row r="7" spans="1:37" ht="18" customHeight="1">
      <c r="A7" s="1297"/>
      <c r="B7" s="3149"/>
      <c r="C7" s="1299"/>
      <c r="D7" s="351"/>
      <c r="E7" s="1300" t="s">
        <v>1406</v>
      </c>
      <c r="F7" s="347">
        <f ca="1">IF(INDIRECT("'数据-取费表'!ah"&amp;$G$1)="",INDIRECT("'数据-取费表'!k"&amp;$G$1),INDIRECT("'数据-取费表'!ah"&amp;$G$1))</f>
        <v>589.49</v>
      </c>
      <c r="G7" s="1853"/>
      <c r="H7" s="348"/>
      <c r="I7" s="3149"/>
      <c r="J7" s="350"/>
      <c r="K7" s="351"/>
      <c r="L7" s="346" t="s">
        <v>1406</v>
      </c>
      <c r="M7" s="347">
        <f ca="1">F7</f>
        <v>589.49</v>
      </c>
    </row>
    <row r="8" spans="1:37" ht="18" customHeight="1">
      <c r="A8" s="348"/>
      <c r="B8" s="3149"/>
      <c r="C8" s="350"/>
      <c r="D8" s="351"/>
      <c r="E8" s="346" t="s">
        <v>1407</v>
      </c>
      <c r="F8" s="347">
        <f ca="1">INDIRECT("'数据-取费表'!ai"&amp;$G$1)</f>
        <v>365</v>
      </c>
      <c r="G8" s="1853"/>
      <c r="H8" s="348"/>
      <c r="I8" s="3149"/>
      <c r="J8" s="350"/>
      <c r="K8" s="351"/>
      <c r="L8" s="346" t="s">
        <v>1407</v>
      </c>
      <c r="M8" s="347">
        <f ca="1">INDIRECT("'数据-取费表'!ai"&amp;$G$1)</f>
        <v>365</v>
      </c>
    </row>
    <row r="9" spans="1:37" ht="18" customHeight="1">
      <c r="A9" s="348"/>
      <c r="B9" s="3150"/>
      <c r="C9" s="350"/>
      <c r="D9" s="351"/>
      <c r="E9" s="346" t="s">
        <v>1408</v>
      </c>
      <c r="F9" s="356">
        <f ca="1">INDIRECT("'数据-取费表'!w"&amp;$G$1)</f>
        <v>0.1</v>
      </c>
      <c r="G9" s="1853"/>
      <c r="H9" s="348"/>
      <c r="I9" s="3150"/>
      <c r="J9" s="350"/>
      <c r="K9" s="351"/>
      <c r="L9" s="357" t="s">
        <v>1408</v>
      </c>
      <c r="M9" s="358">
        <f ca="1">INDIRECT("'数据-取费表'!ab"&amp;$G$1)</f>
        <v>0</v>
      </c>
    </row>
    <row r="10" spans="1:37" ht="18" customHeight="1">
      <c r="A10" s="1293" t="s">
        <v>1039</v>
      </c>
      <c r="B10" s="1825" t="s">
        <v>1409</v>
      </c>
      <c r="C10" s="360">
        <f ca="1">ROUND(IF(F10="押一",C6/12*F11,IF(F10="押二",C6/12*2*F11,IF(F10="押三",C6/12*3*F11,C11*F11))),0)</f>
        <v>2663</v>
      </c>
      <c r="D10" s="1826" t="s">
        <v>3043</v>
      </c>
      <c r="E10" s="357" t="s">
        <v>1410</v>
      </c>
      <c r="F10" s="1368" t="s">
        <v>3129</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3210134</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2063215</v>
      </c>
      <c r="D14" s="1802" t="s">
        <v>1418</v>
      </c>
      <c r="E14" s="1796"/>
      <c r="F14" s="363"/>
      <c r="G14" s="1853"/>
      <c r="H14" s="1203" t="s">
        <v>1035</v>
      </c>
      <c r="I14" s="346" t="s">
        <v>1419</v>
      </c>
      <c r="J14" s="24">
        <f ca="1">C29</f>
        <v>3210134</v>
      </c>
      <c r="K14" s="15"/>
      <c r="L14" s="981"/>
      <c r="M14" s="982"/>
    </row>
    <row r="15" spans="1:37" s="1860" customFormat="1" ht="18" customHeight="1" thickBot="1">
      <c r="A15" s="1203" t="s">
        <v>1036</v>
      </c>
      <c r="B15" s="346" t="s">
        <v>1420</v>
      </c>
      <c r="C15" s="24">
        <f ca="1">ROUND(C14*F15,0)</f>
        <v>61896</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75117</v>
      </c>
      <c r="K16" s="1339" t="s">
        <v>1425</v>
      </c>
      <c r="L16" s="1340"/>
      <c r="M16" s="1296"/>
    </row>
    <row r="17" spans="1:37" s="1860" customFormat="1" ht="18" customHeight="1">
      <c r="A17" s="1203" t="s">
        <v>1390</v>
      </c>
      <c r="B17" s="346" t="s">
        <v>1426</v>
      </c>
      <c r="C17" s="24">
        <f ca="1">ROUND(F17*(F43+INDIRECT("'数据-取费表'!S"&amp;$G$1)),0)</f>
        <v>117898</v>
      </c>
      <c r="D17" s="346" t="s">
        <v>1427</v>
      </c>
      <c r="E17" s="346" t="s">
        <v>1428</v>
      </c>
      <c r="F17" s="26">
        <f>'数据-取费表'!B35</f>
        <v>200</v>
      </c>
      <c r="G17" s="1856"/>
      <c r="H17" s="1203" t="s">
        <v>1035</v>
      </c>
      <c r="I17" s="346" t="s">
        <v>1429</v>
      </c>
      <c r="J17" s="24">
        <f ca="1">ROUND(IF(项目基本情况!B11="自然人",J5*M17,J18+J19+J20),0)</f>
        <v>26965</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30948</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2273957</v>
      </c>
      <c r="D19" s="139" t="s">
        <v>1436</v>
      </c>
      <c r="E19" s="1820"/>
      <c r="F19" s="26"/>
      <c r="G19" s="1853"/>
      <c r="H19" s="1203" t="s">
        <v>1036</v>
      </c>
      <c r="I19" s="346" t="s">
        <v>1437</v>
      </c>
      <c r="J19" s="24">
        <f ca="1">IF(K19="按租金收入计税",ROUND(J5*M19,0),ROUND(C29*M19*0.7,0))</f>
        <v>26965</v>
      </c>
      <c r="K19" s="1830" t="s">
        <v>1438</v>
      </c>
      <c r="L19" s="346" t="s">
        <v>1422</v>
      </c>
      <c r="M19" s="366">
        <f>IF(K19="按租金收入计税",'数据-取费表'!B51,'数据-取费表'!B50)</f>
        <v>1.2E-2</v>
      </c>
    </row>
    <row r="20" spans="1:37" s="1860" customFormat="1" ht="18" customHeight="1">
      <c r="A20" s="1203" t="s">
        <v>1039</v>
      </c>
      <c r="B20" s="346" t="s">
        <v>1439</v>
      </c>
      <c r="C20" s="24">
        <f ca="1">ROUND(C19*F20,0)</f>
        <v>68219</v>
      </c>
      <c r="D20" s="368" t="s">
        <v>1440</v>
      </c>
      <c r="E20" s="346" t="s">
        <v>1422</v>
      </c>
      <c r="F20" s="366">
        <f>'数据-取费表'!B37</f>
        <v>0.03</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48152</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111253</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-75117</v>
      </c>
      <c r="K25" s="1347" t="s">
        <v>1464</v>
      </c>
      <c r="L25" s="1348"/>
      <c r="M25" s="1349"/>
    </row>
    <row r="26" spans="1:37" ht="18" customHeight="1">
      <c r="A26" s="1203" t="s">
        <v>1034</v>
      </c>
      <c r="B26" s="346" t="s">
        <v>1465</v>
      </c>
      <c r="C26" s="24">
        <f ca="1">ROUND((C19+C20)*F26,0)</f>
        <v>468435</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6.0000000000000001E-3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3210134</v>
      </c>
      <c r="D29" s="1344"/>
      <c r="E29" s="1342"/>
      <c r="F29" s="1345"/>
      <c r="G29" s="1856"/>
      <c r="H29" s="379" t="s">
        <v>1033</v>
      </c>
      <c r="I29" s="380" t="s">
        <v>1479</v>
      </c>
      <c r="J29" s="381">
        <f ca="1">ROUND(J26/(1+F40)^F41,0)</f>
        <v>0</v>
      </c>
      <c r="K29" s="382" t="s">
        <v>1480</v>
      </c>
      <c r="L29" s="383"/>
      <c r="M29" s="384">
        <f ca="1">INDIRECT("'数据-取费表'!k"&amp;$G$1)</f>
        <v>589.49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258377</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184055</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55928</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128127</v>
      </c>
      <c r="D33" s="1830" t="s">
        <v>3126</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48152</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4815</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21354.5</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809347</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21933285</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40.799999999999997</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37207</v>
      </c>
      <c r="D43" s="382" t="s">
        <v>1488</v>
      </c>
      <c r="E43" s="383" t="s">
        <v>1489</v>
      </c>
      <c r="F43" s="384">
        <f ca="1">INDIRECT("'数据-取费表'!k"&amp;$G$1)</f>
        <v>589.49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-30676225</v>
      </c>
      <c r="D45" s="1942" t="s">
        <v>1604</v>
      </c>
      <c r="E45" s="1868"/>
      <c r="F45" s="1868"/>
      <c r="O45" s="1871" t="s">
        <v>1519</v>
      </c>
      <c r="P45" s="1841"/>
      <c r="Q45" s="1841"/>
      <c r="R45" s="1841"/>
    </row>
    <row r="46" spans="1:18" s="1844" customFormat="1" ht="13.5" thickBot="1">
      <c r="A46" s="1872" t="s">
        <v>1520</v>
      </c>
      <c r="C46" s="1873">
        <f ca="1">ROUND(C45/10000,0)</f>
        <v>-3068</v>
      </c>
      <c r="D46" s="1874" t="str">
        <f>C2</f>
        <v>万元</v>
      </c>
      <c r="I46" s="1875" t="s">
        <v>1521</v>
      </c>
      <c r="J46" s="1876"/>
      <c r="K46" s="1877"/>
      <c r="L46" s="1878">
        <f ca="1">IF(M47="住宅",0,IF(L48&gt;J51,L60,J60))</f>
        <v>38158</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3077</v>
      </c>
      <c r="K47" s="1884" t="s">
        <v>1527</v>
      </c>
      <c r="L47" s="1885">
        <f ca="1">INDIRECT("'数据-取费表'!d"&amp;$G$1)</f>
        <v>50</v>
      </c>
      <c r="M47" s="1840" t="str">
        <f>IF(ISNUMBER(FIND("住宅",C1)),"住宅","非住宅")</f>
        <v>非住宅</v>
      </c>
      <c r="O47" s="1886" t="s">
        <v>1040</v>
      </c>
      <c r="P47" s="1887" t="s">
        <v>1528</v>
      </c>
      <c r="Q47" s="1888">
        <f ca="1">C40+J29</f>
        <v>21933285</v>
      </c>
      <c r="R47" s="1888" t="s">
        <v>1529</v>
      </c>
    </row>
    <row r="48" spans="1:18" s="1844" customFormat="1" ht="28.5" thickBot="1">
      <c r="A48" s="1362" t="s">
        <v>1135</v>
      </c>
      <c r="B48" s="344" t="s">
        <v>1401</v>
      </c>
      <c r="C48" s="1819">
        <f ca="1">C49+C53+C55</f>
        <v>0</v>
      </c>
      <c r="D48" s="1364"/>
      <c r="E48" s="1365"/>
      <c r="F48" s="1183"/>
      <c r="G48" s="791"/>
      <c r="H48" s="792"/>
      <c r="I48" s="1889" t="s">
        <v>1530</v>
      </c>
      <c r="J48" s="1890" t="s">
        <v>3127</v>
      </c>
      <c r="K48" s="1891" t="s">
        <v>1531</v>
      </c>
      <c r="L48" s="1892">
        <f ca="1">INDIRECT("'数据-取费表'!f"&amp;$G$1)</f>
        <v>40.799999999999997</v>
      </c>
      <c r="O48" s="1886" t="s">
        <v>1041</v>
      </c>
      <c r="P48" s="1887" t="s">
        <v>1532</v>
      </c>
      <c r="Q48" s="1888">
        <f ca="1">J60</f>
        <v>38158</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3210134</v>
      </c>
      <c r="R49" s="1888" t="s">
        <v>1529</v>
      </c>
    </row>
    <row r="50" spans="1:18" s="1844" customFormat="1" ht="13.5" thickBot="1">
      <c r="A50" s="1197"/>
      <c r="B50" s="1200"/>
      <c r="C50" s="1201"/>
      <c r="D50" s="1174"/>
      <c r="E50" s="1279" t="s">
        <v>1406</v>
      </c>
      <c r="F50" s="1280">
        <f ca="1">F7</f>
        <v>589.49</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9263946</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40.799999999999997</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40.799999999999997</v>
      </c>
      <c r="K53" s="3146" t="s">
        <v>1548</v>
      </c>
      <c r="L53" s="3147"/>
      <c r="O53" s="1886" t="s">
        <v>1046</v>
      </c>
      <c r="P53" s="1887" t="s">
        <v>1549</v>
      </c>
      <c r="Q53" s="1888">
        <f ca="1">Q47+Q48</f>
        <v>21971443</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0.32</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3210134</v>
      </c>
      <c r="D56" s="1916"/>
      <c r="E56" s="1917"/>
      <c r="F56" s="1909"/>
      <c r="I56" s="1918" t="s">
        <v>1554</v>
      </c>
      <c r="J56" s="1919" t="s">
        <v>3128</v>
      </c>
      <c r="K56" s="1889" t="s">
        <v>1555</v>
      </c>
      <c r="L56" s="1892" t="str">
        <f ca="1">IF(L48&lt;J51,"——",L48-J51)</f>
        <v>——</v>
      </c>
      <c r="O56" s="1886" t="s">
        <v>1040</v>
      </c>
      <c r="P56" s="1887" t="s">
        <v>1528</v>
      </c>
      <c r="Q56" s="1888">
        <f ca="1">C40+J29</f>
        <v>21933285</v>
      </c>
      <c r="R56" s="1888" t="s">
        <v>1529</v>
      </c>
    </row>
    <row r="57" spans="1:18" s="1844" customFormat="1" ht="24.75" thickBot="1">
      <c r="A57" s="1920"/>
      <c r="B57" s="1171" t="s">
        <v>1478</v>
      </c>
      <c r="C57" s="281">
        <f ca="1">C29</f>
        <v>3210134</v>
      </c>
      <c r="D57" s="1921"/>
      <c r="E57" s="1922"/>
      <c r="F57" s="1923"/>
      <c r="I57" s="1924" t="s">
        <v>1556</v>
      </c>
      <c r="J57" s="1925">
        <f ca="1">IF(OR(M47="住宅",J51&lt;L48,J56="是"),"——",J51-L48)</f>
        <v>19.200000000000003</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322618</v>
      </c>
      <c r="D58" s="1181" t="s">
        <v>1425</v>
      </c>
      <c r="E58" s="1182"/>
      <c r="F58" s="1183"/>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269651</v>
      </c>
      <c r="D59" s="1184" t="s">
        <v>1430</v>
      </c>
      <c r="E59" s="1185" t="s">
        <v>1431</v>
      </c>
      <c r="F59" s="367" t="str">
        <f ca="1">IF(项目基本情况!B11="企业","",IF(INDIRECT("'数据-取费表'!c"&amp;$G$1)="住宅",5%,IF(F49*F50*F51/12/(1+'数据-取费表'!C42)&gt;20000,12%,7%)))</f>
        <v/>
      </c>
      <c r="I59" s="1924" t="s">
        <v>1563</v>
      </c>
      <c r="J59" s="1925">
        <f ca="1">IF(OR(M47="住宅",J51&lt;L48,J56="是"),"——",ROUND(C29*J58,0))</f>
        <v>1284054</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f ca="1">IF(OR(M47="住宅",J51&lt;L48,J56="是"),"0",ROUND(J59/(1+J52)^J53,0))</f>
        <v>38158</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269651</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21933285</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48152</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4815</v>
      </c>
      <c r="D65" s="1185" t="s">
        <v>1454</v>
      </c>
      <c r="E65" s="1171" t="s">
        <v>1455</v>
      </c>
      <c r="F65" s="375">
        <f t="shared" ca="1" si="0"/>
        <v>1.5E-3</v>
      </c>
      <c r="I65" s="1931" t="s">
        <v>1579</v>
      </c>
      <c r="J65" s="1932">
        <v>40</v>
      </c>
      <c r="K65" s="1932">
        <v>30</v>
      </c>
      <c r="L65" s="1932">
        <v>50</v>
      </c>
      <c r="M65" s="1934">
        <v>0.02</v>
      </c>
      <c r="O65" s="1886" t="s">
        <v>1040</v>
      </c>
      <c r="P65" s="1887" t="s">
        <v>1580</v>
      </c>
      <c r="Q65" s="1888">
        <f ca="1">C40+J29</f>
        <v>21933285</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-322618</v>
      </c>
      <c r="D67" s="1184" t="s">
        <v>1464</v>
      </c>
      <c r="E67" s="1189"/>
      <c r="F67" s="1190"/>
      <c r="O67" s="1896" t="s">
        <v>1042</v>
      </c>
      <c r="P67" s="1887" t="s">
        <v>1562</v>
      </c>
      <c r="Q67" s="1935">
        <f ca="1">L51</f>
        <v>9263946</v>
      </c>
      <c r="R67" s="1888" t="s">
        <v>1582</v>
      </c>
    </row>
    <row r="68" spans="1:18" s="1844" customFormat="1" ht="16.5" thickBot="1">
      <c r="A68" s="1168" t="s">
        <v>1032</v>
      </c>
      <c r="B68" s="1169" t="s">
        <v>1485</v>
      </c>
      <c r="C68" s="345">
        <f ca="1">ROUND(C67*(1-((1+F70)/(1+F68))^F69)/(F68-F70),0)</f>
        <v>-8742940</v>
      </c>
      <c r="D68" s="1186" t="s">
        <v>1469</v>
      </c>
      <c r="E68" s="1171" t="s">
        <v>1470</v>
      </c>
      <c r="F68" s="356">
        <f ca="1">F40</f>
        <v>5.5E-2</v>
      </c>
      <c r="O68" s="1896" t="s">
        <v>1043</v>
      </c>
      <c r="P68" s="1936" t="s">
        <v>1583</v>
      </c>
      <c r="Q68" s="1888">
        <f ca="1">ROUND(Q69-Q70*Q71,0)</f>
        <v>536486</v>
      </c>
      <c r="R68" s="1888" t="s">
        <v>1051</v>
      </c>
    </row>
    <row r="69" spans="1:18" s="1844" customFormat="1" ht="13.5" thickBot="1">
      <c r="A69" s="1172"/>
      <c r="B69" s="1173"/>
      <c r="C69" s="350"/>
      <c r="D69" s="1191" t="s">
        <v>1473</v>
      </c>
      <c r="E69" s="1171" t="s">
        <v>1474</v>
      </c>
      <c r="F69" s="378">
        <f ca="1">F41</f>
        <v>40.799999999999997</v>
      </c>
      <c r="O69" s="1896" t="s">
        <v>1048</v>
      </c>
      <c r="P69" s="1936" t="s">
        <v>1584</v>
      </c>
      <c r="Q69" s="1888">
        <f ca="1">C39</f>
        <v>809347</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3210134</v>
      </c>
      <c r="R70" s="1888" t="s">
        <v>1529</v>
      </c>
    </row>
    <row r="71" spans="1:18" s="1844" customFormat="1" ht="13.5" thickBot="1">
      <c r="A71" s="1192" t="s">
        <v>1033</v>
      </c>
      <c r="B71" s="1193" t="s">
        <v>1487</v>
      </c>
      <c r="C71" s="381">
        <f ca="1">ROUND(C68/F71,0)</f>
        <v>-14831</v>
      </c>
      <c r="D71" s="1194" t="s">
        <v>1488</v>
      </c>
      <c r="E71" s="1195" t="s">
        <v>1489</v>
      </c>
      <c r="F71" s="384">
        <f ca="1">F43</f>
        <v>589.49</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272861</v>
      </c>
      <c r="D75" s="1844"/>
      <c r="E75" s="1844"/>
      <c r="F75" s="1844"/>
      <c r="K75" s="1870"/>
      <c r="L75" s="1844"/>
      <c r="O75" s="1886" t="s">
        <v>1046</v>
      </c>
      <c r="P75" s="1887" t="s">
        <v>1549</v>
      </c>
      <c r="Q75" s="1888">
        <f ca="1">Q65+Q66</f>
        <v>21933285</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0.66300000000000003</v>
      </c>
    </row>
    <row r="80" spans="1:18">
      <c r="B80" s="385" t="s">
        <v>1511</v>
      </c>
      <c r="C80" s="317">
        <f ca="1">ROUND(C75/C39,3)</f>
        <v>0.33700000000000002</v>
      </c>
    </row>
    <row r="81" spans="2:3">
      <c r="B81" s="313" t="s">
        <v>1512</v>
      </c>
      <c r="C81" s="281"/>
    </row>
    <row r="82" spans="2:3">
      <c r="B82" s="316" t="s">
        <v>1513</v>
      </c>
      <c r="C82" s="318">
        <f ca="1">1-C83</f>
        <v>0.85399999999999998</v>
      </c>
    </row>
    <row r="83" spans="2:3">
      <c r="B83" s="316" t="s">
        <v>1514</v>
      </c>
      <c r="C83" s="317">
        <f ca="1">ROUND(C13/C40,3)</f>
        <v>0.14599999999999999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K44" sqref="K4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5" t="s">
        <v>2690</v>
      </c>
      <c r="C1" s="1622" t="s">
        <v>2534</v>
      </c>
      <c r="D1" s="1623" t="s">
        <v>27</v>
      </c>
      <c r="E1" s="1632"/>
      <c r="F1" s="2590" t="s">
        <v>3130</v>
      </c>
      <c r="G1" s="1633" t="s">
        <v>2536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92" t="s">
        <v>70</v>
      </c>
      <c r="D2" s="1367" t="e">
        <f ca="1">SUMIF(INDIRECT("'"&amp;F2&amp;"'"&amp;"!A:A"),"承租人权益价值",INDIRECT("'"&amp;F2&amp;"'"&amp;"!c:c"))</f>
        <v>#REF!</v>
      </c>
      <c r="E2" s="2593" t="s">
        <v>2332</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5.5</v>
      </c>
      <c r="C3" s="399" t="s">
        <v>2538</v>
      </c>
      <c r="D3" s="398">
        <f>IF(D1="",'数据-汇总表'!E3,SUMIF('数据-汇总表'!$C19:$C33,D1,'数据-汇总表'!$E19:$E33))</f>
        <v>589.49</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2539</v>
      </c>
      <c r="B4" s="401"/>
      <c r="C4" s="3191" t="s">
        <v>2540</v>
      </c>
      <c r="D4" s="3192"/>
      <c r="E4" s="3193" t="s">
        <v>2541</v>
      </c>
      <c r="F4" s="3194"/>
      <c r="G4" s="3191" t="s">
        <v>2542</v>
      </c>
      <c r="H4" s="3192"/>
      <c r="I4" s="3191" t="s">
        <v>2543</v>
      </c>
      <c r="J4" s="3192"/>
      <c r="K4" s="609" t="s">
        <v>2544</v>
      </c>
      <c r="L4" s="1132"/>
      <c r="M4" s="1133"/>
      <c r="N4" s="1133"/>
      <c r="O4" s="1133"/>
      <c r="P4" s="3225" t="s">
        <v>2545</v>
      </c>
      <c r="Q4" s="3226"/>
      <c r="R4" s="3229" t="s">
        <v>2541</v>
      </c>
      <c r="S4" s="3230"/>
      <c r="T4" s="3229" t="s">
        <v>2542</v>
      </c>
      <c r="U4" s="3230"/>
      <c r="V4" s="3231" t="s">
        <v>2543</v>
      </c>
      <c r="W4" s="3231"/>
      <c r="X4" s="2956"/>
      <c r="Y4" s="3229" t="s">
        <v>2545</v>
      </c>
      <c r="Z4" s="3230"/>
      <c r="AA4" s="3233" t="s">
        <v>2541</v>
      </c>
      <c r="AB4" s="3233" t="s">
        <v>2542</v>
      </c>
      <c r="AC4" s="3222" t="s">
        <v>2543</v>
      </c>
    </row>
    <row r="5" spans="1:29" ht="15">
      <c r="A5" s="403"/>
      <c r="B5" s="404"/>
      <c r="C5" s="3210" t="s">
        <v>2546</v>
      </c>
      <c r="D5" s="3211"/>
      <c r="E5" s="3293" t="s">
        <v>3111</v>
      </c>
      <c r="F5" s="3294"/>
      <c r="G5" s="3295" t="s">
        <v>3112</v>
      </c>
      <c r="H5" s="3296"/>
      <c r="I5" s="3295" t="s">
        <v>3113</v>
      </c>
      <c r="J5" s="3296"/>
      <c r="K5" s="609"/>
      <c r="L5" s="1132"/>
      <c r="M5" s="1133"/>
      <c r="N5" s="1133"/>
      <c r="O5" s="1133"/>
      <c r="P5" s="3227"/>
      <c r="Q5" s="3198"/>
      <c r="R5" s="3203"/>
      <c r="S5" s="3204"/>
      <c r="T5" s="3203"/>
      <c r="U5" s="3204"/>
      <c r="V5" s="3207"/>
      <c r="W5" s="3207"/>
      <c r="X5" s="2951"/>
      <c r="Y5" s="3203"/>
      <c r="Z5" s="3204"/>
      <c r="AA5" s="3189"/>
      <c r="AB5" s="3189"/>
      <c r="AC5" s="3223"/>
    </row>
    <row r="6" spans="1:29" ht="15.75" customHeight="1" thickBot="1">
      <c r="A6" s="405"/>
      <c r="B6" s="406"/>
      <c r="C6" s="3208" t="s">
        <v>2550</v>
      </c>
      <c r="D6" s="3209"/>
      <c r="E6" s="3297" t="s">
        <v>3114</v>
      </c>
      <c r="F6" s="3298"/>
      <c r="G6" s="3297" t="s">
        <v>3115</v>
      </c>
      <c r="H6" s="3298"/>
      <c r="I6" s="3299" t="s">
        <v>3116</v>
      </c>
      <c r="J6" s="3298"/>
      <c r="K6" s="609" t="s">
        <v>2551</v>
      </c>
      <c r="L6" s="1132"/>
      <c r="M6" s="1133"/>
      <c r="N6" s="1133"/>
      <c r="O6" s="1133"/>
      <c r="P6" s="3228"/>
      <c r="Q6" s="3200"/>
      <c r="R6" s="3203"/>
      <c r="S6" s="3204"/>
      <c r="T6" s="3205"/>
      <c r="U6" s="3206"/>
      <c r="V6" s="3207"/>
      <c r="W6" s="3207"/>
      <c r="X6" s="2951"/>
      <c r="Y6" s="3205"/>
      <c r="Z6" s="3206"/>
      <c r="AA6" s="3190"/>
      <c r="AB6" s="3190"/>
      <c r="AC6" s="3224"/>
    </row>
    <row r="7" spans="1:29" s="117" customFormat="1" ht="15.75" thickBot="1">
      <c r="A7" s="407" t="s">
        <v>2552</v>
      </c>
      <c r="B7" s="408"/>
      <c r="C7" s="409">
        <f>'数据-取费表'!B2</f>
        <v>43355</v>
      </c>
      <c r="D7" s="410">
        <v>100</v>
      </c>
      <c r="E7" s="411">
        <v>43344</v>
      </c>
      <c r="F7" s="412">
        <f>SUMIF(59:59,YEAR(E7)&amp;"-"&amp;MONTH(E7),60:60)</f>
        <v>100</v>
      </c>
      <c r="G7" s="411">
        <v>43344</v>
      </c>
      <c r="H7" s="410">
        <f>SUMIF(59:59,YEAR(G7)&amp;"-"&amp;MONTH(G7),60:60)</f>
        <v>100</v>
      </c>
      <c r="I7" s="411">
        <v>43344</v>
      </c>
      <c r="J7" s="410">
        <f>SUMIF(59:59,YEAR(I7)&amp;"-"&amp;MONTH(I7),60:60)</f>
        <v>100</v>
      </c>
      <c r="K7" s="610"/>
      <c r="L7" s="1134"/>
      <c r="M7" s="1135"/>
      <c r="N7" s="1135"/>
      <c r="O7" s="1135"/>
      <c r="P7" s="3232" t="s">
        <v>2553</v>
      </c>
      <c r="Q7" s="3214"/>
      <c r="R7" s="769" t="s">
        <v>17</v>
      </c>
      <c r="S7" s="770">
        <f t="shared" ref="S7:S15" si="0">F7</f>
        <v>100</v>
      </c>
      <c r="T7" s="769" t="s">
        <v>17</v>
      </c>
      <c r="U7" s="770">
        <f t="shared" ref="U7:U15" si="1">H7</f>
        <v>100</v>
      </c>
      <c r="V7" s="769" t="s">
        <v>17</v>
      </c>
      <c r="W7" s="770">
        <f t="shared" ref="W7:W15" si="2">J7</f>
        <v>100</v>
      </c>
      <c r="X7" s="771"/>
      <c r="Y7" s="3212" t="s">
        <v>2553</v>
      </c>
      <c r="Z7" s="3213"/>
      <c r="AA7" s="772">
        <f>D7/F7</f>
        <v>1</v>
      </c>
      <c r="AB7" s="772">
        <f>D7/H7</f>
        <v>1</v>
      </c>
      <c r="AC7" s="2677">
        <f>D7/J7</f>
        <v>1</v>
      </c>
    </row>
    <row r="8" spans="1:29" s="117" customFormat="1" ht="15.75" thickBot="1">
      <c r="A8" s="407" t="s">
        <v>2554</v>
      </c>
      <c r="B8" s="408"/>
      <c r="C8" s="413" t="s">
        <v>2591</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232" t="s">
        <v>2556</v>
      </c>
      <c r="Q8" s="3213"/>
      <c r="R8" s="769" t="s">
        <v>17</v>
      </c>
      <c r="S8" s="770">
        <f t="shared" si="0"/>
        <v>100</v>
      </c>
      <c r="T8" s="769" t="s">
        <v>17</v>
      </c>
      <c r="U8" s="770">
        <f t="shared" si="1"/>
        <v>100</v>
      </c>
      <c r="V8" s="769" t="s">
        <v>17</v>
      </c>
      <c r="W8" s="770">
        <f t="shared" si="2"/>
        <v>100</v>
      </c>
      <c r="X8" s="771"/>
      <c r="Y8" s="3212" t="s">
        <v>2556</v>
      </c>
      <c r="Z8" s="3213"/>
      <c r="AA8" s="772">
        <f t="shared" ref="AA8:AA47" si="3">D8/F8</f>
        <v>1</v>
      </c>
      <c r="AB8" s="772">
        <f t="shared" ref="AB8:AB47" si="4">D8/H8</f>
        <v>1</v>
      </c>
      <c r="AC8" s="2677">
        <f t="shared" ref="AC8:AC47" si="5">D8/J8</f>
        <v>1</v>
      </c>
    </row>
    <row r="9" spans="1:29" s="117" customFormat="1">
      <c r="A9" s="414" t="s">
        <v>2557</v>
      </c>
      <c r="B9" s="71" t="s">
        <v>2558</v>
      </c>
      <c r="C9" s="3288" t="s">
        <v>3067</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87" t="s">
        <v>2559</v>
      </c>
      <c r="Q9" s="2948" t="str">
        <f t="shared" ref="Q9:Q15" si="6">B9</f>
        <v>用途</v>
      </c>
      <c r="R9" s="769" t="s">
        <v>17</v>
      </c>
      <c r="S9" s="770">
        <f t="shared" si="0"/>
        <v>100</v>
      </c>
      <c r="T9" s="769" t="s">
        <v>17</v>
      </c>
      <c r="U9" s="770">
        <f t="shared" si="1"/>
        <v>100</v>
      </c>
      <c r="V9" s="769" t="s">
        <v>17</v>
      </c>
      <c r="W9" s="770">
        <f t="shared" si="2"/>
        <v>100</v>
      </c>
      <c r="X9" s="771"/>
      <c r="Y9" s="3001" t="s">
        <v>2560</v>
      </c>
      <c r="Z9" s="2949" t="str">
        <f t="shared" ref="Z9:Z15" si="7">Q9</f>
        <v>用途</v>
      </c>
      <c r="AA9" s="772">
        <f t="shared" si="3"/>
        <v>1</v>
      </c>
      <c r="AB9" s="772">
        <f t="shared" si="4"/>
        <v>1</v>
      </c>
      <c r="AC9" s="2677">
        <f t="shared" si="5"/>
        <v>1</v>
      </c>
    </row>
    <row r="10" spans="1:29" s="426" customFormat="1" ht="27">
      <c r="A10" s="420"/>
      <c r="B10" s="2950" t="s">
        <v>2561</v>
      </c>
      <c r="C10" s="422" t="s">
        <v>3068</v>
      </c>
      <c r="D10" s="135">
        <v>100</v>
      </c>
      <c r="E10" s="422" t="s">
        <v>3068</v>
      </c>
      <c r="F10" s="135">
        <f>SUMIF(66:66,E10,67:67)-SUMIF(66:66,C10,67:67)+100</f>
        <v>100</v>
      </c>
      <c r="G10" s="422" t="s">
        <v>3068</v>
      </c>
      <c r="H10" s="135">
        <f>SUMIF(66:66,G10,67:67)-SUMIF(66:66,C10,67:67)+100</f>
        <v>100</v>
      </c>
      <c r="I10" s="422" t="s">
        <v>3068</v>
      </c>
      <c r="J10" s="135">
        <f>SUMIF(66:66,I10,67:67)-SUMIF(66:66,C10,67:67)+100</f>
        <v>100</v>
      </c>
      <c r="K10" s="611">
        <v>1</v>
      </c>
      <c r="L10" s="1137"/>
      <c r="M10" s="1138"/>
      <c r="N10" s="1138"/>
      <c r="O10" s="1138"/>
      <c r="P10" s="3187"/>
      <c r="Q10" s="2948" t="str">
        <f t="shared" si="6"/>
        <v>土地使用年限（年）</v>
      </c>
      <c r="R10" s="769" t="s">
        <v>17</v>
      </c>
      <c r="S10" s="770">
        <f t="shared" si="0"/>
        <v>100</v>
      </c>
      <c r="T10" s="769" t="s">
        <v>17</v>
      </c>
      <c r="U10" s="770">
        <f t="shared" si="1"/>
        <v>100</v>
      </c>
      <c r="V10" s="769" t="s">
        <v>17</v>
      </c>
      <c r="W10" s="770">
        <f t="shared" si="2"/>
        <v>100</v>
      </c>
      <c r="X10" s="771"/>
      <c r="Y10" s="3001"/>
      <c r="Z10" s="2949" t="str">
        <f t="shared" si="7"/>
        <v>土地使用年限（年）</v>
      </c>
      <c r="AA10" s="772">
        <f t="shared" si="3"/>
        <v>1</v>
      </c>
      <c r="AB10" s="772">
        <f t="shared" si="4"/>
        <v>1</v>
      </c>
      <c r="AC10" s="2677">
        <f t="shared" si="5"/>
        <v>1</v>
      </c>
    </row>
    <row r="11" spans="1:29" ht="15">
      <c r="A11" s="427"/>
      <c r="B11" s="2950"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187"/>
      <c r="Q11" s="2948" t="str">
        <f t="shared" si="6"/>
        <v>容积率</v>
      </c>
      <c r="R11" s="769" t="s">
        <v>17</v>
      </c>
      <c r="S11" s="770">
        <f t="shared" si="0"/>
        <v>100</v>
      </c>
      <c r="T11" s="769" t="s">
        <v>17</v>
      </c>
      <c r="U11" s="770">
        <f t="shared" si="1"/>
        <v>100</v>
      </c>
      <c r="V11" s="769" t="s">
        <v>17</v>
      </c>
      <c r="W11" s="770">
        <f t="shared" si="2"/>
        <v>100</v>
      </c>
      <c r="X11" s="771"/>
      <c r="Y11" s="3001"/>
      <c r="Z11" s="2949" t="str">
        <f t="shared" si="7"/>
        <v>容积率</v>
      </c>
      <c r="AA11" s="772">
        <f t="shared" si="3"/>
        <v>1</v>
      </c>
      <c r="AB11" s="772">
        <f t="shared" si="4"/>
        <v>1</v>
      </c>
      <c r="AC11" s="2677">
        <f t="shared" si="5"/>
        <v>1</v>
      </c>
    </row>
    <row r="12" spans="1:29" s="117" customFormat="1" ht="15">
      <c r="A12" s="430"/>
      <c r="B12" s="2606">
        <v>111</v>
      </c>
      <c r="C12" s="431"/>
      <c r="D12" s="432">
        <v>100</v>
      </c>
      <c r="E12" s="431"/>
      <c r="F12" s="135">
        <f>SUMIF(71:71,E12,72:72)-SUMIF(71:71,C12,72:72)+100</f>
        <v>100</v>
      </c>
      <c r="G12" s="2678"/>
      <c r="H12" s="135">
        <f>SUMIF(71:71,G12,72:72)-SUMIF(71:71,C12,72:72)+100</f>
        <v>100</v>
      </c>
      <c r="I12" s="431"/>
      <c r="J12" s="135">
        <f>SUMIF(71:71,I12,72:72)-SUMIF(71:71,C12,72:72)+100</f>
        <v>100</v>
      </c>
      <c r="K12" s="612"/>
      <c r="L12" s="1134"/>
      <c r="M12" s="1135"/>
      <c r="N12" s="1135"/>
      <c r="O12" s="1135"/>
      <c r="P12" s="3187"/>
      <c r="Q12" s="2948">
        <f t="shared" si="6"/>
        <v>111</v>
      </c>
      <c r="R12" s="769" t="s">
        <v>17</v>
      </c>
      <c r="S12" s="770">
        <f t="shared" si="0"/>
        <v>100</v>
      </c>
      <c r="T12" s="769" t="s">
        <v>17</v>
      </c>
      <c r="U12" s="770">
        <f t="shared" si="1"/>
        <v>100</v>
      </c>
      <c r="V12" s="769" t="s">
        <v>17</v>
      </c>
      <c r="W12" s="770">
        <f t="shared" si="2"/>
        <v>100</v>
      </c>
      <c r="X12" s="771"/>
      <c r="Y12" s="3001"/>
      <c r="Z12" s="2949">
        <f t="shared" si="7"/>
        <v>111</v>
      </c>
      <c r="AA12" s="772">
        <f>D12/F12</f>
        <v>1</v>
      </c>
      <c r="AB12" s="772">
        <f>D12/H12</f>
        <v>1</v>
      </c>
      <c r="AC12" s="2677">
        <f>D12/J12</f>
        <v>1</v>
      </c>
    </row>
    <row r="13" spans="1:29" ht="15">
      <c r="A13" s="427"/>
      <c r="B13" s="2606">
        <v>111</v>
      </c>
      <c r="C13" s="433"/>
      <c r="D13" s="434">
        <v>100</v>
      </c>
      <c r="E13" s="431"/>
      <c r="F13" s="135">
        <f>SUMIF(73:73,E13,74:74)-SUMIF(73:73,C13,74:74)+100</f>
        <v>100</v>
      </c>
      <c r="G13" s="2678"/>
      <c r="H13" s="434">
        <f>SUMIF(73:73,G13,74:74)-SUMIF(73:73,C13,74:74)+100</f>
        <v>100</v>
      </c>
      <c r="I13" s="431"/>
      <c r="J13" s="434">
        <f>SUMIF(73:73,I13,74:74)-SUMIF(73:73,C13,74:74)+100</f>
        <v>100</v>
      </c>
      <c r="K13" s="612"/>
      <c r="L13" s="1142"/>
      <c r="M13" s="1133"/>
      <c r="N13" s="1133"/>
      <c r="O13" s="1133"/>
      <c r="P13" s="3187"/>
      <c r="Q13" s="2948">
        <f t="shared" si="6"/>
        <v>111</v>
      </c>
      <c r="R13" s="769" t="s">
        <v>17</v>
      </c>
      <c r="S13" s="770">
        <f t="shared" si="0"/>
        <v>100</v>
      </c>
      <c r="T13" s="769" t="s">
        <v>17</v>
      </c>
      <c r="U13" s="770">
        <f t="shared" si="1"/>
        <v>100</v>
      </c>
      <c r="V13" s="769" t="s">
        <v>17</v>
      </c>
      <c r="W13" s="770">
        <f t="shared" si="2"/>
        <v>100</v>
      </c>
      <c r="X13" s="771"/>
      <c r="Y13" s="3001"/>
      <c r="Z13" s="2949">
        <f t="shared" si="7"/>
        <v>111</v>
      </c>
      <c r="AA13" s="772">
        <f t="shared" si="3"/>
        <v>1</v>
      </c>
      <c r="AB13" s="772">
        <f t="shared" si="4"/>
        <v>1</v>
      </c>
      <c r="AC13" s="2677">
        <f t="shared" si="5"/>
        <v>1</v>
      </c>
    </row>
    <row r="14" spans="1:29" ht="15.75" thickBot="1">
      <c r="A14" s="435"/>
      <c r="B14" s="2608">
        <v>111</v>
      </c>
      <c r="C14" s="436"/>
      <c r="D14" s="437">
        <v>100</v>
      </c>
      <c r="E14" s="627"/>
      <c r="F14" s="437">
        <f>SUMIF(75:75,E14,76:76)-SUMIF(75:75,C14,76:76)+100</f>
        <v>100</v>
      </c>
      <c r="G14" s="2678"/>
      <c r="H14" s="437">
        <f>SUMIF(75:75,G14,76:76)-SUMIF(75:75,C14,76:76)+100</f>
        <v>100</v>
      </c>
      <c r="I14" s="431"/>
      <c r="J14" s="437">
        <f>SUMIF(75:75,I14,76:76)-SUMIF(75:75,C14,76:76)+100</f>
        <v>100</v>
      </c>
      <c r="K14" s="612"/>
      <c r="L14" s="1142"/>
      <c r="M14" s="1133"/>
      <c r="N14" s="1133"/>
      <c r="O14" s="1133"/>
      <c r="P14" s="3187"/>
      <c r="Q14" s="2948">
        <f t="shared" si="6"/>
        <v>111</v>
      </c>
      <c r="R14" s="769" t="s">
        <v>17</v>
      </c>
      <c r="S14" s="770">
        <f t="shared" si="0"/>
        <v>100</v>
      </c>
      <c r="T14" s="769" t="s">
        <v>17</v>
      </c>
      <c r="U14" s="770">
        <f t="shared" si="1"/>
        <v>100</v>
      </c>
      <c r="V14" s="769" t="s">
        <v>17</v>
      </c>
      <c r="W14" s="770">
        <f t="shared" si="2"/>
        <v>100</v>
      </c>
      <c r="X14" s="771"/>
      <c r="Y14" s="3001"/>
      <c r="Z14" s="2949">
        <f t="shared" si="7"/>
        <v>111</v>
      </c>
      <c r="AA14" s="772">
        <f t="shared" si="3"/>
        <v>1</v>
      </c>
      <c r="AB14" s="772">
        <f t="shared" si="4"/>
        <v>1</v>
      </c>
      <c r="AC14" s="2677">
        <f t="shared" si="5"/>
        <v>1</v>
      </c>
    </row>
    <row r="15" spans="1:29" ht="71.25">
      <c r="A15" s="439" t="s">
        <v>2563</v>
      </c>
      <c r="B15" s="628" t="s">
        <v>2691</v>
      </c>
      <c r="C15" s="267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185" t="s">
        <v>2564</v>
      </c>
      <c r="Q15" s="2954" t="str">
        <f t="shared" si="6"/>
        <v>办公集聚程度</v>
      </c>
      <c r="R15" s="773" t="s">
        <v>17</v>
      </c>
      <c r="S15" s="774">
        <f t="shared" si="0"/>
        <v>100</v>
      </c>
      <c r="T15" s="773" t="s">
        <v>17</v>
      </c>
      <c r="U15" s="774">
        <f t="shared" si="1"/>
        <v>100</v>
      </c>
      <c r="V15" s="773" t="s">
        <v>17</v>
      </c>
      <c r="W15" s="774">
        <f t="shared" si="2"/>
        <v>100</v>
      </c>
      <c r="X15" s="2951"/>
      <c r="Y15" s="3178" t="s">
        <v>2564</v>
      </c>
      <c r="Z15" s="2952" t="str">
        <f t="shared" si="7"/>
        <v>办公集聚程度</v>
      </c>
      <c r="AA15" s="2955">
        <f t="shared" si="3"/>
        <v>1</v>
      </c>
      <c r="AB15" s="2955">
        <f t="shared" si="4"/>
        <v>1</v>
      </c>
      <c r="AC15" s="2680">
        <f t="shared" si="5"/>
        <v>1</v>
      </c>
    </row>
    <row r="16" spans="1:29" ht="15">
      <c r="A16" s="427"/>
      <c r="B16" s="629"/>
      <c r="C16" s="2617" t="s">
        <v>3084</v>
      </c>
      <c r="D16" s="447"/>
      <c r="E16" s="2617" t="s">
        <v>3084</v>
      </c>
      <c r="F16" s="447"/>
      <c r="G16" s="2617" t="s">
        <v>3084</v>
      </c>
      <c r="H16" s="449"/>
      <c r="I16" s="2617" t="s">
        <v>3084</v>
      </c>
      <c r="J16" s="447"/>
      <c r="K16" s="614"/>
      <c r="L16" s="1142"/>
      <c r="M16" s="1133"/>
      <c r="N16" s="1133"/>
      <c r="O16" s="1133"/>
      <c r="P16" s="3186"/>
      <c r="Q16" s="2954"/>
      <c r="R16" s="773"/>
      <c r="S16" s="774"/>
      <c r="T16" s="773"/>
      <c r="U16" s="774"/>
      <c r="V16" s="773"/>
      <c r="W16" s="774"/>
      <c r="X16" s="2951"/>
      <c r="Y16" s="3179"/>
      <c r="Z16" s="2952"/>
      <c r="AA16" s="2955">
        <v>1</v>
      </c>
      <c r="AB16" s="2955">
        <v>1</v>
      </c>
      <c r="AC16" s="2680">
        <v>1</v>
      </c>
    </row>
    <row r="17" spans="1:29" ht="71.25">
      <c r="A17" s="427"/>
      <c r="B17" s="630" t="s">
        <v>2101</v>
      </c>
      <c r="C17" s="268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186"/>
      <c r="Q17" s="2954" t="str">
        <f>B17</f>
        <v>交通便捷度</v>
      </c>
      <c r="R17" s="773" t="s">
        <v>17</v>
      </c>
      <c r="S17" s="774">
        <f>F17</f>
        <v>100</v>
      </c>
      <c r="T17" s="773" t="s">
        <v>17</v>
      </c>
      <c r="U17" s="774">
        <f>H17</f>
        <v>100</v>
      </c>
      <c r="V17" s="773" t="s">
        <v>17</v>
      </c>
      <c r="W17" s="774">
        <f>J17</f>
        <v>100</v>
      </c>
      <c r="X17" s="2951"/>
      <c r="Y17" s="3179"/>
      <c r="Z17" s="2952" t="str">
        <f>Q17</f>
        <v>交通便捷度</v>
      </c>
      <c r="AA17" s="2955">
        <f t="shared" si="3"/>
        <v>1</v>
      </c>
      <c r="AB17" s="2955">
        <f t="shared" si="4"/>
        <v>1</v>
      </c>
      <c r="AC17" s="2680">
        <f t="shared" si="5"/>
        <v>1</v>
      </c>
    </row>
    <row r="18" spans="1:29" ht="15">
      <c r="A18" s="427"/>
      <c r="B18" s="631"/>
      <c r="C18" s="2617" t="s">
        <v>3084</v>
      </c>
      <c r="D18" s="449"/>
      <c r="E18" s="2617" t="s">
        <v>3084</v>
      </c>
      <c r="F18" s="449"/>
      <c r="G18" s="2617" t="s">
        <v>3084</v>
      </c>
      <c r="H18" s="447"/>
      <c r="I18" s="2617" t="s">
        <v>3084</v>
      </c>
      <c r="J18" s="447"/>
      <c r="K18" s="614"/>
      <c r="L18" s="1142"/>
      <c r="M18" s="1133"/>
      <c r="N18" s="1133"/>
      <c r="O18" s="1133"/>
      <c r="P18" s="3186"/>
      <c r="Q18" s="2954"/>
      <c r="R18" s="773"/>
      <c r="S18" s="774"/>
      <c r="T18" s="773"/>
      <c r="U18" s="774"/>
      <c r="V18" s="773"/>
      <c r="W18" s="774"/>
      <c r="X18" s="2951"/>
      <c r="Y18" s="3179"/>
      <c r="Z18" s="2952"/>
      <c r="AA18" s="2955">
        <v>1</v>
      </c>
      <c r="AB18" s="2955">
        <v>1</v>
      </c>
      <c r="AC18" s="2680">
        <v>1</v>
      </c>
    </row>
    <row r="19" spans="1:29" ht="42.75">
      <c r="A19" s="427"/>
      <c r="B19" s="630" t="s">
        <v>2692</v>
      </c>
      <c r="C19" s="268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186"/>
      <c r="Q19" s="2954" t="str">
        <f>B19</f>
        <v>公共配套设施</v>
      </c>
      <c r="R19" s="773" t="s">
        <v>17</v>
      </c>
      <c r="S19" s="774">
        <f>F19</f>
        <v>100</v>
      </c>
      <c r="T19" s="773" t="s">
        <v>17</v>
      </c>
      <c r="U19" s="774">
        <f>H19</f>
        <v>100</v>
      </c>
      <c r="V19" s="773" t="s">
        <v>17</v>
      </c>
      <c r="W19" s="774">
        <f>J19</f>
        <v>100</v>
      </c>
      <c r="X19" s="2951"/>
      <c r="Y19" s="3179"/>
      <c r="Z19" s="2952" t="str">
        <f>Q19</f>
        <v>公共配套设施</v>
      </c>
      <c r="AA19" s="2955">
        <f t="shared" si="3"/>
        <v>1</v>
      </c>
      <c r="AB19" s="2955">
        <f t="shared" si="4"/>
        <v>1</v>
      </c>
      <c r="AC19" s="2680">
        <f t="shared" si="5"/>
        <v>1</v>
      </c>
    </row>
    <row r="20" spans="1:29" ht="15">
      <c r="A20" s="427"/>
      <c r="B20" s="631"/>
      <c r="C20" s="2617" t="s">
        <v>3084</v>
      </c>
      <c r="D20" s="447"/>
      <c r="E20" s="2617" t="s">
        <v>3084</v>
      </c>
      <c r="F20" s="447"/>
      <c r="G20" s="2617" t="s">
        <v>3084</v>
      </c>
      <c r="H20" s="447"/>
      <c r="I20" s="2617" t="s">
        <v>3084</v>
      </c>
      <c r="J20" s="447"/>
      <c r="K20" s="614"/>
      <c r="L20" s="1142"/>
      <c r="M20" s="1133"/>
      <c r="N20" s="1133"/>
      <c r="O20" s="1133"/>
      <c r="P20" s="3186"/>
      <c r="Q20" s="2954"/>
      <c r="R20" s="773"/>
      <c r="S20" s="774"/>
      <c r="T20" s="773"/>
      <c r="U20" s="774"/>
      <c r="V20" s="773"/>
      <c r="W20" s="774"/>
      <c r="X20" s="2951"/>
      <c r="Y20" s="3179"/>
      <c r="Z20" s="2952"/>
      <c r="AA20" s="2955">
        <v>1</v>
      </c>
      <c r="AB20" s="2955">
        <v>1</v>
      </c>
      <c r="AC20" s="2680">
        <v>1</v>
      </c>
    </row>
    <row r="21" spans="1:29" ht="28.5">
      <c r="A21" s="427"/>
      <c r="B21" s="632" t="s">
        <v>2693</v>
      </c>
      <c r="C21" s="268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186"/>
      <c r="Q21" s="2954" t="str">
        <f>B21</f>
        <v>基础设施水平</v>
      </c>
      <c r="R21" s="773" t="s">
        <v>17</v>
      </c>
      <c r="S21" s="774">
        <f>F21</f>
        <v>100</v>
      </c>
      <c r="T21" s="773" t="s">
        <v>17</v>
      </c>
      <c r="U21" s="774">
        <f>H21</f>
        <v>100</v>
      </c>
      <c r="V21" s="773" t="s">
        <v>17</v>
      </c>
      <c r="W21" s="774">
        <f>J21</f>
        <v>100</v>
      </c>
      <c r="X21" s="2951"/>
      <c r="Y21" s="3179"/>
      <c r="Z21" s="2952" t="str">
        <f>Q21</f>
        <v>基础设施水平</v>
      </c>
      <c r="AA21" s="2955">
        <f t="shared" ref="AA21" si="8">D21/F21</f>
        <v>1</v>
      </c>
      <c r="AB21" s="2955">
        <f t="shared" ref="AB21" si="9">D21/H21</f>
        <v>1</v>
      </c>
      <c r="AC21" s="2680">
        <f t="shared" ref="AC21" si="10">D21/J21</f>
        <v>1</v>
      </c>
    </row>
    <row r="22" spans="1:29" ht="15">
      <c r="A22" s="427"/>
      <c r="B22" s="632"/>
      <c r="C22" s="2682" t="s">
        <v>3081</v>
      </c>
      <c r="D22" s="447"/>
      <c r="E22" s="2682" t="s">
        <v>3081</v>
      </c>
      <c r="F22" s="447"/>
      <c r="G22" s="2682" t="s">
        <v>3081</v>
      </c>
      <c r="H22" s="447"/>
      <c r="I22" s="2682" t="s">
        <v>3081</v>
      </c>
      <c r="J22" s="447"/>
      <c r="K22" s="1385"/>
      <c r="L22" s="1142"/>
      <c r="M22" s="1133"/>
      <c r="N22" s="1133"/>
      <c r="O22" s="1133"/>
      <c r="P22" s="3186"/>
      <c r="Q22" s="2954"/>
      <c r="R22" s="773"/>
      <c r="S22" s="774"/>
      <c r="T22" s="773"/>
      <c r="U22" s="774"/>
      <c r="V22" s="773"/>
      <c r="W22" s="774"/>
      <c r="X22" s="2951"/>
      <c r="Y22" s="3179"/>
      <c r="Z22" s="2952"/>
      <c r="AA22" s="2955">
        <v>1</v>
      </c>
      <c r="AB22" s="2955">
        <v>1</v>
      </c>
      <c r="AC22" s="2680">
        <v>1</v>
      </c>
    </row>
    <row r="23" spans="1:29" ht="42.75">
      <c r="A23" s="427"/>
      <c r="B23" s="630" t="s">
        <v>2694</v>
      </c>
      <c r="C23" s="268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186"/>
      <c r="Q23" s="2954" t="str">
        <f>B23</f>
        <v>环境质量</v>
      </c>
      <c r="R23" s="773" t="s">
        <v>17</v>
      </c>
      <c r="S23" s="774">
        <f>F23</f>
        <v>100</v>
      </c>
      <c r="T23" s="773" t="s">
        <v>17</v>
      </c>
      <c r="U23" s="774">
        <f>H23</f>
        <v>100</v>
      </c>
      <c r="V23" s="773" t="s">
        <v>17</v>
      </c>
      <c r="W23" s="774">
        <f>J23</f>
        <v>100</v>
      </c>
      <c r="X23" s="2951"/>
      <c r="Y23" s="3179"/>
      <c r="Z23" s="2952" t="str">
        <f>Q23</f>
        <v>环境质量</v>
      </c>
      <c r="AA23" s="2955">
        <f t="shared" si="3"/>
        <v>1</v>
      </c>
      <c r="AB23" s="2955">
        <f t="shared" si="4"/>
        <v>1</v>
      </c>
      <c r="AC23" s="2680">
        <f t="shared" si="5"/>
        <v>1</v>
      </c>
    </row>
    <row r="24" spans="1:29" ht="15">
      <c r="A24" s="427"/>
      <c r="B24" s="632"/>
      <c r="C24" s="2617" t="s">
        <v>3084</v>
      </c>
      <c r="D24" s="447"/>
      <c r="E24" s="2617" t="s">
        <v>3084</v>
      </c>
      <c r="F24" s="447"/>
      <c r="G24" s="2617" t="s">
        <v>3084</v>
      </c>
      <c r="H24" s="447"/>
      <c r="I24" s="2617" t="s">
        <v>3084</v>
      </c>
      <c r="J24" s="447"/>
      <c r="K24" s="614"/>
      <c r="L24" s="1142"/>
      <c r="M24" s="1133"/>
      <c r="N24" s="1133"/>
      <c r="O24" s="1133"/>
      <c r="P24" s="3186"/>
      <c r="Q24" s="2954"/>
      <c r="R24" s="773"/>
      <c r="S24" s="774"/>
      <c r="T24" s="773"/>
      <c r="U24" s="774"/>
      <c r="V24" s="773"/>
      <c r="W24" s="774"/>
      <c r="X24" s="2951"/>
      <c r="Y24" s="3179"/>
      <c r="Z24" s="2952"/>
      <c r="AA24" s="2955">
        <v>1</v>
      </c>
      <c r="AB24" s="2955">
        <v>1</v>
      </c>
      <c r="AC24" s="2680">
        <v>1</v>
      </c>
    </row>
    <row r="25" spans="1:29" ht="28.5">
      <c r="A25" s="403"/>
      <c r="B25" s="630" t="s">
        <v>2695</v>
      </c>
      <c r="C25" s="2621" t="s">
        <v>3069</v>
      </c>
      <c r="D25" s="434">
        <v>100</v>
      </c>
      <c r="E25" s="3300" t="s">
        <v>3117</v>
      </c>
      <c r="F25" s="434">
        <f>SUMIF(87:87,E26,88:88)-SUMIF(87:87,C26,88:88)+100</f>
        <v>100</v>
      </c>
      <c r="G25" s="3300" t="s">
        <v>3118</v>
      </c>
      <c r="H25" s="434">
        <f>SUMIF(87:87,G26,88:88)-SUMIF(87:87,C26,88:88)+100</f>
        <v>100</v>
      </c>
      <c r="I25" s="3300" t="s">
        <v>3117</v>
      </c>
      <c r="J25" s="434">
        <f>SUMIF(87:87,I26,88:88)-SUMIF(87:87,C26,88:88)+100</f>
        <v>100</v>
      </c>
      <c r="K25" s="613">
        <v>2</v>
      </c>
      <c r="L25" s="1142"/>
      <c r="M25" s="1133"/>
      <c r="N25" s="1133"/>
      <c r="O25" s="1133"/>
      <c r="P25" s="3186"/>
      <c r="Q25" s="2954" t="str">
        <f>B25</f>
        <v>毗邻道路的类型与等级</v>
      </c>
      <c r="R25" s="773" t="s">
        <v>17</v>
      </c>
      <c r="S25" s="774">
        <f>F25</f>
        <v>100</v>
      </c>
      <c r="T25" s="773" t="s">
        <v>17</v>
      </c>
      <c r="U25" s="774">
        <f>H25</f>
        <v>100</v>
      </c>
      <c r="V25" s="773" t="s">
        <v>17</v>
      </c>
      <c r="W25" s="774">
        <f>J25</f>
        <v>100</v>
      </c>
      <c r="X25" s="2951"/>
      <c r="Y25" s="3179"/>
      <c r="Z25" s="2952" t="str">
        <f>Q25</f>
        <v>毗邻道路的类型与等级</v>
      </c>
      <c r="AA25" s="2955">
        <f t="shared" si="3"/>
        <v>1</v>
      </c>
      <c r="AB25" s="2955">
        <f t="shared" si="4"/>
        <v>1</v>
      </c>
      <c r="AC25" s="2680">
        <f t="shared" si="5"/>
        <v>1</v>
      </c>
    </row>
    <row r="26" spans="1:29" ht="15">
      <c r="A26" s="403"/>
      <c r="B26" s="631"/>
      <c r="C26" s="633" t="s">
        <v>3070</v>
      </c>
      <c r="D26" s="434"/>
      <c r="E26" s="3301" t="s">
        <v>3070</v>
      </c>
      <c r="F26" s="434"/>
      <c r="G26" s="3302" t="s">
        <v>3070</v>
      </c>
      <c r="H26" s="434"/>
      <c r="I26" s="3301" t="s">
        <v>3070</v>
      </c>
      <c r="J26" s="434"/>
      <c r="K26" s="614"/>
      <c r="L26" s="1142"/>
      <c r="M26" s="1133"/>
      <c r="N26" s="1133"/>
      <c r="O26" s="1133"/>
      <c r="P26" s="3186"/>
      <c r="Q26" s="2954"/>
      <c r="R26" s="773"/>
      <c r="S26" s="774"/>
      <c r="T26" s="773"/>
      <c r="U26" s="774"/>
      <c r="V26" s="773"/>
      <c r="W26" s="774"/>
      <c r="X26" s="2951"/>
      <c r="Y26" s="3179"/>
      <c r="Z26" s="2952"/>
      <c r="AA26" s="2955">
        <v>1</v>
      </c>
      <c r="AB26" s="2955">
        <v>1</v>
      </c>
      <c r="AC26" s="2680">
        <v>1</v>
      </c>
    </row>
    <row r="27" spans="1:29" ht="15">
      <c r="A27" s="427"/>
      <c r="B27" s="631" t="s">
        <v>2663</v>
      </c>
      <c r="C27" s="633" t="s">
        <v>3071</v>
      </c>
      <c r="D27" s="434">
        <v>100</v>
      </c>
      <c r="E27" s="3301" t="s">
        <v>3075</v>
      </c>
      <c r="F27" s="434">
        <f>SUMIF(89:89,E27,90:90)-SUMIF(89:89,C27,90:90)+100</f>
        <v>98</v>
      </c>
      <c r="G27" s="3302" t="s">
        <v>3071</v>
      </c>
      <c r="H27" s="434">
        <f>SUMIF(89:89,G27,90:90)-SUMIF(89:89,C27,90:90)+100</f>
        <v>100</v>
      </c>
      <c r="I27" s="3301" t="s">
        <v>3073</v>
      </c>
      <c r="J27" s="434">
        <f>SUMIF(89:89,I27,90:90)-SUMIF(89:89,C27,90:90)+100</f>
        <v>99</v>
      </c>
      <c r="K27" s="611">
        <v>1</v>
      </c>
      <c r="L27" s="1142"/>
      <c r="M27" s="1133"/>
      <c r="N27" s="1133"/>
      <c r="O27" s="1133"/>
      <c r="P27" s="3186"/>
      <c r="Q27" s="2954" t="str">
        <f t="shared" ref="Q27:Q47" si="11">B27</f>
        <v>楼层</v>
      </c>
      <c r="R27" s="773" t="s">
        <v>17</v>
      </c>
      <c r="S27" s="774">
        <f>F27</f>
        <v>98</v>
      </c>
      <c r="T27" s="773" t="s">
        <v>17</v>
      </c>
      <c r="U27" s="774">
        <f>H27</f>
        <v>100</v>
      </c>
      <c r="V27" s="773" t="s">
        <v>17</v>
      </c>
      <c r="W27" s="774">
        <f>J27</f>
        <v>99</v>
      </c>
      <c r="X27" s="2951"/>
      <c r="Y27" s="3179"/>
      <c r="Z27" s="2952" t="str">
        <f>Q27</f>
        <v>楼层</v>
      </c>
      <c r="AA27" s="2955">
        <f t="shared" si="3"/>
        <v>1.0204081632653061</v>
      </c>
      <c r="AB27" s="2955">
        <f t="shared" si="4"/>
        <v>1</v>
      </c>
      <c r="AC27" s="2680">
        <f t="shared" si="5"/>
        <v>1.0101010101010102</v>
      </c>
    </row>
    <row r="28" spans="1:29" s="117" customFormat="1" ht="15">
      <c r="A28" s="430"/>
      <c r="B28" s="630" t="s">
        <v>2696</v>
      </c>
      <c r="C28" s="2683"/>
      <c r="D28" s="461">
        <v>100</v>
      </c>
      <c r="E28" s="2671"/>
      <c r="F28" s="461">
        <f>SUMIF(91:91,E28,92:92)-SUMIF(91:91,C28,92:92)+100</f>
        <v>100</v>
      </c>
      <c r="G28" s="2683"/>
      <c r="H28" s="461">
        <f>SUMIF(91:91,G28,92:92)-SUMIF(91:91,C28,92:92)+100</f>
        <v>100</v>
      </c>
      <c r="I28" s="2671"/>
      <c r="J28" s="461">
        <f>SUMIF(91:91,I28,92:92)-SUMIF(91:91,C28,92:92)+100</f>
        <v>100</v>
      </c>
      <c r="K28" s="611"/>
      <c r="L28" s="1134"/>
      <c r="M28" s="1135"/>
      <c r="N28" s="1135"/>
      <c r="O28" s="1135"/>
      <c r="P28" s="3186"/>
      <c r="Q28" s="2948" t="str">
        <f t="shared" si="11"/>
        <v>朝向</v>
      </c>
      <c r="R28" s="769" t="s">
        <v>17</v>
      </c>
      <c r="S28" s="770">
        <f>F28</f>
        <v>100</v>
      </c>
      <c r="T28" s="769" t="s">
        <v>17</v>
      </c>
      <c r="U28" s="770">
        <f>H28</f>
        <v>100</v>
      </c>
      <c r="V28" s="769" t="s">
        <v>17</v>
      </c>
      <c r="W28" s="770">
        <f>J28</f>
        <v>100</v>
      </c>
      <c r="X28" s="771"/>
      <c r="Y28" s="3179"/>
      <c r="Z28" s="2949" t="str">
        <f>Q28</f>
        <v>朝向</v>
      </c>
      <c r="AA28" s="2955">
        <f>D28/F28</f>
        <v>1</v>
      </c>
      <c r="AB28" s="2955">
        <f>D28/H28</f>
        <v>1</v>
      </c>
      <c r="AC28" s="2680">
        <f>D28/J28</f>
        <v>1</v>
      </c>
    </row>
    <row r="29" spans="1:29" ht="15">
      <c r="A29" s="427"/>
      <c r="B29" s="2684">
        <v>111</v>
      </c>
      <c r="C29" s="2621"/>
      <c r="D29" s="434">
        <v>100</v>
      </c>
      <c r="E29" s="431"/>
      <c r="F29" s="434">
        <f>SUMIF(93:93,E29,94:94)-SUMIF(93:93,C29,94:94)+100</f>
        <v>100</v>
      </c>
      <c r="G29" s="2678"/>
      <c r="H29" s="434">
        <f>SUMIF(93:93,G29,94:94)-SUMIF(93:93,C29,94:94)+100</f>
        <v>100</v>
      </c>
      <c r="I29" s="431"/>
      <c r="J29" s="434">
        <f>SUMIF(93:93,I29,94:94)-SUMIF(93:93,C29,94:94)+100</f>
        <v>100</v>
      </c>
      <c r="K29" s="612"/>
      <c r="L29" s="1142"/>
      <c r="M29" s="1133"/>
      <c r="N29" s="1133"/>
      <c r="O29" s="1133"/>
      <c r="P29" s="3186"/>
      <c r="Q29" s="2954">
        <f t="shared" si="11"/>
        <v>111</v>
      </c>
      <c r="R29" s="773" t="s">
        <v>17</v>
      </c>
      <c r="S29" s="774">
        <f t="shared" ref="S29:S47" si="12">F29</f>
        <v>100</v>
      </c>
      <c r="T29" s="773" t="s">
        <v>17</v>
      </c>
      <c r="U29" s="774">
        <f t="shared" ref="U29:U47" si="13">H29</f>
        <v>100</v>
      </c>
      <c r="V29" s="773" t="s">
        <v>17</v>
      </c>
      <c r="W29" s="774">
        <f t="shared" ref="W29:W47" si="14">J29</f>
        <v>100</v>
      </c>
      <c r="X29" s="2951"/>
      <c r="Y29" s="3179"/>
      <c r="Z29" s="2952">
        <f t="shared" ref="Z29:Z47" si="15">Q29</f>
        <v>111</v>
      </c>
      <c r="AA29" s="2955">
        <f t="shared" si="3"/>
        <v>1</v>
      </c>
      <c r="AB29" s="2955">
        <f t="shared" si="4"/>
        <v>1</v>
      </c>
      <c r="AC29" s="2680">
        <f t="shared" si="5"/>
        <v>1</v>
      </c>
    </row>
    <row r="30" spans="1:29" ht="15">
      <c r="A30" s="427"/>
      <c r="B30" s="2684">
        <v>111</v>
      </c>
      <c r="C30" s="2621"/>
      <c r="D30" s="434">
        <v>100</v>
      </c>
      <c r="E30" s="431"/>
      <c r="F30" s="434">
        <f>SUMIF(95:95,E30,96:96)-SUMIF(95:95,C30,96:96)+100</f>
        <v>100</v>
      </c>
      <c r="G30" s="2678"/>
      <c r="H30" s="434">
        <f>SUMIF(95:95,G30,96:96)-SUMIF(95:95,C30,96:96)+100</f>
        <v>100</v>
      </c>
      <c r="I30" s="431"/>
      <c r="J30" s="434">
        <f>SUMIF(95:95,I30,96:96)-SUMIF(95:95,C30,96:96)+100</f>
        <v>100</v>
      </c>
      <c r="K30" s="612"/>
      <c r="L30" s="1142"/>
      <c r="M30" s="1133"/>
      <c r="N30" s="1133"/>
      <c r="O30" s="1133"/>
      <c r="P30" s="3186"/>
      <c r="Q30" s="2954">
        <f t="shared" si="11"/>
        <v>111</v>
      </c>
      <c r="R30" s="773" t="s">
        <v>17</v>
      </c>
      <c r="S30" s="774">
        <f t="shared" si="12"/>
        <v>100</v>
      </c>
      <c r="T30" s="773" t="s">
        <v>17</v>
      </c>
      <c r="U30" s="774">
        <f t="shared" si="13"/>
        <v>100</v>
      </c>
      <c r="V30" s="773" t="s">
        <v>17</v>
      </c>
      <c r="W30" s="774">
        <f t="shared" si="14"/>
        <v>100</v>
      </c>
      <c r="X30" s="2951"/>
      <c r="Y30" s="3179"/>
      <c r="Z30" s="2952">
        <f t="shared" si="15"/>
        <v>111</v>
      </c>
      <c r="AA30" s="2955">
        <f t="shared" si="3"/>
        <v>1</v>
      </c>
      <c r="AB30" s="2955">
        <f t="shared" si="4"/>
        <v>1</v>
      </c>
      <c r="AC30" s="2680">
        <f t="shared" si="5"/>
        <v>1</v>
      </c>
    </row>
    <row r="31" spans="1:29" ht="15">
      <c r="A31" s="427"/>
      <c r="B31" s="2684">
        <v>111</v>
      </c>
      <c r="C31" s="2621"/>
      <c r="D31" s="434">
        <v>100</v>
      </c>
      <c r="E31" s="431"/>
      <c r="F31" s="434">
        <f>SUMIF(97:97,E31,98:98)-SUMIF(97:97,C31,98:98)+100</f>
        <v>100</v>
      </c>
      <c r="G31" s="2678"/>
      <c r="H31" s="434">
        <f>SUMIF(97:97,G31,98:98)-SUMIF(97:97,C31,98:98)+100</f>
        <v>100</v>
      </c>
      <c r="I31" s="431"/>
      <c r="J31" s="434">
        <f>SUMIF(97:97,I31,98:98)-SUMIF(97:97,C31,98:98)+100</f>
        <v>100</v>
      </c>
      <c r="K31" s="612"/>
      <c r="L31" s="1142"/>
      <c r="M31" s="1133"/>
      <c r="N31" s="1133"/>
      <c r="O31" s="1133"/>
      <c r="P31" s="3186"/>
      <c r="Q31" s="2954">
        <f t="shared" si="11"/>
        <v>111</v>
      </c>
      <c r="R31" s="773" t="s">
        <v>17</v>
      </c>
      <c r="S31" s="774">
        <f t="shared" si="12"/>
        <v>100</v>
      </c>
      <c r="T31" s="773" t="s">
        <v>17</v>
      </c>
      <c r="U31" s="774">
        <f t="shared" si="13"/>
        <v>100</v>
      </c>
      <c r="V31" s="773" t="s">
        <v>17</v>
      </c>
      <c r="W31" s="774">
        <f t="shared" si="14"/>
        <v>100</v>
      </c>
      <c r="X31" s="2951"/>
      <c r="Y31" s="3179"/>
      <c r="Z31" s="2952">
        <f t="shared" si="15"/>
        <v>111</v>
      </c>
      <c r="AA31" s="2955">
        <f t="shared" si="3"/>
        <v>1</v>
      </c>
      <c r="AB31" s="2955">
        <f t="shared" si="4"/>
        <v>1</v>
      </c>
      <c r="AC31" s="2680">
        <f t="shared" si="5"/>
        <v>1</v>
      </c>
    </row>
    <row r="32" spans="1:29" ht="15.75" thickBot="1">
      <c r="A32" s="435"/>
      <c r="B32" s="634">
        <v>111</v>
      </c>
      <c r="C32" s="2622"/>
      <c r="D32" s="437">
        <v>100</v>
      </c>
      <c r="E32" s="627"/>
      <c r="F32" s="437">
        <f>SUMIF(99:99,E32,100:100)-SUMIF(99:99,C32,100:100)+100</f>
        <v>100</v>
      </c>
      <c r="G32" s="2678"/>
      <c r="H32" s="437">
        <f>SUMIF(99:99,G32,100:100)-SUMIF(99:99,C32,100:100)+100</f>
        <v>100</v>
      </c>
      <c r="I32" s="431"/>
      <c r="J32" s="437">
        <f>SUMIF(99:99,I32,100:100)-SUMIF(99:99,C32,100:100)+100</f>
        <v>100</v>
      </c>
      <c r="K32" s="612"/>
      <c r="L32" s="1142"/>
      <c r="M32" s="1133"/>
      <c r="N32" s="1133"/>
      <c r="O32" s="1133"/>
      <c r="P32" s="3186"/>
      <c r="Q32" s="2954">
        <f t="shared" si="11"/>
        <v>111</v>
      </c>
      <c r="R32" s="773" t="s">
        <v>17</v>
      </c>
      <c r="S32" s="774">
        <f t="shared" si="12"/>
        <v>100</v>
      </c>
      <c r="T32" s="773" t="s">
        <v>17</v>
      </c>
      <c r="U32" s="774">
        <f t="shared" si="13"/>
        <v>100</v>
      </c>
      <c r="V32" s="773" t="s">
        <v>17</v>
      </c>
      <c r="W32" s="774">
        <f t="shared" si="14"/>
        <v>100</v>
      </c>
      <c r="X32" s="2951"/>
      <c r="Y32" s="3179"/>
      <c r="Z32" s="2952">
        <f t="shared" si="15"/>
        <v>111</v>
      </c>
      <c r="AA32" s="2955">
        <f t="shared" si="3"/>
        <v>1</v>
      </c>
      <c r="AB32" s="2955">
        <f t="shared" si="4"/>
        <v>1</v>
      </c>
      <c r="AC32" s="2680">
        <f t="shared" si="5"/>
        <v>1</v>
      </c>
    </row>
    <row r="33" spans="1:29" ht="15">
      <c r="A33" s="439" t="s">
        <v>2567</v>
      </c>
      <c r="B33" s="71" t="s">
        <v>2697</v>
      </c>
      <c r="C33" s="2685" t="s">
        <v>3076</v>
      </c>
      <c r="D33" s="466">
        <v>100</v>
      </c>
      <c r="E33" s="3303" t="s">
        <v>3076</v>
      </c>
      <c r="F33" s="460">
        <f>SUMIF(101:101,E33,102:102)-SUMIF(101:101,C33,102:102)+100</f>
        <v>100</v>
      </c>
      <c r="G33" s="3303" t="s">
        <v>3076</v>
      </c>
      <c r="H33" s="434">
        <f>SUMIF(101:101,G33,102:102)-SUMIF(101:101,C33,102:102)+100</f>
        <v>100</v>
      </c>
      <c r="I33" s="3303" t="s">
        <v>3076</v>
      </c>
      <c r="J33" s="466">
        <f>SUMIF(101:101,I33,102:102)-SUMIF(101:101,C33,102:102)+100</f>
        <v>100</v>
      </c>
      <c r="K33" s="611">
        <v>1</v>
      </c>
      <c r="L33" s="1142"/>
      <c r="M33" s="1133"/>
      <c r="N33" s="1133"/>
      <c r="O33" s="1133"/>
      <c r="P33" s="3180" t="s">
        <v>2569</v>
      </c>
      <c r="Q33" s="2954" t="str">
        <f t="shared" si="11"/>
        <v>建筑类型</v>
      </c>
      <c r="R33" s="773" t="s">
        <v>17</v>
      </c>
      <c r="S33" s="774">
        <f t="shared" si="12"/>
        <v>100</v>
      </c>
      <c r="T33" s="773" t="s">
        <v>17</v>
      </c>
      <c r="U33" s="774">
        <f t="shared" si="13"/>
        <v>100</v>
      </c>
      <c r="V33" s="773" t="s">
        <v>17</v>
      </c>
      <c r="W33" s="774">
        <f t="shared" si="14"/>
        <v>100</v>
      </c>
      <c r="X33" s="2951"/>
      <c r="Y33" s="3183" t="s">
        <v>2569</v>
      </c>
      <c r="Z33" s="2952" t="str">
        <f t="shared" si="15"/>
        <v>建筑类型</v>
      </c>
      <c r="AA33" s="2955">
        <f t="shared" si="3"/>
        <v>1</v>
      </c>
      <c r="AB33" s="2955">
        <f t="shared" si="4"/>
        <v>1</v>
      </c>
      <c r="AC33" s="2680">
        <f t="shared" si="5"/>
        <v>1</v>
      </c>
    </row>
    <row r="34" spans="1:29" s="470" customFormat="1" ht="15">
      <c r="A34" s="467"/>
      <c r="B34" s="2950" t="s">
        <v>2570</v>
      </c>
      <c r="C34" s="468">
        <f>'数据-汇总表'!F19</f>
        <v>589.49</v>
      </c>
      <c r="D34" s="135">
        <v>100</v>
      </c>
      <c r="E34" s="3304">
        <v>600</v>
      </c>
      <c r="F34" s="424">
        <f>LOOKUP(E34,104:104,105:105)-LOOKUP(C34,104:104,105:105)+100</f>
        <v>99</v>
      </c>
      <c r="G34" s="3311">
        <v>2000</v>
      </c>
      <c r="H34" s="135">
        <f>LOOKUP(G34,104:104,105:105)-LOOKUP(C34,104:104,105:105)+100</f>
        <v>96</v>
      </c>
      <c r="I34" s="3311">
        <v>220</v>
      </c>
      <c r="J34" s="135">
        <f>LOOKUP(I34,104:104,105:105)-LOOKUP(C34,104:104,105:105)+100</f>
        <v>99</v>
      </c>
      <c r="K34" s="612"/>
      <c r="L34" s="1140"/>
      <c r="M34" s="1143"/>
      <c r="N34" s="1143"/>
      <c r="O34" s="1143"/>
      <c r="P34" s="3181"/>
      <c r="Q34" s="775" t="str">
        <f t="shared" si="11"/>
        <v>项目建筑规模</v>
      </c>
      <c r="R34" s="776" t="s">
        <v>17</v>
      </c>
      <c r="S34" s="777">
        <f t="shared" si="12"/>
        <v>99</v>
      </c>
      <c r="T34" s="776" t="s">
        <v>17</v>
      </c>
      <c r="U34" s="777">
        <f t="shared" si="13"/>
        <v>96</v>
      </c>
      <c r="V34" s="776" t="s">
        <v>17</v>
      </c>
      <c r="W34" s="777">
        <f t="shared" si="14"/>
        <v>99</v>
      </c>
      <c r="X34" s="778"/>
      <c r="Y34" s="3183"/>
      <c r="Z34" s="779" t="str">
        <f t="shared" si="15"/>
        <v>项目建筑规模</v>
      </c>
      <c r="AA34" s="2955">
        <f t="shared" si="3"/>
        <v>1.0101010101010102</v>
      </c>
      <c r="AB34" s="2955">
        <f t="shared" si="4"/>
        <v>1.0416666666666667</v>
      </c>
      <c r="AC34" s="2680">
        <f t="shared" si="5"/>
        <v>1.0101010101010102</v>
      </c>
    </row>
    <row r="35" spans="1:29" ht="15">
      <c r="A35" s="471"/>
      <c r="B35" s="2950" t="s">
        <v>2571</v>
      </c>
      <c r="C35" s="459" t="s">
        <v>3077</v>
      </c>
      <c r="D35" s="434">
        <v>100</v>
      </c>
      <c r="E35" s="3305" t="s">
        <v>3077</v>
      </c>
      <c r="F35" s="460">
        <f>SUMIF(106:106,E35,107:107)-SUMIF(106:106,C35,107:107)+100</f>
        <v>100</v>
      </c>
      <c r="G35" s="3305" t="s">
        <v>3077</v>
      </c>
      <c r="H35" s="434">
        <f>SUMIF(106:106,G35,107:107)-SUMIF(106:106,C35,107:107)+100</f>
        <v>100</v>
      </c>
      <c r="I35" s="3305" t="s">
        <v>3077</v>
      </c>
      <c r="J35" s="434">
        <f>SUMIF(106:106,I35,107:107)-SUMIF(106:106,C35,107:107)+100</f>
        <v>100</v>
      </c>
      <c r="K35" s="611">
        <v>1</v>
      </c>
      <c r="L35" s="1142"/>
      <c r="M35" s="1133"/>
      <c r="N35" s="1133"/>
      <c r="O35" s="1133"/>
      <c r="P35" s="3181"/>
      <c r="Q35" s="2954" t="str">
        <f t="shared" si="11"/>
        <v>建筑结构</v>
      </c>
      <c r="R35" s="773" t="s">
        <v>17</v>
      </c>
      <c r="S35" s="774">
        <f t="shared" si="12"/>
        <v>100</v>
      </c>
      <c r="T35" s="773" t="s">
        <v>17</v>
      </c>
      <c r="U35" s="774">
        <f t="shared" si="13"/>
        <v>100</v>
      </c>
      <c r="V35" s="773" t="s">
        <v>17</v>
      </c>
      <c r="W35" s="774">
        <f t="shared" si="14"/>
        <v>100</v>
      </c>
      <c r="X35" s="2951"/>
      <c r="Y35" s="3183"/>
      <c r="Z35" s="2952" t="str">
        <f t="shared" si="15"/>
        <v>建筑结构</v>
      </c>
      <c r="AA35" s="2955">
        <f t="shared" si="3"/>
        <v>1</v>
      </c>
      <c r="AB35" s="2955">
        <f t="shared" si="4"/>
        <v>1</v>
      </c>
      <c r="AC35" s="2680">
        <f t="shared" si="5"/>
        <v>1</v>
      </c>
    </row>
    <row r="36" spans="1:29" ht="15">
      <c r="A36" s="471"/>
      <c r="B36" s="2950" t="s">
        <v>2665</v>
      </c>
      <c r="C36" s="459" t="s">
        <v>3078</v>
      </c>
      <c r="D36" s="434">
        <v>100</v>
      </c>
      <c r="E36" s="3305" t="s">
        <v>3078</v>
      </c>
      <c r="F36" s="460">
        <f>SUMIF(108:108,E36,109:109)-SUMIF(108:108,C36,109:109)+100</f>
        <v>100</v>
      </c>
      <c r="G36" s="3305" t="s">
        <v>3078</v>
      </c>
      <c r="H36" s="434">
        <f>SUMIF(108:108,G36,109:109)-SUMIF(108:108,C36,109:109)+100</f>
        <v>100</v>
      </c>
      <c r="I36" s="3305" t="s">
        <v>3078</v>
      </c>
      <c r="J36" s="434">
        <f>SUMIF(108:108,I36,109:109)-SUMIF(108:108,C36,109:109)+100</f>
        <v>100</v>
      </c>
      <c r="K36" s="611">
        <v>2</v>
      </c>
      <c r="L36" s="1142"/>
      <c r="M36" s="1133"/>
      <c r="N36" s="1133"/>
      <c r="O36" s="1133"/>
      <c r="P36" s="3181"/>
      <c r="Q36" s="2954" t="str">
        <f t="shared" si="11"/>
        <v>公共部分装修</v>
      </c>
      <c r="R36" s="773" t="s">
        <v>17</v>
      </c>
      <c r="S36" s="774">
        <f t="shared" si="12"/>
        <v>100</v>
      </c>
      <c r="T36" s="773" t="s">
        <v>17</v>
      </c>
      <c r="U36" s="774">
        <f t="shared" si="13"/>
        <v>100</v>
      </c>
      <c r="V36" s="773" t="s">
        <v>17</v>
      </c>
      <c r="W36" s="774">
        <f t="shared" si="14"/>
        <v>100</v>
      </c>
      <c r="X36" s="2951"/>
      <c r="Y36" s="3183"/>
      <c r="Z36" s="2952" t="str">
        <f t="shared" si="15"/>
        <v>公共部分装修</v>
      </c>
      <c r="AA36" s="2955">
        <f t="shared" si="3"/>
        <v>1</v>
      </c>
      <c r="AB36" s="2955">
        <f t="shared" si="4"/>
        <v>1</v>
      </c>
      <c r="AC36" s="2680">
        <f t="shared" si="5"/>
        <v>1</v>
      </c>
    </row>
    <row r="37" spans="1:29" ht="15">
      <c r="A37" s="471"/>
      <c r="B37" s="2950" t="s">
        <v>2666</v>
      </c>
      <c r="C37" s="473">
        <v>1</v>
      </c>
      <c r="D37" s="434">
        <v>100</v>
      </c>
      <c r="E37" s="3306">
        <v>0.92</v>
      </c>
      <c r="F37" s="460">
        <f>LOOKUP(E37,111:111,112:112)-LOOKUP(C37,111:111,112:112)+100</f>
        <v>100</v>
      </c>
      <c r="G37" s="3306">
        <v>0.9</v>
      </c>
      <c r="H37" s="460">
        <f>LOOKUP(G37,111:111,112:112)-LOOKUP(C37,111:111,112:112)+100</f>
        <v>100</v>
      </c>
      <c r="I37" s="3306">
        <v>0.95</v>
      </c>
      <c r="J37" s="434">
        <f>LOOKUP(I37,111:111,112:112)-LOOKUP(C37,111:111,112:112)+100</f>
        <v>100</v>
      </c>
      <c r="K37" s="611">
        <v>1</v>
      </c>
      <c r="L37" s="1142"/>
      <c r="M37" s="1133"/>
      <c r="N37" s="1133"/>
      <c r="O37" s="1133"/>
      <c r="P37" s="3181"/>
      <c r="Q37" s="2954" t="str">
        <f t="shared" si="11"/>
        <v>成新度</v>
      </c>
      <c r="R37" s="773" t="s">
        <v>17</v>
      </c>
      <c r="S37" s="774">
        <f t="shared" si="12"/>
        <v>100</v>
      </c>
      <c r="T37" s="773" t="s">
        <v>17</v>
      </c>
      <c r="U37" s="774">
        <f t="shared" si="13"/>
        <v>100</v>
      </c>
      <c r="V37" s="773" t="s">
        <v>17</v>
      </c>
      <c r="W37" s="774">
        <f t="shared" si="14"/>
        <v>100</v>
      </c>
      <c r="X37" s="2951"/>
      <c r="Y37" s="3183"/>
      <c r="Z37" s="2952" t="str">
        <f t="shared" si="15"/>
        <v>成新度</v>
      </c>
      <c r="AA37" s="2955">
        <f t="shared" si="3"/>
        <v>1</v>
      </c>
      <c r="AB37" s="2955">
        <f t="shared" si="4"/>
        <v>1</v>
      </c>
      <c r="AC37" s="2680">
        <f t="shared" si="5"/>
        <v>1</v>
      </c>
    </row>
    <row r="38" spans="1:29" s="117" customFormat="1" ht="15">
      <c r="A38" s="472"/>
      <c r="B38" s="2950" t="s">
        <v>2698</v>
      </c>
      <c r="C38" s="459" t="s">
        <v>3079</v>
      </c>
      <c r="D38" s="135">
        <v>100</v>
      </c>
      <c r="E38" s="3305" t="s">
        <v>3079</v>
      </c>
      <c r="F38" s="460">
        <f>SUMIF(113:113,E38,114:114)-SUMIF(113:113,C38,114:114)+100</f>
        <v>100</v>
      </c>
      <c r="G38" s="3305" t="s">
        <v>3079</v>
      </c>
      <c r="H38" s="434">
        <f>SUMIF(113:113,G38,114:114)-SUMIF(113:113,C38,114:114)+100</f>
        <v>100</v>
      </c>
      <c r="I38" s="3305" t="s">
        <v>3079</v>
      </c>
      <c r="J38" s="434">
        <f>SUMIF(113:113,I38,114:114)-SUMIF(113:113,C38,114:114)+100</f>
        <v>100</v>
      </c>
      <c r="K38" s="611">
        <v>2</v>
      </c>
      <c r="L38" s="1134"/>
      <c r="M38" s="1135"/>
      <c r="N38" s="1135"/>
      <c r="O38" s="1135"/>
      <c r="P38" s="3181"/>
      <c r="Q38" s="2948" t="str">
        <f t="shared" si="11"/>
        <v>写字楼等级</v>
      </c>
      <c r="R38" s="769" t="s">
        <v>17</v>
      </c>
      <c r="S38" s="770">
        <f t="shared" si="12"/>
        <v>100</v>
      </c>
      <c r="T38" s="769" t="s">
        <v>17</v>
      </c>
      <c r="U38" s="770">
        <f t="shared" si="13"/>
        <v>100</v>
      </c>
      <c r="V38" s="769" t="s">
        <v>17</v>
      </c>
      <c r="W38" s="770">
        <f t="shared" si="14"/>
        <v>100</v>
      </c>
      <c r="X38" s="771"/>
      <c r="Y38" s="3183"/>
      <c r="Z38" s="2949" t="str">
        <f t="shared" si="15"/>
        <v>写字楼等级</v>
      </c>
      <c r="AA38" s="772">
        <f t="shared" si="3"/>
        <v>1</v>
      </c>
      <c r="AB38" s="772">
        <f t="shared" si="4"/>
        <v>1</v>
      </c>
      <c r="AC38" s="2677">
        <f t="shared" si="5"/>
        <v>1</v>
      </c>
    </row>
    <row r="39" spans="1:29" ht="15">
      <c r="A39" s="471"/>
      <c r="B39" s="2950" t="s">
        <v>2699</v>
      </c>
      <c r="C39" s="459" t="s">
        <v>3080</v>
      </c>
      <c r="D39" s="434">
        <v>100</v>
      </c>
      <c r="E39" s="3305" t="s">
        <v>3080</v>
      </c>
      <c r="F39" s="460">
        <f>SUMIF(115:115,E39,116:116)-SUMIF(115:115,C39,116:116)+100</f>
        <v>100</v>
      </c>
      <c r="G39" s="3305" t="s">
        <v>3080</v>
      </c>
      <c r="H39" s="434">
        <f>SUMIF(115:115,G39,116:116)-SUMIF(115:115,C39,116:116)+100</f>
        <v>100</v>
      </c>
      <c r="I39" s="3305" t="s">
        <v>3080</v>
      </c>
      <c r="J39" s="434">
        <f>SUMIF(115:115,I39,116:116)-SUMIF(115:115,C39,116:116)+100</f>
        <v>100</v>
      </c>
      <c r="K39" s="611">
        <v>2</v>
      </c>
      <c r="L39" s="1142"/>
      <c r="M39" s="1133"/>
      <c r="N39" s="1133"/>
      <c r="O39" s="1133"/>
      <c r="P39" s="3181" t="s">
        <v>2569</v>
      </c>
      <c r="Q39" s="2954" t="str">
        <f t="shared" si="11"/>
        <v>物业管理</v>
      </c>
      <c r="R39" s="773" t="s">
        <v>17</v>
      </c>
      <c r="S39" s="774">
        <f t="shared" si="12"/>
        <v>100</v>
      </c>
      <c r="T39" s="773" t="s">
        <v>17</v>
      </c>
      <c r="U39" s="774">
        <f t="shared" si="13"/>
        <v>100</v>
      </c>
      <c r="V39" s="773" t="s">
        <v>17</v>
      </c>
      <c r="W39" s="774">
        <f t="shared" si="14"/>
        <v>100</v>
      </c>
      <c r="X39" s="2951"/>
      <c r="Y39" s="3183" t="s">
        <v>2569</v>
      </c>
      <c r="Z39" s="2952" t="str">
        <f t="shared" si="15"/>
        <v>物业管理</v>
      </c>
      <c r="AA39" s="2955">
        <f t="shared" si="3"/>
        <v>1</v>
      </c>
      <c r="AB39" s="2955">
        <f t="shared" si="4"/>
        <v>1</v>
      </c>
      <c r="AC39" s="2680">
        <f t="shared" si="5"/>
        <v>1</v>
      </c>
    </row>
    <row r="40" spans="1:29" ht="15">
      <c r="A40" s="471"/>
      <c r="B40" s="2950" t="s">
        <v>2667</v>
      </c>
      <c r="C40" s="459" t="s">
        <v>3081</v>
      </c>
      <c r="D40" s="434">
        <v>100</v>
      </c>
      <c r="E40" s="3305" t="s">
        <v>3087</v>
      </c>
      <c r="F40" s="460">
        <f>SUMIF(117:117,E40,118:118)-SUMIF(117:117,C40,118:118)+100</f>
        <v>99</v>
      </c>
      <c r="G40" s="3305" t="s">
        <v>3087</v>
      </c>
      <c r="H40" s="434">
        <f>SUMIF(117:117,G40,118:118)-SUMIF(117:117,C40,118:118)+100</f>
        <v>99</v>
      </c>
      <c r="I40" s="3305" t="s">
        <v>3087</v>
      </c>
      <c r="J40" s="434">
        <f>SUMIF(117:117,I40,118:118)-SUMIF(117:117,C40,118:118)+100</f>
        <v>99</v>
      </c>
      <c r="K40" s="3292">
        <v>1</v>
      </c>
      <c r="L40" s="1142"/>
      <c r="M40" s="1133"/>
      <c r="N40" s="1133"/>
      <c r="O40" s="1133"/>
      <c r="P40" s="3181"/>
      <c r="Q40" s="2954" t="str">
        <f t="shared" si="11"/>
        <v>市政基础设施</v>
      </c>
      <c r="R40" s="773" t="s">
        <v>17</v>
      </c>
      <c r="S40" s="774">
        <f t="shared" si="12"/>
        <v>99</v>
      </c>
      <c r="T40" s="773" t="s">
        <v>17</v>
      </c>
      <c r="U40" s="774">
        <f t="shared" si="13"/>
        <v>99</v>
      </c>
      <c r="V40" s="773" t="s">
        <v>17</v>
      </c>
      <c r="W40" s="774">
        <f t="shared" si="14"/>
        <v>99</v>
      </c>
      <c r="X40" s="2951"/>
      <c r="Y40" s="3183"/>
      <c r="Z40" s="2952" t="str">
        <f t="shared" si="15"/>
        <v>市政基础设施</v>
      </c>
      <c r="AA40" s="2955">
        <f t="shared" si="3"/>
        <v>1.0101010101010102</v>
      </c>
      <c r="AB40" s="2955">
        <f t="shared" si="4"/>
        <v>1.0101010101010102</v>
      </c>
      <c r="AC40" s="2680">
        <f t="shared" si="5"/>
        <v>1.0101010101010102</v>
      </c>
    </row>
    <row r="41" spans="1:29" ht="15">
      <c r="A41" s="471"/>
      <c r="B41" s="2950" t="s">
        <v>2669</v>
      </c>
      <c r="C41" s="615" t="s">
        <v>3082</v>
      </c>
      <c r="D41" s="434">
        <v>100</v>
      </c>
      <c r="E41" s="3301" t="s">
        <v>3082</v>
      </c>
      <c r="F41" s="460">
        <f>SUMIF(119:119,E41,120:120)-SUMIF(119:119,C41,120:120)+100</f>
        <v>100</v>
      </c>
      <c r="G41" s="3301" t="s">
        <v>3082</v>
      </c>
      <c r="H41" s="434">
        <f>SUMIF(119:119,G41,120:120)-SUMIF(119:119,C41,120:120)+100</f>
        <v>100</v>
      </c>
      <c r="I41" s="3301" t="s">
        <v>3082</v>
      </c>
      <c r="J41" s="434">
        <f>SUMIF(119:119,I41,120:120)-SUMIF(119:119,C41,120:120)+100</f>
        <v>100</v>
      </c>
      <c r="K41" s="611">
        <v>2</v>
      </c>
      <c r="L41" s="1142"/>
      <c r="M41" s="1133"/>
      <c r="N41" s="1133"/>
      <c r="O41" s="1133"/>
      <c r="P41" s="3181"/>
      <c r="Q41" s="2954" t="str">
        <f t="shared" si="11"/>
        <v>层高</v>
      </c>
      <c r="R41" s="773" t="s">
        <v>17</v>
      </c>
      <c r="S41" s="774">
        <f t="shared" si="12"/>
        <v>100</v>
      </c>
      <c r="T41" s="773" t="s">
        <v>17</v>
      </c>
      <c r="U41" s="774">
        <f t="shared" si="13"/>
        <v>100</v>
      </c>
      <c r="V41" s="773" t="s">
        <v>17</v>
      </c>
      <c r="W41" s="774">
        <f t="shared" si="14"/>
        <v>100</v>
      </c>
      <c r="X41" s="2951"/>
      <c r="Y41" s="3183"/>
      <c r="Z41" s="2952" t="str">
        <f t="shared" si="15"/>
        <v>层高</v>
      </c>
      <c r="AA41" s="2955">
        <f t="shared" si="3"/>
        <v>1</v>
      </c>
      <c r="AB41" s="2955">
        <f t="shared" si="4"/>
        <v>1</v>
      </c>
      <c r="AC41" s="2680">
        <f t="shared" si="5"/>
        <v>1</v>
      </c>
    </row>
    <row r="42" spans="1:29" s="470" customFormat="1" ht="15">
      <c r="A42" s="467"/>
      <c r="B42" s="2953" t="s">
        <v>2700</v>
      </c>
      <c r="C42" s="433"/>
      <c r="D42" s="434">
        <v>100</v>
      </c>
      <c r="E42" s="3307"/>
      <c r="F42" s="460">
        <f>SUMIF(121:121,E42,122:122)-SUMIF(121:121,C42,122:122)+100</f>
        <v>100</v>
      </c>
      <c r="G42" s="3307"/>
      <c r="H42" s="434">
        <f>SUMIF(121:121,G42,122:122)-SUMIF(121:121,C42,122:122)+100</f>
        <v>100</v>
      </c>
      <c r="I42" s="3307"/>
      <c r="J42" s="434">
        <f>SUMIF(121:121,I42,122:122)-SUMIF(121:121,C42,122:122)+100</f>
        <v>100</v>
      </c>
      <c r="K42" s="612"/>
      <c r="L42" s="1140"/>
      <c r="M42" s="1143"/>
      <c r="N42" s="1143"/>
      <c r="O42" s="1143"/>
      <c r="P42" s="3181"/>
      <c r="Q42" s="775" t="str">
        <f t="shared" si="11"/>
        <v>单套建筑面积</v>
      </c>
      <c r="R42" s="776" t="s">
        <v>17</v>
      </c>
      <c r="S42" s="777">
        <f t="shared" si="12"/>
        <v>100</v>
      </c>
      <c r="T42" s="776" t="s">
        <v>17</v>
      </c>
      <c r="U42" s="777">
        <f t="shared" si="13"/>
        <v>100</v>
      </c>
      <c r="V42" s="776" t="s">
        <v>17</v>
      </c>
      <c r="W42" s="777">
        <f t="shared" si="14"/>
        <v>100</v>
      </c>
      <c r="X42" s="778"/>
      <c r="Y42" s="3183"/>
      <c r="Z42" s="779" t="str">
        <f t="shared" si="15"/>
        <v>单套建筑面积</v>
      </c>
      <c r="AA42" s="2955">
        <f t="shared" si="3"/>
        <v>1</v>
      </c>
      <c r="AB42" s="2955">
        <f t="shared" si="4"/>
        <v>1</v>
      </c>
      <c r="AC42" s="2680">
        <f t="shared" si="5"/>
        <v>1</v>
      </c>
    </row>
    <row r="43" spans="1:29" ht="15">
      <c r="A43" s="471"/>
      <c r="B43" s="2950" t="s">
        <v>2672</v>
      </c>
      <c r="C43" s="459" t="s">
        <v>3083</v>
      </c>
      <c r="D43" s="434">
        <v>100</v>
      </c>
      <c r="E43" s="3305" t="s">
        <v>3088</v>
      </c>
      <c r="F43" s="460">
        <f>SUMIF(123:123,E43,124:124)-SUMIF(123:123,C43,124:124)+100</f>
        <v>101</v>
      </c>
      <c r="G43" s="3305" t="s">
        <v>3078</v>
      </c>
      <c r="H43" s="434">
        <f>SUMIF(123:123,G43,124:124)-SUMIF(123:123,C43,124:124)+100</f>
        <v>102</v>
      </c>
      <c r="I43" s="3305" t="s">
        <v>3088</v>
      </c>
      <c r="J43" s="434">
        <f>SUMIF(123:123,I43,124:124)-SUMIF(123:123,C43,124:124)+100</f>
        <v>101</v>
      </c>
      <c r="K43" s="611">
        <v>1</v>
      </c>
      <c r="L43" s="1142"/>
      <c r="M43" s="1133"/>
      <c r="N43" s="1133"/>
      <c r="O43" s="1133"/>
      <c r="P43" s="3181"/>
      <c r="Q43" s="2954" t="str">
        <f t="shared" si="11"/>
        <v>内部装修</v>
      </c>
      <c r="R43" s="773" t="s">
        <v>17</v>
      </c>
      <c r="S43" s="774">
        <f t="shared" si="12"/>
        <v>101</v>
      </c>
      <c r="T43" s="773" t="s">
        <v>17</v>
      </c>
      <c r="U43" s="774">
        <f t="shared" si="13"/>
        <v>102</v>
      </c>
      <c r="V43" s="773" t="s">
        <v>17</v>
      </c>
      <c r="W43" s="774">
        <f t="shared" si="14"/>
        <v>101</v>
      </c>
      <c r="X43" s="2951"/>
      <c r="Y43" s="3183"/>
      <c r="Z43" s="2952" t="str">
        <f t="shared" si="15"/>
        <v>内部装修</v>
      </c>
      <c r="AA43" s="2955">
        <f t="shared" si="3"/>
        <v>0.99009900990099009</v>
      </c>
      <c r="AB43" s="2955">
        <f t="shared" si="4"/>
        <v>0.98039215686274506</v>
      </c>
      <c r="AC43" s="2680">
        <f t="shared" si="5"/>
        <v>0.99009900990099009</v>
      </c>
    </row>
    <row r="44" spans="1:29" ht="15">
      <c r="A44" s="471"/>
      <c r="B44" s="2950" t="s">
        <v>2580</v>
      </c>
      <c r="C44" s="459" t="s">
        <v>3084</v>
      </c>
      <c r="D44" s="434">
        <v>100</v>
      </c>
      <c r="E44" s="3308" t="s">
        <v>3119</v>
      </c>
      <c r="F44" s="460">
        <f>SUMIF(125:125,E44,126:126)-SUMIF(125:125,C44,126:126)+100</f>
        <v>100</v>
      </c>
      <c r="G44" s="3308" t="s">
        <v>3119</v>
      </c>
      <c r="H44" s="434">
        <f>SUMIF(125:125,G44,126:126)-SUMIF(125:125,C44,126:126)+100</f>
        <v>100</v>
      </c>
      <c r="I44" s="3308" t="s">
        <v>3119</v>
      </c>
      <c r="J44" s="434">
        <f>SUMIF(125:125,I44,126:126)-SUMIF(125:125,C44,126:126)+100</f>
        <v>100</v>
      </c>
      <c r="K44" s="611">
        <v>2</v>
      </c>
      <c r="L44" s="1142"/>
      <c r="M44" s="1133"/>
      <c r="N44" s="1133"/>
      <c r="O44" s="1133"/>
      <c r="P44" s="3181"/>
      <c r="Q44" s="2954" t="str">
        <f t="shared" si="11"/>
        <v>内部装修维护情况</v>
      </c>
      <c r="R44" s="773" t="s">
        <v>17</v>
      </c>
      <c r="S44" s="774">
        <f t="shared" si="12"/>
        <v>100</v>
      </c>
      <c r="T44" s="773" t="s">
        <v>17</v>
      </c>
      <c r="U44" s="774">
        <f t="shared" si="13"/>
        <v>100</v>
      </c>
      <c r="V44" s="773" t="s">
        <v>17</v>
      </c>
      <c r="W44" s="774">
        <f t="shared" si="14"/>
        <v>100</v>
      </c>
      <c r="X44" s="2951"/>
      <c r="Y44" s="3183"/>
      <c r="Z44" s="2952" t="str">
        <f t="shared" si="15"/>
        <v>内部装修维护情况</v>
      </c>
      <c r="AA44" s="2955">
        <f t="shared" si="3"/>
        <v>1</v>
      </c>
      <c r="AB44" s="2955">
        <f t="shared" si="4"/>
        <v>1</v>
      </c>
      <c r="AC44" s="2680">
        <f t="shared" si="5"/>
        <v>1</v>
      </c>
    </row>
    <row r="45" spans="1:29" s="117" customFormat="1" ht="15">
      <c r="A45" s="472"/>
      <c r="B45" s="3291" t="s">
        <v>3091</v>
      </c>
      <c r="C45" s="468" t="s">
        <v>3085</v>
      </c>
      <c r="D45" s="135">
        <v>100</v>
      </c>
      <c r="E45" s="3309" t="s">
        <v>3108</v>
      </c>
      <c r="F45" s="424">
        <f>SUMIF(127:127,E45,128:128)-SUMIF(127:127,C45,128:128)+100</f>
        <v>97</v>
      </c>
      <c r="G45" s="3309" t="s">
        <v>3108</v>
      </c>
      <c r="H45" s="135">
        <f>SUMIF(127:127,G45,128:128)-SUMIF(127:127,C45,128:128)+100</f>
        <v>97</v>
      </c>
      <c r="I45" s="3309" t="s">
        <v>3108</v>
      </c>
      <c r="J45" s="135">
        <f>SUMIF(127:127,I45,128:128)-SUMIF(127:127,C45,128:128)+100</f>
        <v>97</v>
      </c>
      <c r="K45" s="612"/>
      <c r="L45" s="1134"/>
      <c r="M45" s="1135"/>
      <c r="N45" s="1135"/>
      <c r="O45" s="1135"/>
      <c r="P45" s="3181"/>
      <c r="Q45" s="2948" t="str">
        <f t="shared" si="11"/>
        <v>智能环保系统</v>
      </c>
      <c r="R45" s="769" t="s">
        <v>17</v>
      </c>
      <c r="S45" s="770">
        <f t="shared" si="12"/>
        <v>97</v>
      </c>
      <c r="T45" s="769" t="s">
        <v>17</v>
      </c>
      <c r="U45" s="770">
        <f t="shared" si="13"/>
        <v>97</v>
      </c>
      <c r="V45" s="769" t="s">
        <v>17</v>
      </c>
      <c r="W45" s="770">
        <f t="shared" si="14"/>
        <v>97</v>
      </c>
      <c r="X45" s="771"/>
      <c r="Y45" s="3183"/>
      <c r="Z45" s="2949" t="str">
        <f t="shared" si="15"/>
        <v>智能环保系统</v>
      </c>
      <c r="AA45" s="772">
        <f t="shared" si="3"/>
        <v>1.0309278350515463</v>
      </c>
      <c r="AB45" s="772">
        <f t="shared" si="4"/>
        <v>1.0309278350515463</v>
      </c>
      <c r="AC45" s="2677">
        <f t="shared" si="5"/>
        <v>1.0309278350515463</v>
      </c>
    </row>
    <row r="46" spans="1:29" ht="15">
      <c r="A46" s="471"/>
      <c r="B46" s="3291" t="s">
        <v>3092</v>
      </c>
      <c r="C46" s="3289" t="s">
        <v>3086</v>
      </c>
      <c r="D46" s="434">
        <v>100</v>
      </c>
      <c r="E46" s="3310" t="s">
        <v>3090</v>
      </c>
      <c r="F46" s="460">
        <f>SUMIF(129:129,E46,130:130)-SUMIF(129:129,C46,130:130)+100</f>
        <v>98</v>
      </c>
      <c r="G46" s="3310" t="s">
        <v>3086</v>
      </c>
      <c r="H46" s="434">
        <f>SUMIF(129:129,G46,130:130)-SUMIF(129:129,C46,130:130)+100</f>
        <v>100</v>
      </c>
      <c r="I46" s="3310" t="s">
        <v>3090</v>
      </c>
      <c r="J46" s="434">
        <f>SUMIF(129:129,I46,130:130)-SUMIF(129:129,C46,130:130)+100</f>
        <v>98</v>
      </c>
      <c r="K46" s="612"/>
      <c r="L46" s="1142"/>
      <c r="M46" s="1133"/>
      <c r="N46" s="1133"/>
      <c r="O46" s="1133"/>
      <c r="P46" s="3181"/>
      <c r="Q46" s="2954" t="str">
        <f t="shared" si="11"/>
        <v>建筑品质</v>
      </c>
      <c r="R46" s="773" t="s">
        <v>17</v>
      </c>
      <c r="S46" s="774">
        <f t="shared" si="12"/>
        <v>98</v>
      </c>
      <c r="T46" s="773" t="s">
        <v>17</v>
      </c>
      <c r="U46" s="774">
        <f t="shared" si="13"/>
        <v>100</v>
      </c>
      <c r="V46" s="773" t="s">
        <v>17</v>
      </c>
      <c r="W46" s="774">
        <f t="shared" si="14"/>
        <v>98</v>
      </c>
      <c r="X46" s="2951"/>
      <c r="Y46" s="3183"/>
      <c r="Z46" s="2952" t="str">
        <f t="shared" si="15"/>
        <v>建筑品质</v>
      </c>
      <c r="AA46" s="2955">
        <f t="shared" si="3"/>
        <v>1.0204081632653061</v>
      </c>
      <c r="AB46" s="2955">
        <f t="shared" si="4"/>
        <v>1</v>
      </c>
      <c r="AC46" s="2680">
        <f t="shared" si="5"/>
        <v>1.0204081632653061</v>
      </c>
    </row>
    <row r="47" spans="1:29" ht="15.75" thickBot="1">
      <c r="A47" s="477"/>
      <c r="B47" s="260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82"/>
      <c r="Q47" s="2954">
        <f t="shared" si="11"/>
        <v>111</v>
      </c>
      <c r="R47" s="773" t="s">
        <v>17</v>
      </c>
      <c r="S47" s="774">
        <f t="shared" si="12"/>
        <v>100</v>
      </c>
      <c r="T47" s="773" t="s">
        <v>17</v>
      </c>
      <c r="U47" s="774">
        <f t="shared" si="13"/>
        <v>100</v>
      </c>
      <c r="V47" s="773" t="s">
        <v>17</v>
      </c>
      <c r="W47" s="774">
        <f t="shared" si="14"/>
        <v>100</v>
      </c>
      <c r="X47" s="2951"/>
      <c r="Y47" s="3184"/>
      <c r="Z47" s="2952">
        <f t="shared" si="15"/>
        <v>111</v>
      </c>
      <c r="AA47" s="2955">
        <f t="shared" si="3"/>
        <v>1</v>
      </c>
      <c r="AB47" s="2955">
        <f t="shared" si="4"/>
        <v>1</v>
      </c>
      <c r="AC47" s="2680">
        <f t="shared" si="5"/>
        <v>1</v>
      </c>
    </row>
    <row r="48" spans="1:29" ht="15">
      <c r="A48" s="478" t="s">
        <v>2581</v>
      </c>
      <c r="B48" s="479"/>
      <c r="C48" s="1409" t="s">
        <v>1</v>
      </c>
      <c r="D48" s="1410"/>
      <c r="E48" s="1411">
        <v>5</v>
      </c>
      <c r="F48" s="1412"/>
      <c r="G48" s="1413">
        <v>5.5</v>
      </c>
      <c r="H48" s="1414"/>
      <c r="I48" s="1411">
        <v>5</v>
      </c>
      <c r="J48" s="484"/>
      <c r="K48" s="782"/>
      <c r="L48" s="1145"/>
      <c r="M48" s="1133"/>
      <c r="N48" s="1133"/>
      <c r="O48" s="1133"/>
      <c r="P48" s="3187" t="str">
        <f>A48</f>
        <v>成交单价（元/平方米）</v>
      </c>
      <c r="Q48" s="3176"/>
      <c r="R48" s="3177">
        <f>E48</f>
        <v>5</v>
      </c>
      <c r="S48" s="3177"/>
      <c r="T48" s="3177">
        <f>G48</f>
        <v>5.5</v>
      </c>
      <c r="U48" s="3177"/>
      <c r="V48" s="3177">
        <f>I48</f>
        <v>5</v>
      </c>
      <c r="W48" s="3177"/>
      <c r="X48" s="445"/>
      <c r="Y48" s="780"/>
      <c r="Z48" s="445"/>
      <c r="AA48" s="445"/>
      <c r="AB48" s="445"/>
      <c r="AC48" s="629"/>
    </row>
    <row r="49" spans="1:29" ht="15.75" thickBot="1">
      <c r="A49" s="485" t="s">
        <v>2582</v>
      </c>
      <c r="B49" s="486"/>
      <c r="C49" s="1415">
        <f>R50</f>
        <v>5.5</v>
      </c>
      <c r="D49" s="1416"/>
      <c r="E49" s="1417">
        <f>R49</f>
        <v>5.4</v>
      </c>
      <c r="F49" s="1417"/>
      <c r="G49" s="1415">
        <f>T49</f>
        <v>5.8</v>
      </c>
      <c r="H49" s="1416"/>
      <c r="I49" s="1417">
        <f>V49</f>
        <v>5.4</v>
      </c>
      <c r="J49" s="488"/>
      <c r="K49" s="783"/>
      <c r="L49" s="1145"/>
      <c r="M49" s="1133"/>
      <c r="N49" s="1133"/>
      <c r="O49" s="1133"/>
      <c r="P49" s="3187" t="str">
        <f>A49</f>
        <v>比较价值（元/平方米）</v>
      </c>
      <c r="Q49" s="3176"/>
      <c r="R49" s="3177">
        <f>IF(F1="售价",ROUND(PRODUCT(R48,AA7:AA47),0),ROUND(PRODUCT(R48,AA7:AA47),1))</f>
        <v>5.4</v>
      </c>
      <c r="S49" s="3177"/>
      <c r="T49" s="3177">
        <f>IF(F1="售价",ROUND(PRODUCT(T48,AB7:AB47),0),ROUND(PRODUCT(T48,AB7:AB47),1))</f>
        <v>5.8</v>
      </c>
      <c r="U49" s="3177"/>
      <c r="V49" s="3177">
        <f>IF(F1="售价",ROUND(PRODUCT(V48,AC7:AC47),0),ROUND(PRODUCT(V48,AC7:AC47),1))</f>
        <v>5.4</v>
      </c>
      <c r="W49" s="3177"/>
      <c r="X49" s="445"/>
      <c r="Y49" s="445"/>
      <c r="Z49" s="445"/>
      <c r="AA49" s="445"/>
      <c r="AB49" s="445"/>
      <c r="AC49" s="629"/>
    </row>
    <row r="50" spans="1:29" ht="15.75" thickBot="1">
      <c r="A50" s="491" t="s">
        <v>2583</v>
      </c>
      <c r="B50" s="492"/>
      <c r="C50" s="1419">
        <f>R50</f>
        <v>5.5</v>
      </c>
      <c r="D50" s="1419"/>
      <c r="E50" s="1419"/>
      <c r="F50" s="1419"/>
      <c r="G50" s="1419"/>
      <c r="H50" s="1419"/>
      <c r="I50" s="1419"/>
      <c r="J50" s="493"/>
      <c r="K50" s="784"/>
      <c r="L50" s="1145"/>
      <c r="M50" s="1133"/>
      <c r="N50" s="1133"/>
      <c r="O50" s="1133"/>
      <c r="P50" s="3219" t="str">
        <f>A50</f>
        <v>估价对象XX用房的比较价值（楼面单价，元/平方米）</v>
      </c>
      <c r="Q50" s="3220"/>
      <c r="R50" s="3221">
        <f>IF(F1="售价",ROUND(AVERAGE(R49:V49),0),ROUND(AVERAGE(R49:V49),1))</f>
        <v>5.5</v>
      </c>
      <c r="S50" s="3221"/>
      <c r="T50" s="3221"/>
      <c r="U50" s="3221"/>
      <c r="V50" s="3221"/>
      <c r="W50" s="3221"/>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2584</v>
      </c>
      <c r="D53" s="497"/>
      <c r="E53" s="498">
        <f>IF(E48&lt;E49,E49/E48-1,E48/E49-1)</f>
        <v>8.0000000000000071E-2</v>
      </c>
      <c r="F53" s="499" t="str">
        <f>IF(OR(E53&gt;=0.3,E53&lt;=-0.3),"超过30%","")</f>
        <v/>
      </c>
      <c r="G53" s="498">
        <f>IF(G48&lt;G49,G49/G48-1,G48/G49-1)</f>
        <v>5.4545454545454453E-2</v>
      </c>
      <c r="H53" s="499" t="str">
        <f>IF(OR(G53&gt;=0.3,G53&lt;=-0.3),"超过30%","")</f>
        <v/>
      </c>
      <c r="I53" s="498">
        <f>IF(I48&lt;I49,I49/I48-1,I48/I49-1)</f>
        <v>8.0000000000000071E-2</v>
      </c>
      <c r="J53" s="499" t="str">
        <f>IF(OR(I53&gt;=0.3,I53&lt;=-0.3),"超过30%","")</f>
        <v/>
      </c>
      <c r="K53" s="1107"/>
      <c r="L53" s="1108"/>
      <c r="M53" s="1146"/>
      <c r="N53" s="1146"/>
      <c r="O53" s="1146"/>
    </row>
    <row r="54" spans="1:29" ht="13.5" customHeight="1">
      <c r="A54" s="1146"/>
      <c r="B54" s="1146"/>
      <c r="C54" s="496" t="s">
        <v>2585</v>
      </c>
      <c r="D54" s="500"/>
      <c r="E54" s="498">
        <f>IF(E49&lt;G49,G49/E49-1,E49/G49-1)</f>
        <v>7.4074074074073959E-2</v>
      </c>
      <c r="F54" s="499" t="str">
        <f>IF(OR(E54&gt;=0.2,E54&lt;=-0.2),"超过20%","")</f>
        <v/>
      </c>
      <c r="G54" s="498">
        <f>IF(G49&lt;I49,I49/G49-1,G49/I49-1)</f>
        <v>7.4074074074073959E-2</v>
      </c>
      <c r="H54" s="499" t="str">
        <f>IF(OR(G54&gt;=0.2,G54&lt;=-0.2),"超过20%","")</f>
        <v/>
      </c>
      <c r="I54" s="498">
        <f>IF(I49&lt;E49,E49/I49-1,I49/E49-1)</f>
        <v>0</v>
      </c>
      <c r="J54" s="499" t="str">
        <f>IF(OR(I54&gt;=0.2,I54&lt;=-0.2),"超过20%","")</f>
        <v/>
      </c>
      <c r="K54" s="1107"/>
      <c r="L54" s="1108"/>
      <c r="M54" s="1146"/>
      <c r="N54" s="1146"/>
      <c r="O54" s="1146"/>
    </row>
    <row r="55" spans="1:29" s="501" customFormat="1" ht="13.5" customHeight="1">
      <c r="A55" s="1147"/>
      <c r="B55" s="1147"/>
      <c r="C55" s="496" t="s">
        <v>2586</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50"/>
      <c r="L55" s="1151"/>
      <c r="M55" s="1147"/>
      <c r="N55" s="1147"/>
      <c r="O55" s="1147"/>
      <c r="P55" s="2686"/>
    </row>
    <row r="56" spans="1:29" s="501"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2587</v>
      </c>
      <c r="B58" s="758"/>
      <c r="C58" s="763"/>
      <c r="D58" s="763"/>
      <c r="E58" s="763"/>
      <c r="F58" s="764"/>
      <c r="G58" s="764"/>
      <c r="H58" s="763"/>
      <c r="I58" s="763"/>
      <c r="J58" s="763"/>
      <c r="K58" s="765"/>
      <c r="L58" s="1163"/>
      <c r="M58" s="1161"/>
      <c r="N58" s="1161"/>
      <c r="O58" s="1161"/>
      <c r="P58" s="2687"/>
      <c r="Q58" s="503"/>
    </row>
    <row r="59" spans="1:29" s="507" customFormat="1" ht="15">
      <c r="A59" s="504" t="s">
        <v>2552</v>
      </c>
      <c r="B59" s="505"/>
      <c r="C59" s="1576" t="str">
        <f>YEAR(C7)&amp;"-"&amp;MONTH(C7)</f>
        <v>2018-9</v>
      </c>
      <c r="D59" s="1577">
        <f>EDATE(C59,-1)</f>
        <v>43313</v>
      </c>
      <c r="E59" s="1577">
        <f>EDATE(D59,-1)</f>
        <v>43282</v>
      </c>
      <c r="F59" s="1577">
        <f t="shared" ref="F59:O59" si="16">EDATE(E59,-1)</f>
        <v>43252</v>
      </c>
      <c r="G59" s="1577">
        <f t="shared" si="16"/>
        <v>43221</v>
      </c>
      <c r="H59" s="1577">
        <f t="shared" si="16"/>
        <v>43191</v>
      </c>
      <c r="I59" s="1577">
        <f t="shared" si="16"/>
        <v>43160</v>
      </c>
      <c r="J59" s="1577">
        <f t="shared" si="16"/>
        <v>43132</v>
      </c>
      <c r="K59" s="1577">
        <f t="shared" si="16"/>
        <v>43101</v>
      </c>
      <c r="L59" s="1577">
        <f t="shared" si="16"/>
        <v>43070</v>
      </c>
      <c r="M59" s="1577">
        <f t="shared" si="16"/>
        <v>43040</v>
      </c>
      <c r="N59" s="1577">
        <f t="shared" si="16"/>
        <v>43009</v>
      </c>
      <c r="O59" s="1577">
        <f t="shared" si="16"/>
        <v>42979</v>
      </c>
      <c r="P59" s="1573"/>
    </row>
    <row r="60" spans="1:29" s="117" customFormat="1" ht="15">
      <c r="A60" s="508"/>
      <c r="B60" s="509"/>
      <c r="C60" s="1575">
        <v>100</v>
      </c>
      <c r="D60" s="511"/>
      <c r="E60" s="511"/>
      <c r="F60" s="511"/>
      <c r="G60" s="511"/>
      <c r="H60" s="511"/>
      <c r="I60" s="511"/>
      <c r="J60" s="511"/>
      <c r="K60" s="511"/>
      <c r="L60" s="511"/>
      <c r="M60" s="512"/>
      <c r="N60" s="511"/>
      <c r="O60" s="512"/>
      <c r="P60" s="2688"/>
    </row>
    <row r="61" spans="1:29" s="117" customFormat="1" ht="15.75" thickBot="1">
      <c r="A61" s="514" t="s">
        <v>2589</v>
      </c>
      <c r="B61" s="515"/>
      <c r="C61" s="516"/>
      <c r="D61" s="517"/>
      <c r="E61" s="517"/>
      <c r="F61" s="517"/>
      <c r="G61" s="517"/>
      <c r="H61" s="517"/>
      <c r="I61" s="517"/>
      <c r="J61" s="517"/>
      <c r="K61" s="517"/>
      <c r="L61" s="517"/>
      <c r="M61" s="518"/>
      <c r="N61" s="517"/>
      <c r="O61" s="518"/>
      <c r="P61" s="2688"/>
      <c r="Q61" s="503"/>
    </row>
    <row r="62" spans="1:29" s="117" customFormat="1" ht="15">
      <c r="A62" s="520" t="s">
        <v>2554</v>
      </c>
      <c r="B62" s="509"/>
      <c r="C62" s="521" t="s">
        <v>2591</v>
      </c>
      <c r="D62" s="522"/>
      <c r="E62" s="522"/>
      <c r="F62" s="522"/>
      <c r="G62" s="522"/>
      <c r="H62" s="522"/>
      <c r="I62" s="522"/>
      <c r="J62" s="522"/>
      <c r="K62" s="522"/>
      <c r="L62" s="523"/>
      <c r="M62" s="524"/>
      <c r="N62" s="1153"/>
      <c r="O62" s="1153"/>
      <c r="P62" s="2689"/>
      <c r="Q62" s="503"/>
    </row>
    <row r="63" spans="1:29" s="117" customFormat="1" ht="15.75" thickBot="1">
      <c r="A63" s="520"/>
      <c r="B63" s="509"/>
      <c r="C63" s="510">
        <v>100</v>
      </c>
      <c r="D63" s="511"/>
      <c r="E63" s="511"/>
      <c r="F63" s="511"/>
      <c r="G63" s="511"/>
      <c r="H63" s="511"/>
      <c r="I63" s="511"/>
      <c r="J63" s="511"/>
      <c r="K63" s="511"/>
      <c r="L63" s="511"/>
      <c r="M63" s="513"/>
      <c r="N63" s="1153"/>
      <c r="O63" s="1153"/>
      <c r="P63" s="2688"/>
      <c r="Q63" s="503"/>
    </row>
    <row r="64" spans="1:29">
      <c r="A64" s="526" t="s">
        <v>2592</v>
      </c>
      <c r="B64" s="527" t="s">
        <v>2558</v>
      </c>
      <c r="C64" s="528" t="str">
        <f>C9</f>
        <v>办公</v>
      </c>
      <c r="D64" s="529"/>
      <c r="E64" s="529"/>
      <c r="F64" s="529"/>
      <c r="G64" s="529"/>
      <c r="H64" s="529"/>
      <c r="I64" s="529"/>
      <c r="J64" s="529"/>
      <c r="K64" s="530"/>
      <c r="L64" s="531"/>
      <c r="M64" s="532"/>
      <c r="N64" s="1154"/>
      <c r="O64" s="1154"/>
      <c r="P64" s="2690"/>
      <c r="Q64" s="503"/>
    </row>
    <row r="65" spans="1:17" ht="15.75" thickBot="1">
      <c r="A65" s="533"/>
      <c r="B65" s="534"/>
      <c r="C65" s="535">
        <v>100</v>
      </c>
      <c r="D65" s="535"/>
      <c r="E65" s="535"/>
      <c r="F65" s="535"/>
      <c r="G65" s="535"/>
      <c r="H65" s="535"/>
      <c r="I65" s="535"/>
      <c r="J65" s="535"/>
      <c r="K65" s="535"/>
      <c r="L65" s="535"/>
      <c r="M65" s="536"/>
      <c r="N65" s="1155"/>
      <c r="O65" s="1155"/>
      <c r="P65" s="2690"/>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90"/>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90"/>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90"/>
      <c r="Q68" s="503"/>
    </row>
    <row r="69" spans="1:17" ht="15">
      <c r="A69" s="533"/>
      <c r="B69" s="547"/>
      <c r="C69" s="548">
        <v>0</v>
      </c>
      <c r="D69" s="548">
        <v>1</v>
      </c>
      <c r="E69" s="548">
        <v>2</v>
      </c>
      <c r="F69" s="548">
        <v>3</v>
      </c>
      <c r="G69" s="548"/>
      <c r="H69" s="548"/>
      <c r="I69" s="548"/>
      <c r="J69" s="548"/>
      <c r="K69" s="549"/>
      <c r="L69" s="550"/>
      <c r="M69" s="551"/>
      <c r="N69" s="1154"/>
      <c r="O69" s="1154"/>
      <c r="P69" s="269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90"/>
      <c r="Q70" s="503"/>
    </row>
    <row r="71" spans="1:17" s="470" customFormat="1" ht="15.75" thickTop="1">
      <c r="A71" s="552"/>
      <c r="B71" s="537">
        <f>B12</f>
        <v>111</v>
      </c>
      <c r="C71" s="553"/>
      <c r="D71" s="553"/>
      <c r="E71" s="553"/>
      <c r="F71" s="553"/>
      <c r="G71" s="553"/>
      <c r="H71" s="554"/>
      <c r="I71" s="554"/>
      <c r="J71" s="554"/>
      <c r="K71" s="554"/>
      <c r="L71" s="555"/>
      <c r="M71" s="556"/>
      <c r="N71" s="1156"/>
      <c r="O71" s="1156"/>
      <c r="P71" s="2691"/>
      <c r="Q71" s="558"/>
    </row>
    <row r="72" spans="1:17" s="470" customFormat="1" ht="15.75" thickBot="1">
      <c r="A72" s="552"/>
      <c r="B72" s="542"/>
      <c r="C72" s="559"/>
      <c r="D72" s="535"/>
      <c r="E72" s="535"/>
      <c r="F72" s="535"/>
      <c r="G72" s="535"/>
      <c r="H72" s="535"/>
      <c r="I72" s="535"/>
      <c r="J72" s="535"/>
      <c r="K72" s="535"/>
      <c r="L72" s="535"/>
      <c r="M72" s="536"/>
      <c r="N72" s="1155"/>
      <c r="O72" s="1155"/>
      <c r="P72" s="2691"/>
      <c r="Q72" s="558"/>
    </row>
    <row r="73" spans="1:17" s="470" customFormat="1" ht="15.75" thickTop="1">
      <c r="A73" s="552"/>
      <c r="B73" s="537">
        <f>B13</f>
        <v>111</v>
      </c>
      <c r="C73" s="553"/>
      <c r="D73" s="553"/>
      <c r="E73" s="553"/>
      <c r="F73" s="553"/>
      <c r="G73" s="553"/>
      <c r="H73" s="554"/>
      <c r="I73" s="554"/>
      <c r="J73" s="554"/>
      <c r="K73" s="554"/>
      <c r="L73" s="555"/>
      <c r="M73" s="556"/>
      <c r="N73" s="1156"/>
      <c r="O73" s="1156"/>
      <c r="P73" s="2692"/>
      <c r="Q73" s="560"/>
    </row>
    <row r="74" spans="1:17" s="470" customFormat="1" ht="15.75" thickBot="1">
      <c r="A74" s="552"/>
      <c r="B74" s="542"/>
      <c r="C74" s="559"/>
      <c r="D74" s="559"/>
      <c r="E74" s="559"/>
      <c r="F74" s="559"/>
      <c r="G74" s="559"/>
      <c r="H74" s="561"/>
      <c r="I74" s="561"/>
      <c r="J74" s="561"/>
      <c r="K74" s="561"/>
      <c r="L74" s="561"/>
      <c r="M74" s="562"/>
      <c r="N74" s="1156"/>
      <c r="O74" s="1156"/>
      <c r="P74" s="2691"/>
      <c r="Q74" s="558"/>
    </row>
    <row r="75" spans="1:17" s="470" customFormat="1" ht="15.75" thickTop="1">
      <c r="A75" s="552"/>
      <c r="B75" s="545">
        <f>B14</f>
        <v>111</v>
      </c>
      <c r="C75" s="522"/>
      <c r="D75" s="522"/>
      <c r="E75" s="522"/>
      <c r="F75" s="522"/>
      <c r="G75" s="522"/>
      <c r="H75" s="563"/>
      <c r="I75" s="563"/>
      <c r="J75" s="563"/>
      <c r="K75" s="563"/>
      <c r="L75" s="564"/>
      <c r="M75" s="565"/>
      <c r="N75" s="1156"/>
      <c r="O75" s="1156"/>
      <c r="P75" s="2693"/>
      <c r="Q75" s="558"/>
    </row>
    <row r="76" spans="1:17" s="470" customFormat="1" ht="15.75" thickBot="1">
      <c r="A76" s="567"/>
      <c r="B76" s="568"/>
      <c r="C76" s="569"/>
      <c r="D76" s="569"/>
      <c r="E76" s="569"/>
      <c r="F76" s="569"/>
      <c r="G76" s="569"/>
      <c r="H76" s="570"/>
      <c r="I76" s="570"/>
      <c r="J76" s="570"/>
      <c r="K76" s="570"/>
      <c r="L76" s="570"/>
      <c r="M76" s="571"/>
      <c r="N76" s="1156"/>
      <c r="O76" s="1156"/>
      <c r="P76" s="2691"/>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90"/>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9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90"/>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90"/>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90"/>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9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90"/>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9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90"/>
      <c r="Q86" s="503"/>
    </row>
    <row r="87" spans="1:17" s="117" customFormat="1" ht="27.75" thickTop="1">
      <c r="A87" s="578"/>
      <c r="B87" s="537" t="s">
        <v>2703</v>
      </c>
      <c r="C87" s="553" t="s">
        <v>3093</v>
      </c>
      <c r="D87" s="553" t="s">
        <v>3094</v>
      </c>
      <c r="E87" s="553" t="s">
        <v>3095</v>
      </c>
      <c r="F87" s="553" t="s">
        <v>3070</v>
      </c>
      <c r="G87" s="553" t="s">
        <v>3096</v>
      </c>
      <c r="H87" s="553"/>
      <c r="I87" s="553"/>
      <c r="J87" s="553"/>
      <c r="K87" s="553"/>
      <c r="L87" s="579"/>
      <c r="M87" s="580"/>
      <c r="N87" s="1153"/>
      <c r="O87" s="1153"/>
      <c r="P87" s="2690"/>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90"/>
      <c r="Q88" s="503"/>
    </row>
    <row r="89" spans="1:17" s="117" customFormat="1" ht="15.75" thickTop="1">
      <c r="A89" s="578"/>
      <c r="B89" s="537" t="str">
        <f>B27</f>
        <v>楼层</v>
      </c>
      <c r="C89" s="553" t="s">
        <v>3071</v>
      </c>
      <c r="D89" s="553" t="s">
        <v>3073</v>
      </c>
      <c r="E89" s="553" t="s">
        <v>3075</v>
      </c>
      <c r="F89" s="2641"/>
      <c r="G89" s="553"/>
      <c r="H89" s="553"/>
      <c r="I89" s="553"/>
      <c r="J89" s="553"/>
      <c r="K89" s="553"/>
      <c r="L89" s="553"/>
      <c r="M89" s="580"/>
      <c r="N89" s="1153"/>
      <c r="O89" s="1153"/>
      <c r="P89" s="2690"/>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90"/>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1"/>
      <c r="Q92" s="558"/>
    </row>
    <row r="93" spans="1:17" ht="15.75" thickTop="1">
      <c r="A93" s="533"/>
      <c r="B93" s="537">
        <f>B29</f>
        <v>111</v>
      </c>
      <c r="C93" s="553"/>
      <c r="D93" s="553"/>
      <c r="E93" s="553"/>
      <c r="F93" s="553"/>
      <c r="G93" s="553"/>
      <c r="H93" s="553"/>
      <c r="I93" s="553"/>
      <c r="J93" s="553"/>
      <c r="K93" s="553"/>
      <c r="L93" s="579"/>
      <c r="M93" s="580"/>
      <c r="N93" s="1154"/>
      <c r="O93" s="1154"/>
      <c r="P93" s="2690"/>
      <c r="Q93" s="503"/>
    </row>
    <row r="94" spans="1:17" ht="15.75" thickBot="1">
      <c r="A94" s="533"/>
      <c r="B94" s="542"/>
      <c r="C94" s="559"/>
      <c r="D94" s="535"/>
      <c r="E94" s="535"/>
      <c r="F94" s="535"/>
      <c r="G94" s="535"/>
      <c r="H94" s="535"/>
      <c r="I94" s="535"/>
      <c r="J94" s="535"/>
      <c r="K94" s="535"/>
      <c r="L94" s="535"/>
      <c r="M94" s="536"/>
      <c r="N94" s="1155"/>
      <c r="O94" s="1155"/>
      <c r="P94" s="2690"/>
      <c r="Q94" s="503"/>
    </row>
    <row r="95" spans="1:17" ht="15.75" thickTop="1">
      <c r="A95" s="533"/>
      <c r="B95" s="537">
        <f>B30</f>
        <v>111</v>
      </c>
      <c r="C95" s="553"/>
      <c r="D95" s="553"/>
      <c r="E95" s="553"/>
      <c r="F95" s="553"/>
      <c r="G95" s="582"/>
      <c r="H95" s="582"/>
      <c r="I95" s="582"/>
      <c r="J95" s="582"/>
      <c r="K95" s="583"/>
      <c r="L95" s="584"/>
      <c r="M95" s="585"/>
      <c r="N95" s="1154"/>
      <c r="O95" s="1154"/>
      <c r="P95" s="2690"/>
      <c r="Q95" s="503"/>
    </row>
    <row r="96" spans="1:17" ht="15.75" thickBot="1">
      <c r="A96" s="533"/>
      <c r="B96" s="542"/>
      <c r="C96" s="559"/>
      <c r="D96" s="559"/>
      <c r="E96" s="559"/>
      <c r="F96" s="559"/>
      <c r="G96" s="535"/>
      <c r="H96" s="535"/>
      <c r="I96" s="535"/>
      <c r="J96" s="535"/>
      <c r="K96" s="535"/>
      <c r="L96" s="535"/>
      <c r="M96" s="536"/>
      <c r="N96" s="1155"/>
      <c r="O96" s="1155"/>
      <c r="P96" s="2690"/>
      <c r="Q96" s="503"/>
    </row>
    <row r="97" spans="1:17" ht="15.75" thickTop="1">
      <c r="A97" s="533"/>
      <c r="B97" s="537">
        <f>B31</f>
        <v>111</v>
      </c>
      <c r="C97" s="553"/>
      <c r="D97" s="553"/>
      <c r="E97" s="553"/>
      <c r="F97" s="553"/>
      <c r="G97" s="582"/>
      <c r="H97" s="582"/>
      <c r="I97" s="582"/>
      <c r="J97" s="582"/>
      <c r="K97" s="583"/>
      <c r="L97" s="584"/>
      <c r="M97" s="585"/>
      <c r="N97" s="1154"/>
      <c r="O97" s="1154"/>
      <c r="P97" s="2690"/>
      <c r="Q97" s="503"/>
    </row>
    <row r="98" spans="1:17" ht="15.75" thickBot="1">
      <c r="A98" s="533"/>
      <c r="B98" s="542"/>
      <c r="C98" s="559"/>
      <c r="D98" s="535"/>
      <c r="E98" s="535"/>
      <c r="F98" s="535"/>
      <c r="G98" s="535"/>
      <c r="H98" s="535"/>
      <c r="I98" s="535"/>
      <c r="J98" s="535"/>
      <c r="K98" s="535"/>
      <c r="L98" s="535"/>
      <c r="M98" s="536"/>
      <c r="N98" s="1155"/>
      <c r="O98" s="1155"/>
      <c r="P98" s="2690"/>
      <c r="Q98" s="503"/>
    </row>
    <row r="99" spans="1:17" ht="15.75" thickTop="1">
      <c r="A99" s="533"/>
      <c r="B99" s="545">
        <f>B32</f>
        <v>111</v>
      </c>
      <c r="C99" s="522"/>
      <c r="D99" s="522"/>
      <c r="E99" s="522"/>
      <c r="F99" s="522"/>
      <c r="G99" s="586"/>
      <c r="H99" s="586"/>
      <c r="I99" s="586"/>
      <c r="J99" s="586"/>
      <c r="K99" s="587"/>
      <c r="L99" s="588"/>
      <c r="M99" s="589"/>
      <c r="N99" s="1154"/>
      <c r="O99" s="1154"/>
      <c r="P99" s="2690"/>
      <c r="Q99" s="503"/>
    </row>
    <row r="100" spans="1:17" ht="15.75" thickBot="1">
      <c r="A100" s="2642"/>
      <c r="B100" s="568"/>
      <c r="C100" s="569"/>
      <c r="D100" s="569"/>
      <c r="E100" s="569"/>
      <c r="F100" s="569"/>
      <c r="G100" s="590"/>
      <c r="H100" s="590"/>
      <c r="I100" s="590"/>
      <c r="J100" s="590"/>
      <c r="K100" s="590"/>
      <c r="L100" s="590"/>
      <c r="M100" s="591"/>
      <c r="N100" s="1155"/>
      <c r="O100" s="1155"/>
      <c r="P100" s="2690"/>
      <c r="Q100" s="503"/>
    </row>
    <row r="101" spans="1:17">
      <c r="A101" s="526" t="s">
        <v>2567</v>
      </c>
      <c r="B101" s="527" t="s">
        <v>2616</v>
      </c>
      <c r="C101" s="529" t="s">
        <v>3076</v>
      </c>
      <c r="D101" s="529" t="s">
        <v>3097</v>
      </c>
      <c r="E101" s="529"/>
      <c r="F101" s="529"/>
      <c r="G101" s="529"/>
      <c r="H101" s="529"/>
      <c r="I101" s="529"/>
      <c r="J101" s="529"/>
      <c r="K101" s="530"/>
      <c r="L101" s="531"/>
      <c r="M101" s="532"/>
      <c r="N101" s="1154"/>
      <c r="O101" s="1154"/>
      <c r="P101" s="2690"/>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90"/>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90"/>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1"/>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1"/>
      <c r="Q105" s="558"/>
    </row>
    <row r="106" spans="1:17" ht="15" thickTop="1">
      <c r="A106" s="598"/>
      <c r="B106" s="537" t="s">
        <v>2618</v>
      </c>
      <c r="C106" s="553" t="s">
        <v>3098</v>
      </c>
      <c r="D106" s="553" t="s">
        <v>3077</v>
      </c>
      <c r="E106" s="582" t="s">
        <v>3099</v>
      </c>
      <c r="F106" s="582"/>
      <c r="G106" s="582"/>
      <c r="H106" s="582"/>
      <c r="I106" s="582"/>
      <c r="J106" s="582"/>
      <c r="K106" s="583"/>
      <c r="L106" s="584"/>
      <c r="M106" s="585"/>
      <c r="N106" s="1154"/>
      <c r="O106" s="1154"/>
      <c r="P106" s="2690"/>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90"/>
      <c r="Q107" s="503"/>
    </row>
    <row r="108" spans="1:17" ht="15" thickTop="1">
      <c r="A108" s="598"/>
      <c r="B108" s="537" t="s">
        <v>2620</v>
      </c>
      <c r="C108" s="553" t="s">
        <v>3078</v>
      </c>
      <c r="D108" s="553" t="s">
        <v>3088</v>
      </c>
      <c r="E108" s="553" t="s">
        <v>3083</v>
      </c>
      <c r="F108" s="582" t="s">
        <v>3100</v>
      </c>
      <c r="G108" s="582"/>
      <c r="H108" s="582"/>
      <c r="I108" s="582"/>
      <c r="J108" s="582"/>
      <c r="K108" s="583"/>
      <c r="L108" s="584"/>
      <c r="M108" s="585"/>
      <c r="N108" s="1154"/>
      <c r="O108" s="1154"/>
      <c r="P108" s="269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90"/>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90"/>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90"/>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90"/>
      <c r="Q112" s="503"/>
    </row>
    <row r="113" spans="1:17" s="470" customFormat="1" ht="15" thickTop="1">
      <c r="A113" s="592"/>
      <c r="B113" s="537" t="s">
        <v>2704</v>
      </c>
      <c r="C113" s="553" t="s">
        <v>3079</v>
      </c>
      <c r="D113" s="553" t="s">
        <v>3101</v>
      </c>
      <c r="E113" s="553" t="s">
        <v>3102</v>
      </c>
      <c r="F113" s="553"/>
      <c r="G113" s="553"/>
      <c r="H113" s="582"/>
      <c r="I113" s="582"/>
      <c r="J113" s="582"/>
      <c r="K113" s="583"/>
      <c r="L113" s="584"/>
      <c r="M113" s="585"/>
      <c r="N113" s="1156"/>
      <c r="O113" s="1156"/>
      <c r="P113" s="2691"/>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1"/>
      <c r="Q114" s="558"/>
    </row>
    <row r="115" spans="1:17" ht="15" thickTop="1">
      <c r="A115" s="598"/>
      <c r="B115" s="537" t="s">
        <v>2621</v>
      </c>
      <c r="C115" s="553" t="s">
        <v>3080</v>
      </c>
      <c r="D115" s="553" t="s">
        <v>3103</v>
      </c>
      <c r="E115" s="582"/>
      <c r="F115" s="582"/>
      <c r="G115" s="582"/>
      <c r="H115" s="582"/>
      <c r="I115" s="582"/>
      <c r="J115" s="582"/>
      <c r="K115" s="583"/>
      <c r="L115" s="584"/>
      <c r="M115" s="585"/>
      <c r="N115" s="1154"/>
      <c r="O115" s="1154"/>
      <c r="P115" s="2690"/>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90"/>
      <c r="Q116" s="503"/>
    </row>
    <row r="117" spans="1:17" ht="15" thickTop="1">
      <c r="A117" s="598"/>
      <c r="B117" s="537" t="s">
        <v>2622</v>
      </c>
      <c r="C117" s="553" t="s">
        <v>3081</v>
      </c>
      <c r="D117" s="553" t="s">
        <v>3087</v>
      </c>
      <c r="E117" s="553" t="s">
        <v>3104</v>
      </c>
      <c r="F117" s="553" t="s">
        <v>3105</v>
      </c>
      <c r="G117" s="553" t="s">
        <v>3106</v>
      </c>
      <c r="H117" s="582"/>
      <c r="I117" s="582"/>
      <c r="J117" s="582"/>
      <c r="K117" s="583"/>
      <c r="L117" s="584"/>
      <c r="M117" s="585"/>
      <c r="N117" s="1154"/>
      <c r="O117" s="1154"/>
      <c r="P117" s="269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90"/>
      <c r="Q118" s="503"/>
    </row>
    <row r="119" spans="1:17" ht="15" thickTop="1">
      <c r="A119" s="598"/>
      <c r="B119" s="635" t="s">
        <v>2705</v>
      </c>
      <c r="C119" s="582" t="s">
        <v>3107</v>
      </c>
      <c r="D119" s="582" t="s">
        <v>3082</v>
      </c>
      <c r="E119" s="582"/>
      <c r="F119" s="582"/>
      <c r="G119" s="582"/>
      <c r="H119" s="582"/>
      <c r="I119" s="582"/>
      <c r="J119" s="582"/>
      <c r="K119" s="582"/>
      <c r="L119" s="2695"/>
      <c r="M119" s="2696"/>
      <c r="N119" s="1155"/>
      <c r="O119" s="1155"/>
      <c r="P119" s="269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90"/>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1"/>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1"/>
      <c r="Q122" s="558"/>
    </row>
    <row r="123" spans="1:17" ht="15" thickTop="1">
      <c r="A123" s="598"/>
      <c r="B123" s="537" t="s">
        <v>2624</v>
      </c>
      <c r="C123" s="553" t="s">
        <v>3078</v>
      </c>
      <c r="D123" s="553" t="s">
        <v>3088</v>
      </c>
      <c r="E123" s="553" t="s">
        <v>3083</v>
      </c>
      <c r="F123" s="582" t="s">
        <v>3100</v>
      </c>
      <c r="G123" s="582"/>
      <c r="H123" s="582"/>
      <c r="I123" s="582"/>
      <c r="J123" s="582"/>
      <c r="K123" s="583"/>
      <c r="L123" s="584"/>
      <c r="M123" s="585"/>
      <c r="N123" s="1154"/>
      <c r="O123" s="1154"/>
      <c r="P123" s="2690"/>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90"/>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90"/>
      <c r="Q126" s="503"/>
    </row>
    <row r="127" spans="1:17" s="470" customFormat="1" ht="15" thickTop="1">
      <c r="A127" s="592"/>
      <c r="B127" s="537" t="str">
        <f>B45</f>
        <v>智能环保系统</v>
      </c>
      <c r="C127" s="553" t="s">
        <v>3085</v>
      </c>
      <c r="D127" s="553" t="s">
        <v>3108</v>
      </c>
      <c r="E127" s="553"/>
      <c r="F127" s="553"/>
      <c r="G127" s="553"/>
      <c r="H127" s="554"/>
      <c r="I127" s="554"/>
      <c r="J127" s="554"/>
      <c r="K127" s="554"/>
      <c r="L127" s="555"/>
      <c r="M127" s="556"/>
      <c r="N127" s="1156"/>
      <c r="O127" s="1156"/>
      <c r="P127" s="2691"/>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1"/>
      <c r="Q128" s="558"/>
    </row>
    <row r="129" spans="1:17" ht="15" thickTop="1">
      <c r="A129" s="598"/>
      <c r="B129" s="537" t="str">
        <f>B46</f>
        <v>建筑品质</v>
      </c>
      <c r="C129" s="553" t="s">
        <v>3109</v>
      </c>
      <c r="D129" s="553" t="s">
        <v>3103</v>
      </c>
      <c r="E129" s="553"/>
      <c r="F129" s="553"/>
      <c r="G129" s="582"/>
      <c r="H129" s="582"/>
      <c r="I129" s="582"/>
      <c r="J129" s="582"/>
      <c r="K129" s="583"/>
      <c r="L129" s="584"/>
      <c r="M129" s="585"/>
      <c r="N129" s="1154"/>
      <c r="O129" s="1154"/>
      <c r="P129" s="2690"/>
      <c r="Q129" s="503"/>
    </row>
    <row r="130" spans="1:17" ht="15.75" thickBot="1">
      <c r="A130" s="533"/>
      <c r="B130" s="542"/>
      <c r="C130" s="559">
        <v>100</v>
      </c>
      <c r="D130" s="559">
        <v>98</v>
      </c>
      <c r="E130" s="559"/>
      <c r="F130" s="559"/>
      <c r="G130" s="535"/>
      <c r="H130" s="535"/>
      <c r="I130" s="535"/>
      <c r="J130" s="535"/>
      <c r="K130" s="535"/>
      <c r="L130" s="535"/>
      <c r="M130" s="536"/>
      <c r="N130" s="1155"/>
      <c r="O130" s="1155"/>
      <c r="P130" s="2690"/>
      <c r="Q130" s="503"/>
    </row>
    <row r="131" spans="1:17" ht="15" thickTop="1">
      <c r="A131" s="598"/>
      <c r="B131" s="545">
        <f>B47</f>
        <v>111</v>
      </c>
      <c r="C131" s="522"/>
      <c r="D131" s="522"/>
      <c r="E131" s="522"/>
      <c r="F131" s="522"/>
      <c r="G131" s="586"/>
      <c r="H131" s="586"/>
      <c r="I131" s="586"/>
      <c r="J131" s="586"/>
      <c r="K131" s="522"/>
      <c r="L131" s="523"/>
      <c r="M131" s="589"/>
      <c r="N131" s="1154"/>
      <c r="O131" s="1154"/>
      <c r="P131" s="2690"/>
      <c r="Q131" s="503"/>
    </row>
    <row r="132" spans="1:17" ht="15.75" thickBot="1">
      <c r="A132" s="2642"/>
      <c r="B132" s="568"/>
      <c r="C132" s="569"/>
      <c r="D132" s="569"/>
      <c r="E132" s="569"/>
      <c r="F132" s="569"/>
      <c r="G132" s="590"/>
      <c r="H132" s="590"/>
      <c r="I132" s="590"/>
      <c r="J132" s="590"/>
      <c r="K132" s="590"/>
      <c r="L132" s="590"/>
      <c r="M132" s="591"/>
      <c r="N132" s="1155"/>
      <c r="O132" s="1155"/>
      <c r="P132" s="2690"/>
      <c r="Q132" s="50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2530</v>
      </c>
      <c r="B1" s="2568"/>
      <c r="C1" s="2568"/>
      <c r="D1" s="2568"/>
      <c r="E1" s="2569"/>
    </row>
    <row r="2" spans="1:6" ht="15.75">
      <c r="A2" s="2570" t="s">
        <v>2331</v>
      </c>
      <c r="B2" s="2571">
        <f ca="1">SUMIF(B6:B13,"&lt;&gt;#ref!",B6:B13)</f>
        <v>2197</v>
      </c>
      <c r="C2" s="2572" t="s">
        <v>2523</v>
      </c>
      <c r="D2" s="2573" t="s">
        <v>2524</v>
      </c>
      <c r="E2" s="2574">
        <f>SUM(E6:E13)</f>
        <v>589.49</v>
      </c>
    </row>
    <row r="3" spans="1:6" ht="15.75">
      <c r="A3" s="2570" t="s">
        <v>1395</v>
      </c>
      <c r="B3" s="2571">
        <f ca="1">ROUND(B2*10000/E2,0)</f>
        <v>37270</v>
      </c>
      <c r="C3" s="2572" t="s">
        <v>2531</v>
      </c>
      <c r="D3" s="2575"/>
      <c r="E3" s="2576"/>
    </row>
    <row r="4" spans="1:6" ht="15.75">
      <c r="A4" s="2577"/>
      <c r="B4" s="2575"/>
      <c r="C4" s="2575"/>
      <c r="D4" s="2575"/>
      <c r="E4" s="2576"/>
    </row>
    <row r="5" spans="1:6" ht="15">
      <c r="A5" s="2578" t="s">
        <v>2525</v>
      </c>
      <c r="B5" s="3151" t="s">
        <v>2526</v>
      </c>
      <c r="C5" s="3151"/>
      <c r="D5" s="2579"/>
      <c r="E5" s="2580" t="s">
        <v>2527</v>
      </c>
      <c r="F5" s="2581" t="s">
        <v>2528</v>
      </c>
    </row>
    <row r="6" spans="1:6">
      <c r="A6" s="2582" t="str">
        <f>'数据-取费表'!AN6</f>
        <v>收益法 (元)</v>
      </c>
      <c r="B6" s="2581">
        <f ca="1">IF(F6="是",'数据-取费表'!AO6,0)</f>
        <v>2197</v>
      </c>
      <c r="C6" s="2572" t="s">
        <v>2523</v>
      </c>
      <c r="D6" s="2575"/>
      <c r="E6" s="2583">
        <f>IF(OR(A6=0,F6="否"),0,'数据-取费表'!K6+'数据-取费表'!S6)</f>
        <v>589.49</v>
      </c>
      <c r="F6" s="2584" t="s">
        <v>2529</v>
      </c>
    </row>
    <row r="7" spans="1:6">
      <c r="A7" s="2582">
        <f>'数据-取费表'!AN7</f>
        <v>0</v>
      </c>
      <c r="B7" s="2581" t="e">
        <f ca="1">IF(F7="是",'数据-取费表'!AO7,0)</f>
        <v>#REF!</v>
      </c>
      <c r="C7" s="2572" t="s">
        <v>2523</v>
      </c>
      <c r="D7" s="2575"/>
      <c r="E7" s="2583">
        <f>IF(OR(A7=0,F7="否"),0,'数据-取费表'!K7+'数据-取费表'!S7)</f>
        <v>0</v>
      </c>
      <c r="F7" s="2584" t="s">
        <v>2529</v>
      </c>
    </row>
    <row r="8" spans="1:6">
      <c r="A8" s="2582">
        <f>'数据-取费表'!AN8</f>
        <v>0</v>
      </c>
      <c r="B8" s="2581" t="e">
        <f ca="1">IF(F8="是",'数据-取费表'!AO8,0)</f>
        <v>#REF!</v>
      </c>
      <c r="C8" s="2572" t="s">
        <v>2523</v>
      </c>
      <c r="D8" s="2575"/>
      <c r="E8" s="2583">
        <f>IF(OR(A8=0,F8="否"),0,'数据-取费表'!K8+'数据-取费表'!S8)</f>
        <v>0</v>
      </c>
      <c r="F8" s="2584" t="s">
        <v>2529</v>
      </c>
    </row>
    <row r="9" spans="1:6">
      <c r="A9" s="2582">
        <f>'数据-取费表'!AN9</f>
        <v>0</v>
      </c>
      <c r="B9" s="2581" t="e">
        <f ca="1">IF(F9="是",'数据-取费表'!AO9,0)</f>
        <v>#REF!</v>
      </c>
      <c r="C9" s="2572" t="s">
        <v>2523</v>
      </c>
      <c r="D9" s="2575"/>
      <c r="E9" s="2583">
        <f>IF(OR(A9=0,F9="否"),0,'数据-取费表'!K9+'数据-取费表'!S9)</f>
        <v>0</v>
      </c>
      <c r="F9" s="2584" t="s">
        <v>2529</v>
      </c>
    </row>
    <row r="10" spans="1:6">
      <c r="A10" s="2582">
        <f>'数据-取费表'!AN10</f>
        <v>0</v>
      </c>
      <c r="B10" s="2581" t="e">
        <f ca="1">IF(F10="是",'数据-取费表'!AO10,0)</f>
        <v>#REF!</v>
      </c>
      <c r="C10" s="2572" t="s">
        <v>2523</v>
      </c>
      <c r="D10" s="2575"/>
      <c r="E10" s="2583">
        <f>IF(OR(A10=0,F10="否"),0,'数据-取费表'!K10+'数据-取费表'!S10)</f>
        <v>0</v>
      </c>
      <c r="F10" s="2584" t="s">
        <v>2529</v>
      </c>
    </row>
    <row r="11" spans="1:6">
      <c r="A11" s="2582">
        <f>'数据-取费表'!AN11</f>
        <v>0</v>
      </c>
      <c r="B11" s="2581" t="e">
        <f ca="1">IF(F11="是",'数据-取费表'!AO11,0)</f>
        <v>#REF!</v>
      </c>
      <c r="C11" s="2572" t="s">
        <v>2523</v>
      </c>
      <c r="D11" s="2575"/>
      <c r="E11" s="2583">
        <f>IF(OR(A11=0,F11="否"),0,'数据-取费表'!K11+'数据-取费表'!S11)</f>
        <v>0</v>
      </c>
      <c r="F11" s="2584" t="s">
        <v>2529</v>
      </c>
    </row>
    <row r="12" spans="1:6">
      <c r="A12" s="2582">
        <f>'数据-取费表'!AN12</f>
        <v>0</v>
      </c>
      <c r="B12" s="2581" t="e">
        <f ca="1">IF(F12="是",'数据-取费表'!AO12,0)</f>
        <v>#REF!</v>
      </c>
      <c r="C12" s="2572" t="s">
        <v>2523</v>
      </c>
      <c r="D12" s="2575"/>
      <c r="E12" s="2583">
        <f>IF(OR(A12=0,F12="否"),0,'数据-取费表'!K12+'数据-取费表'!S12)</f>
        <v>0</v>
      </c>
      <c r="F12" s="2584" t="s">
        <v>2529</v>
      </c>
    </row>
    <row r="13" spans="1:6" ht="15" thickBot="1">
      <c r="A13" s="2585">
        <f>'数据-取费表'!AN13</f>
        <v>0</v>
      </c>
      <c r="B13" s="2581" t="e">
        <f ca="1">IF(F13="是",'数据-取费表'!AO13,0)</f>
        <v>#REF!</v>
      </c>
      <c r="C13" s="2586" t="s">
        <v>2523</v>
      </c>
      <c r="D13" s="2587"/>
      <c r="E13" s="2583">
        <f>IF(OR(A13=0,F13="否"),0,'数据-取费表'!K13+'数据-取费表'!S13)</f>
        <v>0</v>
      </c>
      <c r="F13" s="2584"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8" t="s">
        <v>1076</v>
      </c>
      <c r="B1" s="3169"/>
      <c r="C1" s="3170"/>
      <c r="D1" s="3171">
        <f>SUM(I10,I15,I20,I21,I23)</f>
        <v>0</v>
      </c>
      <c r="E1" s="3171"/>
      <c r="F1" s="3171"/>
      <c r="G1" s="3171"/>
      <c r="H1" s="3171"/>
      <c r="I1" s="3172"/>
    </row>
    <row r="2" spans="1:9">
      <c r="A2" s="3158" t="s">
        <v>1077</v>
      </c>
      <c r="B2" s="3159" t="s">
        <v>1078</v>
      </c>
      <c r="C2" s="3159"/>
      <c r="D2" s="1303" t="s">
        <v>1079</v>
      </c>
      <c r="E2" s="1303" t="s">
        <v>1080</v>
      </c>
      <c r="F2" s="1303" t="s">
        <v>1081</v>
      </c>
      <c r="G2" s="1303" t="s">
        <v>1082</v>
      </c>
      <c r="H2" s="1303" t="s">
        <v>1083</v>
      </c>
      <c r="I2" s="1304" t="s">
        <v>1084</v>
      </c>
    </row>
    <row r="3" spans="1:9">
      <c r="A3" s="3158"/>
      <c r="B3" s="3159" t="s">
        <v>1085</v>
      </c>
      <c r="C3" s="3159"/>
      <c r="D3" s="1305"/>
      <c r="E3" s="1303"/>
      <c r="F3" s="1306"/>
      <c r="G3" s="1306"/>
      <c r="H3" s="1307"/>
      <c r="I3" s="1308">
        <f>ROUND(D3*E3*F3*G3*H3/10000,0)</f>
        <v>0</v>
      </c>
    </row>
    <row r="4" spans="1:9">
      <c r="A4" s="3158"/>
      <c r="B4" s="3159" t="s">
        <v>1086</v>
      </c>
      <c r="C4" s="3159"/>
      <c r="D4" s="1305"/>
      <c r="E4" s="1303"/>
      <c r="F4" s="1306"/>
      <c r="G4" s="1306"/>
      <c r="H4" s="1307"/>
      <c r="I4" s="1308">
        <f t="shared" ref="I4:I9" si="0">ROUND(D4*E4*F4*G4*H4/10000,0)</f>
        <v>0</v>
      </c>
    </row>
    <row r="5" spans="1:9">
      <c r="A5" s="3158"/>
      <c r="B5" s="3159" t="s">
        <v>1087</v>
      </c>
      <c r="C5" s="3159"/>
      <c r="D5" s="1305"/>
      <c r="E5" s="1303"/>
      <c r="F5" s="1306"/>
      <c r="G5" s="1306"/>
      <c r="H5" s="1307"/>
      <c r="I5" s="1308">
        <f t="shared" si="0"/>
        <v>0</v>
      </c>
    </row>
    <row r="6" spans="1:9">
      <c r="A6" s="3158"/>
      <c r="B6" s="3159" t="s">
        <v>1088</v>
      </c>
      <c r="C6" s="3159"/>
      <c r="D6" s="1305"/>
      <c r="E6" s="1303"/>
      <c r="F6" s="1306"/>
      <c r="G6" s="1306"/>
      <c r="H6" s="1307"/>
      <c r="I6" s="1308">
        <f t="shared" si="0"/>
        <v>0</v>
      </c>
    </row>
    <row r="7" spans="1:9">
      <c r="A7" s="3158"/>
      <c r="B7" s="3159" t="s">
        <v>1089</v>
      </c>
      <c r="C7" s="3159"/>
      <c r="D7" s="1305"/>
      <c r="E7" s="1303"/>
      <c r="F7" s="1306"/>
      <c r="G7" s="1306"/>
      <c r="H7" s="1307"/>
      <c r="I7" s="1308">
        <f t="shared" si="0"/>
        <v>0</v>
      </c>
    </row>
    <row r="8" spans="1:9">
      <c r="A8" s="3158"/>
      <c r="B8" s="3159" t="s">
        <v>1090</v>
      </c>
      <c r="C8" s="3159"/>
      <c r="D8" s="1305"/>
      <c r="E8" s="1303"/>
      <c r="F8" s="1306"/>
      <c r="G8" s="1306"/>
      <c r="H8" s="1307"/>
      <c r="I8" s="1308">
        <f t="shared" si="0"/>
        <v>0</v>
      </c>
    </row>
    <row r="9" spans="1:9">
      <c r="A9" s="3158"/>
      <c r="B9" s="3159" t="s">
        <v>1091</v>
      </c>
      <c r="C9" s="3159"/>
      <c r="D9" s="1305"/>
      <c r="E9" s="1303"/>
      <c r="F9" s="1306"/>
      <c r="G9" s="1306"/>
      <c r="H9" s="1307"/>
      <c r="I9" s="1308">
        <f t="shared" si="0"/>
        <v>0</v>
      </c>
    </row>
    <row r="10" spans="1:9">
      <c r="A10" s="3158"/>
      <c r="B10" s="3160" t="s">
        <v>1092</v>
      </c>
      <c r="C10" s="3160"/>
      <c r="D10" s="1309"/>
      <c r="E10" s="1309" t="e">
        <f>ROUND(D1*10000/D10/H9,0)</f>
        <v>#DIV/0!</v>
      </c>
      <c r="F10" s="1310"/>
      <c r="G10" s="1310"/>
      <c r="H10" s="1311"/>
      <c r="I10" s="1312">
        <f>SUM(I3:I9)</f>
        <v>0</v>
      </c>
    </row>
    <row r="11" spans="1:9" ht="14.25">
      <c r="A11" s="3158" t="s">
        <v>1093</v>
      </c>
      <c r="B11" s="3159" t="s">
        <v>1094</v>
      </c>
      <c r="C11" s="3159"/>
      <c r="D11" s="1305" t="s">
        <v>1095</v>
      </c>
      <c r="E11" s="1305" t="s">
        <v>1096</v>
      </c>
      <c r="F11" s="1306" t="s">
        <v>1097</v>
      </c>
      <c r="G11" s="1306" t="s">
        <v>1083</v>
      </c>
      <c r="H11" s="1313" t="s">
        <v>1098</v>
      </c>
      <c r="I11" s="1304" t="s">
        <v>1084</v>
      </c>
    </row>
    <row r="12" spans="1:9">
      <c r="A12" s="3158"/>
      <c r="B12" s="3159" t="s">
        <v>1099</v>
      </c>
      <c r="C12" s="3159"/>
      <c r="D12" s="1305"/>
      <c r="E12" s="1305"/>
      <c r="F12" s="1306"/>
      <c r="G12" s="1307"/>
      <c r="H12" s="1314"/>
      <c r="I12" s="1304">
        <f>ROUND(D12*E12*F12*G12/10000,0)</f>
        <v>0</v>
      </c>
    </row>
    <row r="13" spans="1:9">
      <c r="A13" s="3158"/>
      <c r="B13" s="3159" t="s">
        <v>1100</v>
      </c>
      <c r="C13" s="3159"/>
      <c r="D13" s="1305"/>
      <c r="E13" s="1305"/>
      <c r="F13" s="1306"/>
      <c r="G13" s="1307"/>
      <c r="H13" s="1314"/>
      <c r="I13" s="1304">
        <f>ROUND(D13*E13*F13*G13/10000,0)</f>
        <v>0</v>
      </c>
    </row>
    <row r="14" spans="1:9">
      <c r="A14" s="3158"/>
      <c r="B14" s="3159" t="s">
        <v>1101</v>
      </c>
      <c r="C14" s="3159"/>
      <c r="D14" s="1305"/>
      <c r="E14" s="1305"/>
      <c r="F14" s="1306"/>
      <c r="G14" s="1307"/>
      <c r="H14" s="1314"/>
      <c r="I14" s="1304">
        <f>ROUND(D14*E14*F14*G14/10000,0)</f>
        <v>0</v>
      </c>
    </row>
    <row r="15" spans="1:9">
      <c r="A15" s="3158"/>
      <c r="B15" s="3160" t="s">
        <v>1092</v>
      </c>
      <c r="C15" s="3160"/>
      <c r="D15" s="1309"/>
      <c r="E15" s="1309">
        <f>SUM(E12:E14)</f>
        <v>0</v>
      </c>
      <c r="F15" s="1310"/>
      <c r="G15" s="1307"/>
      <c r="H15" s="1314"/>
      <c r="I15" s="1315">
        <f>SUM(I12:I14)</f>
        <v>0</v>
      </c>
    </row>
    <row r="16" spans="1:9" ht="24">
      <c r="A16" s="3158" t="s">
        <v>1102</v>
      </c>
      <c r="B16" s="3159" t="s">
        <v>1103</v>
      </c>
      <c r="C16" s="3159"/>
      <c r="D16" s="1305" t="s">
        <v>1079</v>
      </c>
      <c r="E16" s="1316" t="s">
        <v>1104</v>
      </c>
      <c r="F16" s="1306" t="s">
        <v>1105</v>
      </c>
      <c r="G16" s="1307" t="s">
        <v>1083</v>
      </c>
      <c r="H16" s="1313" t="s">
        <v>1098</v>
      </c>
      <c r="I16" s="1304" t="s">
        <v>1084</v>
      </c>
    </row>
    <row r="17" spans="1:9" ht="14.25">
      <c r="A17" s="3158"/>
      <c r="B17" s="3159" t="s">
        <v>1106</v>
      </c>
      <c r="C17" s="3159"/>
      <c r="D17" s="1305"/>
      <c r="E17" s="1305"/>
      <c r="F17" s="1306"/>
      <c r="G17" s="1307"/>
      <c r="H17" s="1317"/>
      <c r="I17" s="1318">
        <f>ROUND(D17*E17*F17*G17/10000,0)</f>
        <v>0</v>
      </c>
    </row>
    <row r="18" spans="1:9" ht="14.25">
      <c r="A18" s="3158"/>
      <c r="B18" s="3159" t="s">
        <v>1107</v>
      </c>
      <c r="C18" s="3159"/>
      <c r="D18" s="1305"/>
      <c r="E18" s="1305"/>
      <c r="F18" s="1306"/>
      <c r="G18" s="1307"/>
      <c r="H18" s="1317"/>
      <c r="I18" s="1318">
        <f>ROUND(D18*E18*F18*G18/10000,0)</f>
        <v>0</v>
      </c>
    </row>
    <row r="19" spans="1:9" ht="14.25">
      <c r="A19" s="3158"/>
      <c r="B19" s="3159" t="s">
        <v>1108</v>
      </c>
      <c r="C19" s="3159"/>
      <c r="D19" s="1305"/>
      <c r="E19" s="1305"/>
      <c r="F19" s="1306"/>
      <c r="G19" s="1307"/>
      <c r="H19" s="1317"/>
      <c r="I19" s="1318">
        <f>ROUND(D19*E19*F19*G19/10000,0)</f>
        <v>0</v>
      </c>
    </row>
    <row r="20" spans="1:9">
      <c r="A20" s="3158"/>
      <c r="B20" s="3160" t="s">
        <v>1092</v>
      </c>
      <c r="C20" s="3160"/>
      <c r="D20" s="1309">
        <f>SUM(D17:D19)</f>
        <v>0</v>
      </c>
      <c r="E20" s="1309"/>
      <c r="F20" s="1310"/>
      <c r="G20" s="1307"/>
      <c r="H20" s="1314"/>
      <c r="I20" s="1315">
        <f>SUM(I17:I19)</f>
        <v>0</v>
      </c>
    </row>
    <row r="21" spans="1:9">
      <c r="A21" s="3158" t="s">
        <v>1109</v>
      </c>
      <c r="B21" s="3161"/>
      <c r="C21" s="3161"/>
      <c r="D21" s="3161"/>
      <c r="E21" s="3161"/>
      <c r="F21" s="3161"/>
      <c r="G21" s="3161"/>
      <c r="H21" s="1767">
        <v>0.1</v>
      </c>
      <c r="I21" s="1312">
        <f>ROUND(I10*H21,0)</f>
        <v>0</v>
      </c>
    </row>
    <row r="22" spans="1:9" ht="14.25">
      <c r="A22" s="3162" t="s">
        <v>1110</v>
      </c>
      <c r="B22" s="3163"/>
      <c r="C22" s="3164"/>
      <c r="D22" s="1319" t="s">
        <v>1111</v>
      </c>
      <c r="E22" s="1319" t="s">
        <v>1112</v>
      </c>
      <c r="F22" s="1320" t="s">
        <v>1113</v>
      </c>
      <c r="G22" s="1320" t="s">
        <v>1114</v>
      </c>
      <c r="H22" s="1313" t="s">
        <v>1115</v>
      </c>
      <c r="I22" s="1304" t="s">
        <v>1116</v>
      </c>
    </row>
    <row r="23" spans="1:9" ht="14.25" thickBot="1">
      <c r="A23" s="3165"/>
      <c r="B23" s="3166"/>
      <c r="C23" s="3167"/>
      <c r="D23" s="1321"/>
      <c r="E23" s="1321"/>
      <c r="F23" s="1321"/>
      <c r="G23" s="1322"/>
      <c r="H23" s="1323"/>
      <c r="I23" s="1324">
        <f>ROUND(E23*D23*F23*(1-G23)/10000,0)</f>
        <v>0</v>
      </c>
    </row>
    <row r="26" spans="1:9">
      <c r="A26" s="1325" t="s">
        <v>1117</v>
      </c>
      <c r="B26" s="1325"/>
      <c r="C26" s="1325"/>
      <c r="D26" s="1325"/>
      <c r="E26" s="3155">
        <f>C27-C30-C31-C32</f>
        <v>0</v>
      </c>
      <c r="F26" s="3155"/>
      <c r="G26" s="3155"/>
      <c r="H26" s="1739" t="s">
        <v>1340</v>
      </c>
    </row>
    <row r="27" spans="1:9">
      <c r="A27" s="1326">
        <v>1</v>
      </c>
      <c r="B27" s="1327" t="s">
        <v>1118</v>
      </c>
      <c r="C27" s="1327">
        <f>C28+C29</f>
        <v>0</v>
      </c>
      <c r="D27" s="1327"/>
      <c r="E27" s="3156"/>
      <c r="F27" s="3156"/>
      <c r="G27" s="3156"/>
    </row>
    <row r="28" spans="1:9">
      <c r="A28" s="1328" t="s">
        <v>1119</v>
      </c>
      <c r="B28" s="1327" t="s">
        <v>1120</v>
      </c>
      <c r="C28" s="1327"/>
      <c r="D28" s="1327"/>
      <c r="E28" s="3156"/>
      <c r="F28" s="3156"/>
      <c r="G28" s="315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57"/>
      <c r="F32" s="3157"/>
      <c r="G32" s="3157"/>
    </row>
    <row r="33" spans="1:7" hidden="1">
      <c r="A33" s="3152" t="s">
        <v>1129</v>
      </c>
      <c r="B33" s="3153"/>
      <c r="C33" s="3153"/>
      <c r="D33" s="3154"/>
      <c r="E33" s="3155"/>
      <c r="F33" s="3155"/>
      <c r="G33" s="3155"/>
    </row>
    <row r="34" spans="1:7" hidden="1">
      <c r="A34" s="1330">
        <v>1</v>
      </c>
      <c r="B34" s="1327" t="s">
        <v>1130</v>
      </c>
      <c r="C34" s="1327"/>
      <c r="D34" s="1327"/>
      <c r="E34" s="3156"/>
      <c r="F34" s="3156"/>
      <c r="G34" s="3156"/>
    </row>
    <row r="35" spans="1:7" hidden="1">
      <c r="A35" s="1330">
        <v>2</v>
      </c>
      <c r="B35" s="1327" t="s">
        <v>1131</v>
      </c>
      <c r="C35" s="1327"/>
      <c r="D35" s="1327"/>
      <c r="E35" s="3156"/>
      <c r="F35" s="3156"/>
      <c r="G35" s="3156"/>
    </row>
    <row r="36" spans="1:7" hidden="1">
      <c r="A36" s="1330">
        <v>3</v>
      </c>
      <c r="B36" s="1327" t="s">
        <v>1132</v>
      </c>
      <c r="C36" s="1327"/>
      <c r="D36" s="1327"/>
      <c r="E36" s="3156"/>
      <c r="F36" s="3156"/>
      <c r="G36" s="3156"/>
    </row>
    <row r="37" spans="1:7" hidden="1">
      <c r="A37" s="1330">
        <v>4</v>
      </c>
      <c r="B37" s="1327" t="s">
        <v>1133</v>
      </c>
      <c r="C37" s="1327"/>
      <c r="D37" s="1327"/>
      <c r="E37" s="3156"/>
      <c r="F37" s="3156"/>
      <c r="G37" s="3156"/>
    </row>
    <row r="38" spans="1:7" hidden="1">
      <c r="A38" s="3152" t="s">
        <v>1134</v>
      </c>
      <c r="B38" s="3153"/>
      <c r="C38" s="3153"/>
      <c r="D38" s="3154"/>
      <c r="E38" s="3155"/>
      <c r="F38" s="3155"/>
      <c r="G38" s="31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8" t="s">
        <v>2533</v>
      </c>
      <c r="C1" s="1636" t="s">
        <v>2534</v>
      </c>
      <c r="D1" s="1623"/>
      <c r="E1" s="2589"/>
      <c r="F1" s="2590" t="s">
        <v>2535</v>
      </c>
      <c r="G1" s="1633" t="s">
        <v>2536</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2"/>
      <c r="D2" s="1367" t="e">
        <f ca="1">SUMIF(INDIRECT("'"&amp;F2&amp;"'"&amp;"!A:A"),"承租人权益价值",INDIRECT("'"&amp;F2&amp;"'"&amp;"!c:c"))</f>
        <v>#REF!</v>
      </c>
      <c r="E2" s="2593" t="s">
        <v>2537</v>
      </c>
      <c r="F2" s="2594"/>
      <c r="G2" s="1126"/>
      <c r="H2" s="1126"/>
      <c r="I2" s="1126"/>
      <c r="J2" s="1126"/>
      <c r="K2" s="2595"/>
      <c r="L2" s="2596"/>
      <c r="M2" s="2597"/>
      <c r="N2" s="2597"/>
      <c r="O2" s="2597"/>
      <c r="P2" s="2598"/>
      <c r="Q2" s="2599"/>
      <c r="R2" s="2599"/>
      <c r="S2" s="2599"/>
      <c r="T2" s="2599"/>
      <c r="U2" s="2599"/>
      <c r="V2" s="2599"/>
      <c r="W2" s="2599"/>
      <c r="X2" s="2599"/>
      <c r="Y2" s="2599"/>
      <c r="Z2" s="2599"/>
      <c r="AA2" s="2599"/>
      <c r="AB2" s="2599"/>
      <c r="AC2" s="2600"/>
    </row>
    <row r="3" spans="1:29" s="392" customFormat="1" ht="28.5" customHeight="1" thickBot="1">
      <c r="A3" s="246" t="s">
        <v>1395</v>
      </c>
      <c r="B3" s="398" t="e">
        <f ca="1">IF(C2="——",C49,ROUND(B2*10000/D3,0))</f>
        <v>#DIV/0!</v>
      </c>
      <c r="C3" s="399" t="s">
        <v>2538</v>
      </c>
      <c r="D3" s="398">
        <f>IF(D1="",'数据-汇总表'!E3,SUMIF('数据-汇总表'!$C19:$C33,D1,'数据-汇总表'!$E19:$E33))</f>
        <v>589.49</v>
      </c>
      <c r="E3" s="1126"/>
      <c r="F3" s="2601"/>
      <c r="G3" s="1126"/>
      <c r="H3" s="1126"/>
      <c r="I3" s="1126"/>
      <c r="J3" s="1126"/>
      <c r="K3" s="2595"/>
      <c r="L3" s="2596"/>
      <c r="M3" s="2597"/>
      <c r="N3" s="2597"/>
      <c r="O3" s="2597"/>
      <c r="P3" s="2598"/>
      <c r="Q3" s="2599"/>
      <c r="R3" s="2599"/>
      <c r="S3" s="2599"/>
      <c r="T3" s="2599"/>
      <c r="U3" s="2599"/>
      <c r="V3" s="2599"/>
      <c r="W3" s="2599"/>
      <c r="X3" s="2599"/>
      <c r="Y3" s="2599"/>
      <c r="Z3" s="2599"/>
      <c r="AA3" s="2599"/>
      <c r="AB3" s="2599"/>
      <c r="AC3" s="1284"/>
    </row>
    <row r="4" spans="1:29" ht="15">
      <c r="A4" s="400" t="s">
        <v>2539</v>
      </c>
      <c r="B4" s="401"/>
      <c r="C4" s="3191" t="s">
        <v>2540</v>
      </c>
      <c r="D4" s="3192"/>
      <c r="E4" s="3193" t="s">
        <v>2541</v>
      </c>
      <c r="F4" s="3194"/>
      <c r="G4" s="3191" t="s">
        <v>2542</v>
      </c>
      <c r="H4" s="3192"/>
      <c r="I4" s="3191" t="s">
        <v>2543</v>
      </c>
      <c r="J4" s="3192"/>
      <c r="K4" s="2602" t="s">
        <v>2544</v>
      </c>
      <c r="L4" s="1132"/>
      <c r="M4" s="1133"/>
      <c r="N4" s="1133"/>
      <c r="O4" s="1133"/>
      <c r="P4" s="3195" t="s">
        <v>2545</v>
      </c>
      <c r="Q4" s="3196"/>
      <c r="R4" s="3201" t="s">
        <v>2541</v>
      </c>
      <c r="S4" s="3202"/>
      <c r="T4" s="3201" t="s">
        <v>2542</v>
      </c>
      <c r="U4" s="3202"/>
      <c r="V4" s="3207" t="s">
        <v>2543</v>
      </c>
      <c r="W4" s="3207"/>
      <c r="X4" s="1815"/>
      <c r="Y4" s="3201" t="s">
        <v>2545</v>
      </c>
      <c r="Z4" s="3202"/>
      <c r="AA4" s="3188" t="s">
        <v>2541</v>
      </c>
      <c r="AB4" s="3188" t="s">
        <v>2542</v>
      </c>
      <c r="AC4" s="3188" t="s">
        <v>2543</v>
      </c>
    </row>
    <row r="5" spans="1:29" ht="15">
      <c r="A5" s="403"/>
      <c r="B5" s="404"/>
      <c r="C5" s="3210" t="s">
        <v>2546</v>
      </c>
      <c r="D5" s="3211"/>
      <c r="E5" s="3217" t="s">
        <v>2547</v>
      </c>
      <c r="F5" s="3218"/>
      <c r="G5" s="3210" t="s">
        <v>2548</v>
      </c>
      <c r="H5" s="3211"/>
      <c r="I5" s="3210" t="s">
        <v>2549</v>
      </c>
      <c r="J5" s="3211"/>
      <c r="K5" s="2603"/>
      <c r="L5" s="1132"/>
      <c r="M5" s="1133"/>
      <c r="N5" s="1133"/>
      <c r="O5" s="1133"/>
      <c r="P5" s="3197"/>
      <c r="Q5" s="3198"/>
      <c r="R5" s="3203"/>
      <c r="S5" s="3204"/>
      <c r="T5" s="3203"/>
      <c r="U5" s="3204"/>
      <c r="V5" s="3207"/>
      <c r="W5" s="3207"/>
      <c r="X5" s="1815"/>
      <c r="Y5" s="3203"/>
      <c r="Z5" s="3204"/>
      <c r="AA5" s="3189"/>
      <c r="AB5" s="3189"/>
      <c r="AC5" s="3189"/>
    </row>
    <row r="6" spans="1:29" ht="15.75" thickBot="1">
      <c r="A6" s="405"/>
      <c r="B6" s="406"/>
      <c r="C6" s="3208" t="s">
        <v>2550</v>
      </c>
      <c r="D6" s="3209"/>
      <c r="E6" s="3215" t="s">
        <v>2550</v>
      </c>
      <c r="F6" s="3216"/>
      <c r="G6" s="3208" t="s">
        <v>2550</v>
      </c>
      <c r="H6" s="3209"/>
      <c r="I6" s="3208" t="s">
        <v>2550</v>
      </c>
      <c r="J6" s="3209"/>
      <c r="K6" s="2603" t="s">
        <v>2551</v>
      </c>
      <c r="L6" s="1132"/>
      <c r="M6" s="1133"/>
      <c r="N6" s="1133"/>
      <c r="O6" s="1133"/>
      <c r="P6" s="3199"/>
      <c r="Q6" s="3200"/>
      <c r="R6" s="3203"/>
      <c r="S6" s="3204"/>
      <c r="T6" s="3205"/>
      <c r="U6" s="3206"/>
      <c r="V6" s="3207"/>
      <c r="W6" s="3207"/>
      <c r="X6" s="1815"/>
      <c r="Y6" s="3205"/>
      <c r="Z6" s="3206"/>
      <c r="AA6" s="3190"/>
      <c r="AB6" s="3190"/>
      <c r="AC6" s="3190"/>
    </row>
    <row r="7" spans="1:29" s="117" customFormat="1" ht="15.75" thickBot="1">
      <c r="A7" s="407" t="s">
        <v>2552</v>
      </c>
      <c r="B7" s="408"/>
      <c r="C7" s="409">
        <f>'数据-取费表'!B2</f>
        <v>43355</v>
      </c>
      <c r="D7" s="410">
        <v>100</v>
      </c>
      <c r="E7" s="411"/>
      <c r="F7" s="412">
        <f>SUMIF(58:58,YEAR(E7)&amp;"-"&amp;MONTH(E7),59:59)</f>
        <v>0</v>
      </c>
      <c r="G7" s="411"/>
      <c r="H7" s="410">
        <f>SUMIF(58:58,YEAR(G7)&amp;"-"&amp;MONTH(G7),59:59)</f>
        <v>0</v>
      </c>
      <c r="I7" s="411"/>
      <c r="J7" s="410">
        <f>SUMIF(58:58,YEAR(I7)&amp;"-"&amp;MONTH(I7),59:59)</f>
        <v>0</v>
      </c>
      <c r="K7" s="2604"/>
      <c r="L7" s="1134"/>
      <c r="M7" s="1135"/>
      <c r="N7" s="1135"/>
      <c r="O7" s="1135"/>
      <c r="P7" s="3212" t="s">
        <v>2553</v>
      </c>
      <c r="Q7" s="3214"/>
      <c r="R7" s="769" t="s">
        <v>23</v>
      </c>
      <c r="S7" s="770">
        <f t="shared" ref="S7:S15" si="0">F7</f>
        <v>0</v>
      </c>
      <c r="T7" s="769" t="s">
        <v>23</v>
      </c>
      <c r="U7" s="770">
        <f t="shared" ref="U7:U15" si="1">H7</f>
        <v>0</v>
      </c>
      <c r="V7" s="769" t="s">
        <v>23</v>
      </c>
      <c r="W7" s="770">
        <f t="shared" ref="W7:W15" si="2">J7</f>
        <v>0</v>
      </c>
      <c r="X7" s="771"/>
      <c r="Y7" s="3212" t="s">
        <v>2553</v>
      </c>
      <c r="Z7" s="3213"/>
      <c r="AA7" s="772" t="e">
        <f>D7/F7</f>
        <v>#DIV/0!</v>
      </c>
      <c r="AB7" s="772" t="e">
        <f>D7/H7</f>
        <v>#DIV/0!</v>
      </c>
      <c r="AC7" s="772" t="e">
        <f>D7/J7</f>
        <v>#DIV/0!</v>
      </c>
    </row>
    <row r="8" spans="1:29" s="117" customFormat="1" ht="15.75" thickBot="1">
      <c r="A8" s="407" t="s">
        <v>2554</v>
      </c>
      <c r="B8" s="408"/>
      <c r="C8" s="413" t="s">
        <v>2555</v>
      </c>
      <c r="D8" s="410">
        <v>100</v>
      </c>
      <c r="E8" s="2605"/>
      <c r="F8" s="412">
        <f>SUMIF(61:61,E8,62:62)-SUMIF(61:61,C8,62:62)+100</f>
        <v>0</v>
      </c>
      <c r="G8" s="413"/>
      <c r="H8" s="410">
        <f>SUMIF(61:61,G8,62:62)-SUMIF(61:61,C8,62:62)+100</f>
        <v>0</v>
      </c>
      <c r="I8" s="2605"/>
      <c r="J8" s="410">
        <f>SUMIF(61:61,I8,62:62)-SUMIF(61:61,C8,62:62)+100</f>
        <v>0</v>
      </c>
      <c r="K8" s="2604"/>
      <c r="L8" s="1134"/>
      <c r="M8" s="1135"/>
      <c r="N8" s="1135"/>
      <c r="O8" s="1135"/>
      <c r="P8" s="3212" t="s">
        <v>2556</v>
      </c>
      <c r="Q8" s="3213"/>
      <c r="R8" s="769" t="s">
        <v>23</v>
      </c>
      <c r="S8" s="770">
        <f t="shared" si="0"/>
        <v>0</v>
      </c>
      <c r="T8" s="769" t="s">
        <v>23</v>
      </c>
      <c r="U8" s="770">
        <f t="shared" si="1"/>
        <v>0</v>
      </c>
      <c r="V8" s="769" t="s">
        <v>23</v>
      </c>
      <c r="W8" s="770">
        <f t="shared" si="2"/>
        <v>0</v>
      </c>
      <c r="X8" s="771"/>
      <c r="Y8" s="3212" t="s">
        <v>2556</v>
      </c>
      <c r="Z8" s="3213"/>
      <c r="AA8" s="772" t="e">
        <f t="shared" ref="AA8:AA19" si="3">D8/F8</f>
        <v>#DIV/0!</v>
      </c>
      <c r="AB8" s="772" t="e">
        <f t="shared" ref="AB8:AB19" si="4">D8/H8</f>
        <v>#DIV/0!</v>
      </c>
      <c r="AC8" s="772"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4"/>
      <c r="L9" s="1134"/>
      <c r="M9" s="1135"/>
      <c r="N9" s="1135"/>
      <c r="O9" s="1135"/>
      <c r="P9" s="3187" t="s">
        <v>2559</v>
      </c>
      <c r="Q9" s="1797" t="str">
        <f t="shared" ref="Q9:Q15" si="6">B9</f>
        <v>用途</v>
      </c>
      <c r="R9" s="769" t="s">
        <v>17</v>
      </c>
      <c r="S9" s="770">
        <f t="shared" si="0"/>
        <v>100</v>
      </c>
      <c r="T9" s="769" t="s">
        <v>17</v>
      </c>
      <c r="U9" s="770">
        <f t="shared" si="1"/>
        <v>100</v>
      </c>
      <c r="V9" s="769" t="s">
        <v>17</v>
      </c>
      <c r="W9" s="770">
        <f t="shared" si="2"/>
        <v>100</v>
      </c>
      <c r="X9" s="771"/>
      <c r="Y9" s="3001"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87"/>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87"/>
      <c r="Q11" s="1797" t="str">
        <f t="shared" si="6"/>
        <v>容积率</v>
      </c>
      <c r="R11" s="769" t="s">
        <v>21</v>
      </c>
      <c r="S11" s="770" t="e">
        <f t="shared" si="0"/>
        <v>#N/A</v>
      </c>
      <c r="T11" s="769" t="s">
        <v>21</v>
      </c>
      <c r="U11" s="770" t="e">
        <f t="shared" si="1"/>
        <v>#N/A</v>
      </c>
      <c r="V11" s="769" t="s">
        <v>21</v>
      </c>
      <c r="W11" s="770" t="e">
        <f t="shared" si="2"/>
        <v>#N/A</v>
      </c>
      <c r="X11" s="771"/>
      <c r="Y11" s="3001"/>
      <c r="Z11" s="55" t="str">
        <f t="shared" si="7"/>
        <v>容积率</v>
      </c>
      <c r="AA11" s="772" t="e">
        <f t="shared" si="3"/>
        <v>#N/A</v>
      </c>
      <c r="AB11" s="772" t="e">
        <f t="shared" si="4"/>
        <v>#N/A</v>
      </c>
      <c r="AC11" s="772" t="e">
        <f t="shared" si="5"/>
        <v>#N/A</v>
      </c>
    </row>
    <row r="12" spans="1:29" s="117" customFormat="1" ht="15">
      <c r="A12" s="430"/>
      <c r="B12" s="2606">
        <v>111</v>
      </c>
      <c r="C12" s="431"/>
      <c r="D12" s="432">
        <v>100</v>
      </c>
      <c r="E12" s="431"/>
      <c r="F12" s="424">
        <f>SUMIF(70:70,E12,71:71)-SUMIF(70:70,C12,71:71)+100</f>
        <v>100</v>
      </c>
      <c r="G12" s="431"/>
      <c r="H12" s="135">
        <f>SUMIF(70:70,G12,71:71)-SUMIF(70:70,C12,71:71)+100</f>
        <v>100</v>
      </c>
      <c r="I12" s="431"/>
      <c r="J12" s="135">
        <f>SUMIF(70:70,I12,71:71)-SUMIF(70:70,C12,71:71)+100</f>
        <v>100</v>
      </c>
      <c r="K12" s="2607"/>
      <c r="L12" s="1134"/>
      <c r="M12" s="1135"/>
      <c r="N12" s="1135"/>
      <c r="O12" s="1135"/>
      <c r="P12" s="3187"/>
      <c r="Q12" s="1797">
        <f t="shared" si="6"/>
        <v>111</v>
      </c>
      <c r="R12" s="769" t="s">
        <v>21</v>
      </c>
      <c r="S12" s="770">
        <f t="shared" si="0"/>
        <v>100</v>
      </c>
      <c r="T12" s="769" t="s">
        <v>21</v>
      </c>
      <c r="U12" s="770">
        <f t="shared" si="1"/>
        <v>100</v>
      </c>
      <c r="V12" s="769" t="s">
        <v>21</v>
      </c>
      <c r="W12" s="770">
        <f t="shared" si="2"/>
        <v>100</v>
      </c>
      <c r="X12" s="771"/>
      <c r="Y12" s="3001"/>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2607"/>
      <c r="L13" s="1142"/>
      <c r="M13" s="1133"/>
      <c r="N13" s="1133"/>
      <c r="O13" s="1133"/>
      <c r="P13" s="3187"/>
      <c r="Q13" s="1797">
        <f t="shared" si="6"/>
        <v>111</v>
      </c>
      <c r="R13" s="769" t="s">
        <v>21</v>
      </c>
      <c r="S13" s="770">
        <f t="shared" si="0"/>
        <v>100</v>
      </c>
      <c r="T13" s="769" t="s">
        <v>21</v>
      </c>
      <c r="U13" s="770">
        <f t="shared" si="1"/>
        <v>100</v>
      </c>
      <c r="V13" s="769" t="s">
        <v>21</v>
      </c>
      <c r="W13" s="770">
        <f t="shared" si="2"/>
        <v>100</v>
      </c>
      <c r="X13" s="771"/>
      <c r="Y13" s="3001"/>
      <c r="Z13" s="55">
        <f t="shared" si="7"/>
        <v>111</v>
      </c>
      <c r="AA13" s="772">
        <f t="shared" si="3"/>
        <v>1</v>
      </c>
      <c r="AB13" s="772">
        <f t="shared" si="4"/>
        <v>1</v>
      </c>
      <c r="AC13" s="772">
        <f t="shared" si="5"/>
        <v>1</v>
      </c>
    </row>
    <row r="14" spans="1:29" ht="15.75" thickBot="1">
      <c r="A14" s="435"/>
      <c r="B14" s="2608">
        <v>111</v>
      </c>
      <c r="C14" s="436"/>
      <c r="D14" s="437">
        <v>100</v>
      </c>
      <c r="E14" s="436"/>
      <c r="F14" s="438">
        <f>SUMIF(74:74,E14,75:75)-SUMIF(74:74,C14,75:75)+100</f>
        <v>100</v>
      </c>
      <c r="G14" s="436"/>
      <c r="H14" s="437">
        <f>SUMIF(74:74,G14,75:75)-SUMIF(74:74,C14,75:75)+100</f>
        <v>100</v>
      </c>
      <c r="I14" s="436"/>
      <c r="J14" s="437">
        <f>SUMIF(74:74,I14,75:75)-SUMIF(74:74,C14,75:75)+100</f>
        <v>100</v>
      </c>
      <c r="K14" s="2607"/>
      <c r="L14" s="1142"/>
      <c r="M14" s="1133"/>
      <c r="N14" s="1133"/>
      <c r="O14" s="1133"/>
      <c r="P14" s="3187"/>
      <c r="Q14" s="1797">
        <f t="shared" si="6"/>
        <v>111</v>
      </c>
      <c r="R14" s="769" t="s">
        <v>21</v>
      </c>
      <c r="S14" s="770">
        <f t="shared" si="0"/>
        <v>100</v>
      </c>
      <c r="T14" s="769" t="s">
        <v>21</v>
      </c>
      <c r="U14" s="770">
        <f t="shared" si="1"/>
        <v>100</v>
      </c>
      <c r="V14" s="769" t="s">
        <v>21</v>
      </c>
      <c r="W14" s="770">
        <f t="shared" si="2"/>
        <v>100</v>
      </c>
      <c r="X14" s="771"/>
      <c r="Y14" s="3001"/>
      <c r="Z14" s="55">
        <f t="shared" si="7"/>
        <v>111</v>
      </c>
      <c r="AA14" s="772">
        <f t="shared" si="3"/>
        <v>1</v>
      </c>
      <c r="AB14" s="772">
        <f t="shared" si="4"/>
        <v>1</v>
      </c>
      <c r="AC14" s="772">
        <f t="shared" si="5"/>
        <v>1</v>
      </c>
    </row>
    <row r="15" spans="1:29" ht="99.75">
      <c r="A15" s="439" t="s">
        <v>2563</v>
      </c>
      <c r="B15" s="69" t="s">
        <v>2089</v>
      </c>
      <c r="C15" s="260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85" t="s">
        <v>2564</v>
      </c>
      <c r="Q15" s="1812" t="str">
        <f t="shared" si="6"/>
        <v>居住社区成熟度</v>
      </c>
      <c r="R15" s="773" t="s">
        <v>21</v>
      </c>
      <c r="S15" s="774">
        <f t="shared" si="0"/>
        <v>100</v>
      </c>
      <c r="T15" s="773" t="s">
        <v>21</v>
      </c>
      <c r="U15" s="774">
        <f t="shared" si="1"/>
        <v>100</v>
      </c>
      <c r="V15" s="773" t="s">
        <v>21</v>
      </c>
      <c r="W15" s="774">
        <f t="shared" si="2"/>
        <v>100</v>
      </c>
      <c r="X15" s="1815"/>
      <c r="Y15" s="3178" t="s">
        <v>2564</v>
      </c>
      <c r="Z15" s="1816" t="str">
        <f t="shared" si="7"/>
        <v>居住社区成熟度</v>
      </c>
      <c r="AA15" s="1813">
        <f t="shared" si="3"/>
        <v>1</v>
      </c>
      <c r="AB15" s="1813">
        <f t="shared" si="4"/>
        <v>1</v>
      </c>
      <c r="AC15" s="1813">
        <f t="shared" si="5"/>
        <v>1</v>
      </c>
    </row>
    <row r="16" spans="1:29" ht="15">
      <c r="A16" s="427"/>
      <c r="B16" s="445"/>
      <c r="C16" s="446"/>
      <c r="D16" s="447"/>
      <c r="E16" s="2610"/>
      <c r="F16" s="447"/>
      <c r="G16" s="2611"/>
      <c r="H16" s="449"/>
      <c r="I16" s="2611"/>
      <c r="J16" s="447"/>
      <c r="K16" s="2612"/>
      <c r="L16" s="1142"/>
      <c r="M16" s="1133"/>
      <c r="N16" s="1133"/>
      <c r="O16" s="1133"/>
      <c r="P16" s="3186"/>
      <c r="Q16" s="1812"/>
      <c r="R16" s="773"/>
      <c r="S16" s="774"/>
      <c r="T16" s="773"/>
      <c r="U16" s="774"/>
      <c r="V16" s="773"/>
      <c r="W16" s="774"/>
      <c r="X16" s="1815"/>
      <c r="Y16" s="3179"/>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86"/>
      <c r="Q17" s="1812" t="str">
        <f>B17</f>
        <v>交通便捷度</v>
      </c>
      <c r="R17" s="773" t="s">
        <v>21</v>
      </c>
      <c r="S17" s="774">
        <f>F17</f>
        <v>100</v>
      </c>
      <c r="T17" s="773" t="s">
        <v>21</v>
      </c>
      <c r="U17" s="774">
        <f>H17</f>
        <v>100</v>
      </c>
      <c r="V17" s="773" t="s">
        <v>21</v>
      </c>
      <c r="W17" s="774">
        <f>J17</f>
        <v>100</v>
      </c>
      <c r="X17" s="1815"/>
      <c r="Y17" s="3179"/>
      <c r="Z17" s="1816" t="str">
        <f>Q17</f>
        <v>交通便捷度</v>
      </c>
      <c r="AA17" s="1813">
        <f t="shared" si="3"/>
        <v>1</v>
      </c>
      <c r="AB17" s="1813">
        <f t="shared" si="4"/>
        <v>1</v>
      </c>
      <c r="AC17" s="1813">
        <f t="shared" si="5"/>
        <v>1</v>
      </c>
    </row>
    <row r="18" spans="1:29" ht="15">
      <c r="A18" s="427"/>
      <c r="B18" s="455"/>
      <c r="C18" s="2614"/>
      <c r="D18" s="449"/>
      <c r="E18" s="2615"/>
      <c r="F18" s="449"/>
      <c r="G18" s="2616"/>
      <c r="H18" s="447"/>
      <c r="I18" s="2616"/>
      <c r="J18" s="447"/>
      <c r="K18" s="2612"/>
      <c r="L18" s="1142"/>
      <c r="M18" s="1133"/>
      <c r="N18" s="1133"/>
      <c r="O18" s="1133"/>
      <c r="P18" s="3186"/>
      <c r="Q18" s="1812"/>
      <c r="R18" s="773"/>
      <c r="S18" s="774"/>
      <c r="T18" s="773"/>
      <c r="U18" s="774"/>
      <c r="V18" s="773"/>
      <c r="W18" s="774"/>
      <c r="X18" s="1815"/>
      <c r="Y18" s="3179"/>
      <c r="Z18" s="1816"/>
      <c r="AA18" s="1813">
        <v>1</v>
      </c>
      <c r="AB18" s="1813">
        <v>1</v>
      </c>
      <c r="AC18" s="1813">
        <v>1</v>
      </c>
    </row>
    <row r="19" spans="1:29" ht="42.75">
      <c r="A19" s="427"/>
      <c r="B19" s="450" t="s">
        <v>2099</v>
      </c>
      <c r="C19" s="261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86"/>
      <c r="Q19" s="1812" t="str">
        <f>B19</f>
        <v>公共配套设施</v>
      </c>
      <c r="R19" s="773" t="s">
        <v>21</v>
      </c>
      <c r="S19" s="774">
        <f>F19</f>
        <v>100</v>
      </c>
      <c r="T19" s="773" t="s">
        <v>21</v>
      </c>
      <c r="U19" s="774">
        <f>H19</f>
        <v>100</v>
      </c>
      <c r="V19" s="773" t="s">
        <v>21</v>
      </c>
      <c r="W19" s="774">
        <f>J19</f>
        <v>100</v>
      </c>
      <c r="X19" s="1815"/>
      <c r="Y19" s="3179"/>
      <c r="Z19" s="1816" t="str">
        <f>Q19</f>
        <v>公共配套设施</v>
      </c>
      <c r="AA19" s="1813">
        <f t="shared" si="3"/>
        <v>1</v>
      </c>
      <c r="AB19" s="1813">
        <f t="shared" si="4"/>
        <v>1</v>
      </c>
      <c r="AC19" s="1813">
        <f t="shared" si="5"/>
        <v>1</v>
      </c>
    </row>
    <row r="20" spans="1:29" ht="15">
      <c r="A20" s="427"/>
      <c r="B20" s="455"/>
      <c r="C20" s="446"/>
      <c r="D20" s="447"/>
      <c r="E20" s="2610"/>
      <c r="F20" s="447"/>
      <c r="G20" s="2611"/>
      <c r="H20" s="447"/>
      <c r="I20" s="2611"/>
      <c r="J20" s="447"/>
      <c r="K20" s="2612"/>
      <c r="L20" s="1142"/>
      <c r="M20" s="1133"/>
      <c r="N20" s="1133"/>
      <c r="O20" s="1133"/>
      <c r="P20" s="3186"/>
      <c r="Q20" s="1812"/>
      <c r="R20" s="773"/>
      <c r="S20" s="774"/>
      <c r="T20" s="773"/>
      <c r="U20" s="774"/>
      <c r="V20" s="773"/>
      <c r="W20" s="774"/>
      <c r="X20" s="1815"/>
      <c r="Y20" s="3179"/>
      <c r="Z20" s="1816"/>
      <c r="AA20" s="1813">
        <v>1</v>
      </c>
      <c r="AB20" s="1813">
        <v>1</v>
      </c>
      <c r="AC20" s="1813">
        <v>1</v>
      </c>
    </row>
    <row r="21" spans="1:29" ht="28.5">
      <c r="A21" s="427"/>
      <c r="B21" s="1386" t="s">
        <v>2102</v>
      </c>
      <c r="C21" s="261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86"/>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7"/>
      <c r="G22" s="2617"/>
      <c r="H22" s="447"/>
      <c r="I22" s="446"/>
      <c r="J22" s="447"/>
      <c r="K22" s="2618"/>
      <c r="L22" s="1142"/>
      <c r="M22" s="1133"/>
      <c r="N22" s="1133"/>
      <c r="O22" s="1133"/>
      <c r="P22" s="3186"/>
      <c r="Q22" s="1812"/>
      <c r="R22" s="773"/>
      <c r="S22" s="774"/>
      <c r="T22" s="773"/>
      <c r="U22" s="774"/>
      <c r="V22" s="773"/>
      <c r="W22" s="774"/>
      <c r="X22" s="1815"/>
      <c r="Y22" s="3179"/>
      <c r="Z22" s="1816"/>
      <c r="AA22" s="1813">
        <v>1</v>
      </c>
      <c r="AB22" s="1813">
        <v>1</v>
      </c>
      <c r="AC22" s="1813">
        <v>1</v>
      </c>
    </row>
    <row r="23" spans="1:29" ht="57">
      <c r="A23" s="427"/>
      <c r="B23" s="450" t="s">
        <v>2106</v>
      </c>
      <c r="C23" s="261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86"/>
      <c r="Q23" s="1812" t="str">
        <f>B23</f>
        <v>自然及人文环境</v>
      </c>
      <c r="R23" s="773" t="s">
        <v>21</v>
      </c>
      <c r="S23" s="774">
        <f>F23</f>
        <v>100</v>
      </c>
      <c r="T23" s="773" t="s">
        <v>21</v>
      </c>
      <c r="U23" s="774">
        <f>H23</f>
        <v>100</v>
      </c>
      <c r="V23" s="773" t="s">
        <v>21</v>
      </c>
      <c r="W23" s="774">
        <f>J23</f>
        <v>100</v>
      </c>
      <c r="X23" s="1815"/>
      <c r="Y23" s="3179"/>
      <c r="Z23" s="1816" t="str">
        <f>Q23</f>
        <v>自然及人文环境</v>
      </c>
      <c r="AA23" s="1813">
        <f>D23/F23</f>
        <v>1</v>
      </c>
      <c r="AB23" s="1813">
        <f>D23/H23</f>
        <v>1</v>
      </c>
      <c r="AC23" s="1813">
        <f>D23/J23</f>
        <v>1</v>
      </c>
    </row>
    <row r="24" spans="1:29" ht="15">
      <c r="A24" s="427"/>
      <c r="B24" s="455"/>
      <c r="C24" s="446"/>
      <c r="D24" s="447"/>
      <c r="E24" s="2610"/>
      <c r="F24" s="447"/>
      <c r="G24" s="2611"/>
      <c r="H24" s="447"/>
      <c r="I24" s="2611"/>
      <c r="J24" s="447"/>
      <c r="K24" s="2612"/>
      <c r="L24" s="1142"/>
      <c r="M24" s="1133"/>
      <c r="N24" s="1133"/>
      <c r="O24" s="1133"/>
      <c r="P24" s="3186"/>
      <c r="Q24" s="1812"/>
      <c r="R24" s="773"/>
      <c r="S24" s="774"/>
      <c r="T24" s="773"/>
      <c r="U24" s="774"/>
      <c r="V24" s="773"/>
      <c r="W24" s="774"/>
      <c r="X24" s="1815"/>
      <c r="Y24" s="3179"/>
      <c r="Z24" s="1816"/>
      <c r="AA24" s="1813">
        <v>1</v>
      </c>
      <c r="AB24" s="1813">
        <v>1</v>
      </c>
      <c r="AC24" s="1813">
        <v>1</v>
      </c>
    </row>
    <row r="25" spans="1:29" ht="15">
      <c r="A25" s="427"/>
      <c r="B25" s="421" t="s">
        <v>2565</v>
      </c>
      <c r="C25" s="459"/>
      <c r="D25" s="434">
        <v>100</v>
      </c>
      <c r="E25" s="2619"/>
      <c r="F25" s="434">
        <f>SUMIF(86:86,E25,87:87)-SUMIF(86:86,C25,87:87)+100</f>
        <v>100</v>
      </c>
      <c r="G25" s="2620"/>
      <c r="H25" s="434">
        <f>SUMIF(86:86,G25,87:87)-SUMIF(86:86,C25,87:87)+100</f>
        <v>100</v>
      </c>
      <c r="I25" s="2620"/>
      <c r="J25" s="434">
        <f>SUMIF(86:86,I25,87:87)-SUMIF(86:86,C25,87:87)+100</f>
        <v>100</v>
      </c>
      <c r="K25" s="425"/>
      <c r="L25" s="1142"/>
      <c r="M25" s="1133"/>
      <c r="N25" s="1133"/>
      <c r="O25" s="1133"/>
      <c r="P25" s="318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79"/>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9"/>
      <c r="F26" s="434">
        <f>SUMIF(88:88,E26,89:89)-SUMIF(88:88,C26,89:89)+100</f>
        <v>100</v>
      </c>
      <c r="G26" s="2620"/>
      <c r="H26" s="434">
        <f>SUMIF(88:88,G26,89:89)-SUMIF(88:88,C26,89:89)+100</f>
        <v>100</v>
      </c>
      <c r="I26" s="2620"/>
      <c r="J26" s="434">
        <f>SUMIF(88:88,I26,89:89)-SUMIF(88:88,C26,89:89)+100</f>
        <v>100</v>
      </c>
      <c r="K26" s="425"/>
      <c r="L26" s="1142"/>
      <c r="M26" s="1133"/>
      <c r="N26" s="1133"/>
      <c r="O26" s="1133"/>
      <c r="P26" s="3186"/>
      <c r="Q26" s="1812" t="str">
        <f t="shared" si="11"/>
        <v>朝向</v>
      </c>
      <c r="R26" s="773" t="s">
        <v>21</v>
      </c>
      <c r="S26" s="774">
        <f t="shared" si="12"/>
        <v>100</v>
      </c>
      <c r="T26" s="773" t="s">
        <v>21</v>
      </c>
      <c r="U26" s="774">
        <f t="shared" si="13"/>
        <v>100</v>
      </c>
      <c r="V26" s="773" t="s">
        <v>21</v>
      </c>
      <c r="W26" s="774">
        <f t="shared" si="14"/>
        <v>100</v>
      </c>
      <c r="X26" s="1815"/>
      <c r="Y26" s="3179"/>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7"/>
      <c r="L27" s="1134"/>
      <c r="M27" s="1135"/>
      <c r="N27" s="1135"/>
      <c r="O27" s="1135"/>
      <c r="P27" s="3186"/>
      <c r="Q27" s="1797">
        <f t="shared" si="11"/>
        <v>111</v>
      </c>
      <c r="R27" s="769" t="s">
        <v>21</v>
      </c>
      <c r="S27" s="770">
        <f t="shared" si="12"/>
        <v>100</v>
      </c>
      <c r="T27" s="769" t="s">
        <v>21</v>
      </c>
      <c r="U27" s="770">
        <f t="shared" si="13"/>
        <v>100</v>
      </c>
      <c r="V27" s="769" t="s">
        <v>21</v>
      </c>
      <c r="W27" s="770">
        <f t="shared" si="14"/>
        <v>100</v>
      </c>
      <c r="X27" s="771"/>
      <c r="Y27" s="3179"/>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1"/>
      <c r="H28" s="434">
        <f>SUMIF(92:92,G28,93:93)-SUMIF(92:92,C28,93:93)+100</f>
        <v>100</v>
      </c>
      <c r="I28" s="433"/>
      <c r="J28" s="434">
        <f>SUMIF(92:92,I28,93:93)-SUMIF(92:92,C28,93:93)+100</f>
        <v>100</v>
      </c>
      <c r="K28" s="2607"/>
      <c r="L28" s="1142"/>
      <c r="M28" s="1133"/>
      <c r="N28" s="1133"/>
      <c r="O28" s="1133"/>
      <c r="P28" s="3186"/>
      <c r="Q28" s="1812">
        <f t="shared" si="11"/>
        <v>111</v>
      </c>
      <c r="R28" s="773" t="s">
        <v>21</v>
      </c>
      <c r="S28" s="774">
        <f t="shared" si="12"/>
        <v>100</v>
      </c>
      <c r="T28" s="773" t="s">
        <v>21</v>
      </c>
      <c r="U28" s="774">
        <f t="shared" si="13"/>
        <v>100</v>
      </c>
      <c r="V28" s="773" t="s">
        <v>21</v>
      </c>
      <c r="W28" s="774">
        <f t="shared" si="14"/>
        <v>100</v>
      </c>
      <c r="X28" s="1815"/>
      <c r="Y28" s="3179"/>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1"/>
      <c r="H29" s="434">
        <f>SUMIF(94:94,G29,95:95)-SUMIF(94:94,C29,95:95)+100</f>
        <v>100</v>
      </c>
      <c r="I29" s="433"/>
      <c r="J29" s="434">
        <f>SUMIF(94:94,I29,95:95)-SUMIF(94:94,C29,95:95)+100</f>
        <v>100</v>
      </c>
      <c r="K29" s="2607"/>
      <c r="L29" s="1142"/>
      <c r="M29" s="1133"/>
      <c r="N29" s="1133"/>
      <c r="O29" s="1133"/>
      <c r="P29" s="3186"/>
      <c r="Q29" s="1812">
        <f t="shared" si="11"/>
        <v>111</v>
      </c>
      <c r="R29" s="773" t="s">
        <v>21</v>
      </c>
      <c r="S29" s="774">
        <f t="shared" si="12"/>
        <v>100</v>
      </c>
      <c r="T29" s="773" t="s">
        <v>21</v>
      </c>
      <c r="U29" s="774">
        <f t="shared" si="13"/>
        <v>100</v>
      </c>
      <c r="V29" s="773" t="s">
        <v>21</v>
      </c>
      <c r="W29" s="774">
        <f t="shared" si="14"/>
        <v>100</v>
      </c>
      <c r="X29" s="1815"/>
      <c r="Y29" s="3179"/>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1"/>
      <c r="H30" s="434">
        <f>SUMIF(96:96,G30,97:97)-SUMIF(96:96,C30,97:97)+100</f>
        <v>100</v>
      </c>
      <c r="I30" s="433"/>
      <c r="J30" s="434">
        <f>SUMIF(96:96,I30,97:97)-SUMIF(96:96,C30,97:97)+100</f>
        <v>100</v>
      </c>
      <c r="K30" s="2607"/>
      <c r="L30" s="1142"/>
      <c r="M30" s="1133"/>
      <c r="N30" s="1133"/>
      <c r="O30" s="1133"/>
      <c r="P30" s="3186"/>
      <c r="Q30" s="1812">
        <f t="shared" si="11"/>
        <v>111</v>
      </c>
      <c r="R30" s="773" t="s">
        <v>21</v>
      </c>
      <c r="S30" s="774">
        <f t="shared" si="12"/>
        <v>100</v>
      </c>
      <c r="T30" s="773" t="s">
        <v>21</v>
      </c>
      <c r="U30" s="774">
        <f t="shared" si="13"/>
        <v>100</v>
      </c>
      <c r="V30" s="773" t="s">
        <v>21</v>
      </c>
      <c r="W30" s="774">
        <f t="shared" si="14"/>
        <v>100</v>
      </c>
      <c r="X30" s="1815"/>
      <c r="Y30" s="3179"/>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2"/>
      <c r="H31" s="437">
        <f>SUMIF(98:98,G31,99:99)-SUMIF(98:98,C31,99:99)+100</f>
        <v>100</v>
      </c>
      <c r="I31" s="436"/>
      <c r="J31" s="437">
        <f>SUMIF(98:98,I31,99:99)-SUMIF(98:98,C31,99:99)+100</f>
        <v>100</v>
      </c>
      <c r="K31" s="2607"/>
      <c r="L31" s="1142"/>
      <c r="M31" s="1133"/>
      <c r="N31" s="1133"/>
      <c r="O31" s="1133"/>
      <c r="P31" s="3186"/>
      <c r="Q31" s="1812">
        <f t="shared" si="11"/>
        <v>111</v>
      </c>
      <c r="R31" s="773" t="s">
        <v>21</v>
      </c>
      <c r="S31" s="774">
        <f t="shared" si="12"/>
        <v>100</v>
      </c>
      <c r="T31" s="773" t="s">
        <v>21</v>
      </c>
      <c r="U31" s="774">
        <f t="shared" si="13"/>
        <v>100</v>
      </c>
      <c r="V31" s="773" t="s">
        <v>21</v>
      </c>
      <c r="W31" s="774">
        <f t="shared" si="14"/>
        <v>100</v>
      </c>
      <c r="X31" s="1815"/>
      <c r="Y31" s="3179"/>
      <c r="Z31" s="1816">
        <f t="shared" si="18"/>
        <v>111</v>
      </c>
      <c r="AA31" s="1813">
        <f t="shared" si="15"/>
        <v>1</v>
      </c>
      <c r="AB31" s="1813">
        <f t="shared" si="16"/>
        <v>1</v>
      </c>
      <c r="AC31" s="1813">
        <f t="shared" si="17"/>
        <v>1</v>
      </c>
    </row>
    <row r="32" spans="1:29" ht="15">
      <c r="A32" s="439" t="s">
        <v>2567</v>
      </c>
      <c r="B32" s="71" t="s">
        <v>2568</v>
      </c>
      <c r="C32" s="2623"/>
      <c r="D32" s="466">
        <v>100</v>
      </c>
      <c r="E32" s="2624"/>
      <c r="F32" s="460">
        <f>SUMIF(100:100,E32,101:101)-SUMIF(100:100,C32,101:101)+100</f>
        <v>100</v>
      </c>
      <c r="G32" s="2623"/>
      <c r="H32" s="466">
        <f>SUMIF(100:100,G32,101:101)-SUMIF(100:100,C32,101:101)+100</f>
        <v>100</v>
      </c>
      <c r="I32" s="2624"/>
      <c r="J32" s="434">
        <f>SUMIF(100:100,I32,101:101)-SUMIF(100:100,C32,101:101)+100</f>
        <v>100</v>
      </c>
      <c r="K32" s="425"/>
      <c r="L32" s="1142"/>
      <c r="M32" s="1133"/>
      <c r="N32" s="1133"/>
      <c r="O32" s="1133"/>
      <c r="P32" s="3180" t="s">
        <v>2569</v>
      </c>
      <c r="Q32" s="1812" t="str">
        <f t="shared" si="11"/>
        <v>建筑类型</v>
      </c>
      <c r="R32" s="773" t="s">
        <v>21</v>
      </c>
      <c r="S32" s="774">
        <f t="shared" si="12"/>
        <v>100</v>
      </c>
      <c r="T32" s="773" t="s">
        <v>21</v>
      </c>
      <c r="U32" s="774">
        <f t="shared" si="13"/>
        <v>100</v>
      </c>
      <c r="V32" s="773" t="s">
        <v>21</v>
      </c>
      <c r="W32" s="774">
        <f t="shared" si="14"/>
        <v>100</v>
      </c>
      <c r="X32" s="1815"/>
      <c r="Y32" s="3183"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7"/>
      <c r="L33" s="1140"/>
      <c r="M33" s="1143"/>
      <c r="N33" s="1143"/>
      <c r="O33" s="1143"/>
      <c r="P33" s="3181"/>
      <c r="Q33" s="775" t="str">
        <f t="shared" si="11"/>
        <v>项目建筑规模</v>
      </c>
      <c r="R33" s="776" t="s">
        <v>21</v>
      </c>
      <c r="S33" s="777" t="e">
        <f t="shared" si="12"/>
        <v>#N/A</v>
      </c>
      <c r="T33" s="776" t="s">
        <v>21</v>
      </c>
      <c r="U33" s="777" t="e">
        <f t="shared" si="13"/>
        <v>#N/A</v>
      </c>
      <c r="V33" s="776" t="s">
        <v>21</v>
      </c>
      <c r="W33" s="777" t="e">
        <f t="shared" si="14"/>
        <v>#N/A</v>
      </c>
      <c r="X33" s="778"/>
      <c r="Y33" s="3183"/>
      <c r="Z33" s="779" t="str">
        <f t="shared" si="18"/>
        <v>项目建筑规模</v>
      </c>
      <c r="AA33" s="1813" t="e">
        <f t="shared" si="15"/>
        <v>#N/A</v>
      </c>
      <c r="AB33" s="1813" t="e">
        <f t="shared" si="16"/>
        <v>#N/A</v>
      </c>
      <c r="AC33" s="1813" t="e">
        <f t="shared" si="17"/>
        <v>#N/A</v>
      </c>
    </row>
    <row r="34" spans="1:29" ht="15">
      <c r="A34" s="471"/>
      <c r="B34" s="421" t="s">
        <v>2571</v>
      </c>
      <c r="C34" s="2625"/>
      <c r="D34" s="434">
        <v>100</v>
      </c>
      <c r="E34" s="2626"/>
      <c r="F34" s="460">
        <f>SUMIF(105:105,E34,106:106)-SUMIF(105:105,C34,106:106)+100</f>
        <v>100</v>
      </c>
      <c r="G34" s="2625"/>
      <c r="H34" s="434">
        <f>SUMIF(105:105,G34,106:106)-SUMIF(105:105,C34,106:106)+100</f>
        <v>100</v>
      </c>
      <c r="I34" s="2626"/>
      <c r="J34" s="434">
        <f>SUMIF(105:105,I34,106:106)-SUMIF(105:105,C34,106:106)+100</f>
        <v>100</v>
      </c>
      <c r="K34" s="425"/>
      <c r="L34" s="1142"/>
      <c r="M34" s="1133"/>
      <c r="N34" s="1133"/>
      <c r="O34" s="1133"/>
      <c r="P34" s="3181"/>
      <c r="Q34" s="1812" t="str">
        <f t="shared" si="11"/>
        <v>建筑结构</v>
      </c>
      <c r="R34" s="773" t="s">
        <v>21</v>
      </c>
      <c r="S34" s="774">
        <f t="shared" si="12"/>
        <v>100</v>
      </c>
      <c r="T34" s="773" t="s">
        <v>21</v>
      </c>
      <c r="U34" s="774">
        <f t="shared" si="13"/>
        <v>100</v>
      </c>
      <c r="V34" s="773" t="s">
        <v>21</v>
      </c>
      <c r="W34" s="774">
        <f t="shared" si="14"/>
        <v>100</v>
      </c>
      <c r="X34" s="1815"/>
      <c r="Y34" s="3183"/>
      <c r="Z34" s="1816" t="str">
        <f t="shared" si="18"/>
        <v>建筑结构</v>
      </c>
      <c r="AA34" s="1813">
        <f t="shared" si="15"/>
        <v>1</v>
      </c>
      <c r="AB34" s="1813">
        <f t="shared" si="16"/>
        <v>1</v>
      </c>
      <c r="AC34" s="1813">
        <f t="shared" si="17"/>
        <v>1</v>
      </c>
    </row>
    <row r="35" spans="1:29" ht="15">
      <c r="A35" s="471"/>
      <c r="B35" s="421" t="s">
        <v>2572</v>
      </c>
      <c r="C35" s="2619"/>
      <c r="D35" s="434">
        <v>100</v>
      </c>
      <c r="E35" s="2620"/>
      <c r="F35" s="460">
        <f>SUMIF(107:107,E35,108:108)-SUMIF(107:107,C35,108:108)+100</f>
        <v>100</v>
      </c>
      <c r="G35" s="2619"/>
      <c r="H35" s="434">
        <f>SUMIF(107:107,G35,108:108)-SUMIF(107:107,C35,108:108)+100</f>
        <v>100</v>
      </c>
      <c r="I35" s="2620"/>
      <c r="J35" s="434">
        <f>SUMIF(107:107,I35,108:108)-SUMIF(107:107,C35,108:108)+100</f>
        <v>100</v>
      </c>
      <c r="K35" s="425"/>
      <c r="L35" s="1142"/>
      <c r="M35" s="1133"/>
      <c r="N35" s="1133"/>
      <c r="O35" s="1133"/>
      <c r="P35" s="3181"/>
      <c r="Q35" s="1812" t="str">
        <f t="shared" si="11"/>
        <v>建筑品质</v>
      </c>
      <c r="R35" s="773" t="s">
        <v>21</v>
      </c>
      <c r="S35" s="774">
        <f t="shared" si="12"/>
        <v>100</v>
      </c>
      <c r="T35" s="773" t="s">
        <v>21</v>
      </c>
      <c r="U35" s="774">
        <f t="shared" si="13"/>
        <v>100</v>
      </c>
      <c r="V35" s="773" t="s">
        <v>21</v>
      </c>
      <c r="W35" s="774">
        <f t="shared" si="14"/>
        <v>100</v>
      </c>
      <c r="X35" s="1815"/>
      <c r="Y35" s="3183"/>
      <c r="Z35" s="1816" t="str">
        <f t="shared" si="18"/>
        <v>建筑品质</v>
      </c>
      <c r="AA35" s="1813">
        <f t="shared" si="15"/>
        <v>1</v>
      </c>
      <c r="AB35" s="1813">
        <f t="shared" si="16"/>
        <v>1</v>
      </c>
      <c r="AC35" s="1813">
        <f t="shared" si="17"/>
        <v>1</v>
      </c>
    </row>
    <row r="36" spans="1:29" ht="15">
      <c r="A36" s="471"/>
      <c r="B36" s="421" t="s">
        <v>2573</v>
      </c>
      <c r="C36" s="2619"/>
      <c r="D36" s="434">
        <v>100</v>
      </c>
      <c r="E36" s="2620"/>
      <c r="F36" s="460">
        <f>SUMIF(109:109,E36,110:110)-SUMIF(109:109,C36,110:110)+100</f>
        <v>100</v>
      </c>
      <c r="G36" s="2619"/>
      <c r="H36" s="434">
        <f>SUMIF(109:109,G36,110:110)-SUMIF(109:109,C36,110:110)+100</f>
        <v>100</v>
      </c>
      <c r="I36" s="2620"/>
      <c r="J36" s="434">
        <f>SUMIF(109:109,I36,110:110)-SUMIF(109:109,C36,110:110)+100</f>
        <v>100</v>
      </c>
      <c r="K36" s="425"/>
      <c r="L36" s="1142"/>
      <c r="M36" s="1133"/>
      <c r="N36" s="1133"/>
      <c r="O36" s="1133"/>
      <c r="P36" s="3181"/>
      <c r="Q36" s="1812" t="str">
        <f t="shared" si="11"/>
        <v>公共部分装修</v>
      </c>
      <c r="R36" s="773" t="s">
        <v>21</v>
      </c>
      <c r="S36" s="774">
        <f t="shared" si="12"/>
        <v>100</v>
      </c>
      <c r="T36" s="773" t="s">
        <v>21</v>
      </c>
      <c r="U36" s="774">
        <f t="shared" si="13"/>
        <v>100</v>
      </c>
      <c r="V36" s="773" t="s">
        <v>21</v>
      </c>
      <c r="W36" s="774">
        <f t="shared" si="14"/>
        <v>100</v>
      </c>
      <c r="X36" s="1815"/>
      <c r="Y36" s="3183"/>
      <c r="Z36" s="1816" t="str">
        <f t="shared" si="18"/>
        <v>公共部分装修</v>
      </c>
      <c r="AA36" s="1813">
        <f t="shared" si="15"/>
        <v>1</v>
      </c>
      <c r="AB36" s="1813">
        <f t="shared" si="16"/>
        <v>1</v>
      </c>
      <c r="AC36" s="1813">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181"/>
      <c r="Q37" s="1797" t="str">
        <f t="shared" si="11"/>
        <v>成新度</v>
      </c>
      <c r="R37" s="769" t="s">
        <v>21</v>
      </c>
      <c r="S37" s="770" t="e">
        <f t="shared" si="12"/>
        <v>#N/A</v>
      </c>
      <c r="T37" s="769" t="s">
        <v>21</v>
      </c>
      <c r="U37" s="770" t="e">
        <f t="shared" si="13"/>
        <v>#N/A</v>
      </c>
      <c r="V37" s="769" t="s">
        <v>21</v>
      </c>
      <c r="W37" s="770" t="e">
        <f t="shared" si="14"/>
        <v>#N/A</v>
      </c>
      <c r="X37" s="771"/>
      <c r="Y37" s="3183"/>
      <c r="Z37" s="55" t="str">
        <f t="shared" si="18"/>
        <v>成新度</v>
      </c>
      <c r="AA37" s="772" t="e">
        <f t="shared" si="15"/>
        <v>#N/A</v>
      </c>
      <c r="AB37" s="772" t="e">
        <f t="shared" si="16"/>
        <v>#N/A</v>
      </c>
      <c r="AC37" s="772" t="e">
        <f t="shared" si="17"/>
        <v>#N/A</v>
      </c>
    </row>
    <row r="38" spans="1:29" ht="15">
      <c r="A38" s="471"/>
      <c r="B38" s="421" t="s">
        <v>2575</v>
      </c>
      <c r="C38" s="2619"/>
      <c r="D38" s="434">
        <v>100</v>
      </c>
      <c r="E38" s="2620"/>
      <c r="F38" s="460">
        <f>SUMIF(114:114,E38,115:115)-SUMIF(114:114,C38,115:115)+100</f>
        <v>100</v>
      </c>
      <c r="G38" s="2619"/>
      <c r="H38" s="434">
        <f>SUMIF(114:114,G38,115:115)-SUMIF(114:114,C38,115:115)+100</f>
        <v>100</v>
      </c>
      <c r="I38" s="2620"/>
      <c r="J38" s="434">
        <f>SUMIF(114:114,I38,115:115)-SUMIF(114:114,C38,115:115)+100</f>
        <v>100</v>
      </c>
      <c r="K38" s="425"/>
      <c r="L38" s="1142"/>
      <c r="M38" s="1133"/>
      <c r="N38" s="1133"/>
      <c r="O38" s="1133"/>
      <c r="P38" s="3181" t="s">
        <v>2569</v>
      </c>
      <c r="Q38" s="1812" t="str">
        <f t="shared" si="11"/>
        <v>物业管理</v>
      </c>
      <c r="R38" s="773" t="s">
        <v>21</v>
      </c>
      <c r="S38" s="774">
        <f t="shared" si="12"/>
        <v>100</v>
      </c>
      <c r="T38" s="773" t="s">
        <v>21</v>
      </c>
      <c r="U38" s="774">
        <f t="shared" si="13"/>
        <v>100</v>
      </c>
      <c r="V38" s="773" t="s">
        <v>21</v>
      </c>
      <c r="W38" s="774">
        <f t="shared" si="14"/>
        <v>100</v>
      </c>
      <c r="X38" s="1815"/>
      <c r="Y38" s="3183" t="s">
        <v>2569</v>
      </c>
      <c r="Z38" s="1816" t="str">
        <f t="shared" si="18"/>
        <v>物业管理</v>
      </c>
      <c r="AA38" s="1813">
        <f t="shared" si="15"/>
        <v>1</v>
      </c>
      <c r="AB38" s="1813">
        <f t="shared" si="16"/>
        <v>1</v>
      </c>
      <c r="AC38" s="1813">
        <f t="shared" si="17"/>
        <v>1</v>
      </c>
    </row>
    <row r="39" spans="1:29" ht="15">
      <c r="A39" s="471"/>
      <c r="B39" s="421" t="s">
        <v>2576</v>
      </c>
      <c r="C39" s="2619"/>
      <c r="D39" s="434">
        <v>100</v>
      </c>
      <c r="E39" s="2620"/>
      <c r="F39" s="460">
        <f>SUMIF(116:116,E39,117:117)-SUMIF(116:116,C39,117:117)+100</f>
        <v>100</v>
      </c>
      <c r="G39" s="2619"/>
      <c r="H39" s="434">
        <f>SUMIF(116:116,G39,117:117)-SUMIF(116:116,C39,117:117)+100</f>
        <v>100</v>
      </c>
      <c r="I39" s="2620"/>
      <c r="J39" s="434">
        <f>SUMIF(116:116,I39,117:117)-SUMIF(116:116,C39,117:117)+100</f>
        <v>100</v>
      </c>
      <c r="K39" s="425"/>
      <c r="L39" s="1142"/>
      <c r="M39" s="1133"/>
      <c r="N39" s="1133"/>
      <c r="O39" s="1133"/>
      <c r="P39" s="3181"/>
      <c r="Q39" s="1812" t="str">
        <f t="shared" si="11"/>
        <v>市政基础设施</v>
      </c>
      <c r="R39" s="773" t="s">
        <v>21</v>
      </c>
      <c r="S39" s="774">
        <f t="shared" si="12"/>
        <v>100</v>
      </c>
      <c r="T39" s="773" t="s">
        <v>21</v>
      </c>
      <c r="U39" s="774">
        <f t="shared" si="13"/>
        <v>100</v>
      </c>
      <c r="V39" s="773" t="s">
        <v>21</v>
      </c>
      <c r="W39" s="774">
        <f t="shared" si="14"/>
        <v>100</v>
      </c>
      <c r="X39" s="1815"/>
      <c r="Y39" s="3183"/>
      <c r="Z39" s="1816" t="str">
        <f t="shared" si="18"/>
        <v>市政基础设施</v>
      </c>
      <c r="AA39" s="1813">
        <f t="shared" si="15"/>
        <v>1</v>
      </c>
      <c r="AB39" s="1813">
        <f t="shared" si="16"/>
        <v>1</v>
      </c>
      <c r="AC39" s="1813">
        <f t="shared" si="17"/>
        <v>1</v>
      </c>
    </row>
    <row r="40" spans="1:29" ht="15">
      <c r="A40" s="471"/>
      <c r="B40" s="421" t="s">
        <v>2577</v>
      </c>
      <c r="C40" s="2619"/>
      <c r="D40" s="434">
        <v>100</v>
      </c>
      <c r="E40" s="2620"/>
      <c r="F40" s="460">
        <f>SUMIF(118:118,E40,119:119)-SUMIF(118:118,C40,119:119)+100</f>
        <v>100</v>
      </c>
      <c r="G40" s="2619"/>
      <c r="H40" s="434">
        <f>SUMIF(118:118,G40,119:119)-SUMIF(118:118,C40,119:119)+100</f>
        <v>100</v>
      </c>
      <c r="I40" s="2620"/>
      <c r="J40" s="434">
        <f>SUMIF(118:118,I40,119:119)-SUMIF(118:118,C40,119:119)+100</f>
        <v>100</v>
      </c>
      <c r="K40" s="425"/>
      <c r="L40" s="1142"/>
      <c r="M40" s="1133"/>
      <c r="N40" s="1133"/>
      <c r="O40" s="1133"/>
      <c r="P40" s="3181"/>
      <c r="Q40" s="1812" t="str">
        <f t="shared" si="11"/>
        <v>房型</v>
      </c>
      <c r="R40" s="773" t="s">
        <v>21</v>
      </c>
      <c r="S40" s="774">
        <f t="shared" si="12"/>
        <v>100</v>
      </c>
      <c r="T40" s="773" t="s">
        <v>21</v>
      </c>
      <c r="U40" s="774">
        <f t="shared" si="13"/>
        <v>100</v>
      </c>
      <c r="V40" s="773" t="s">
        <v>21</v>
      </c>
      <c r="W40" s="774">
        <f t="shared" si="14"/>
        <v>100</v>
      </c>
      <c r="X40" s="1815"/>
      <c r="Y40" s="3183"/>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7"/>
      <c r="L41" s="1140"/>
      <c r="M41" s="1143"/>
      <c r="N41" s="1143"/>
      <c r="O41" s="1143"/>
      <c r="P41" s="3181"/>
      <c r="Q41" s="775" t="str">
        <f t="shared" si="11"/>
        <v>单套/主力户型建筑面积</v>
      </c>
      <c r="R41" s="776" t="s">
        <v>21</v>
      </c>
      <c r="S41" s="777">
        <f t="shared" si="12"/>
        <v>100</v>
      </c>
      <c r="T41" s="776" t="s">
        <v>21</v>
      </c>
      <c r="U41" s="777">
        <f t="shared" si="13"/>
        <v>100</v>
      </c>
      <c r="V41" s="776" t="s">
        <v>21</v>
      </c>
      <c r="W41" s="777">
        <f t="shared" si="14"/>
        <v>100</v>
      </c>
      <c r="X41" s="778"/>
      <c r="Y41" s="3183"/>
      <c r="Z41" s="779" t="str">
        <f t="shared" si="18"/>
        <v>单套/主力户型建筑面积</v>
      </c>
      <c r="AA41" s="1813">
        <f t="shared" si="15"/>
        <v>1</v>
      </c>
      <c r="AB41" s="1813">
        <f t="shared" si="16"/>
        <v>1</v>
      </c>
      <c r="AC41" s="1813">
        <f t="shared" si="17"/>
        <v>1</v>
      </c>
    </row>
    <row r="42" spans="1:29" ht="15">
      <c r="A42" s="471"/>
      <c r="B42" s="421" t="s">
        <v>2579</v>
      </c>
      <c r="C42" s="2619"/>
      <c r="D42" s="434">
        <v>100</v>
      </c>
      <c r="E42" s="2620"/>
      <c r="F42" s="460">
        <f>SUMIF(122:122,E42,123:123)-SUMIF(122:122,C42,123:123)+100</f>
        <v>100</v>
      </c>
      <c r="G42" s="2619"/>
      <c r="H42" s="434">
        <f>SUMIF(122:122,G42,123:123)-SUMIF(122:122,C42,123:123)+100</f>
        <v>100</v>
      </c>
      <c r="I42" s="2620"/>
      <c r="J42" s="434">
        <f>SUMIF(122:122,I42,123:123)-SUMIF(122:122,C42,123:123)+100</f>
        <v>100</v>
      </c>
      <c r="K42" s="425"/>
      <c r="L42" s="1142"/>
      <c r="M42" s="1133"/>
      <c r="N42" s="1133"/>
      <c r="O42" s="1133"/>
      <c r="P42" s="3181"/>
      <c r="Q42" s="1812" t="str">
        <f t="shared" si="11"/>
        <v>内部装修</v>
      </c>
      <c r="R42" s="773" t="s">
        <v>21</v>
      </c>
      <c r="S42" s="774">
        <f t="shared" si="12"/>
        <v>100</v>
      </c>
      <c r="T42" s="773" t="s">
        <v>21</v>
      </c>
      <c r="U42" s="774">
        <f t="shared" si="13"/>
        <v>100</v>
      </c>
      <c r="V42" s="773" t="s">
        <v>21</v>
      </c>
      <c r="W42" s="774">
        <f t="shared" si="14"/>
        <v>100</v>
      </c>
      <c r="X42" s="1815"/>
      <c r="Y42" s="3183"/>
      <c r="Z42" s="1816" t="str">
        <f t="shared" si="18"/>
        <v>内部装修</v>
      </c>
      <c r="AA42" s="1813">
        <f t="shared" si="15"/>
        <v>1</v>
      </c>
      <c r="AB42" s="1813">
        <f t="shared" si="16"/>
        <v>1</v>
      </c>
      <c r="AC42" s="1813">
        <f t="shared" si="17"/>
        <v>1</v>
      </c>
    </row>
    <row r="43" spans="1:29" ht="15">
      <c r="A43" s="471"/>
      <c r="B43" s="421" t="s">
        <v>2580</v>
      </c>
      <c r="C43" s="2619"/>
      <c r="D43" s="434">
        <v>100</v>
      </c>
      <c r="E43" s="2620"/>
      <c r="F43" s="460">
        <f>SUMIF(124:124,E43,125:125)-SUMIF(124:124,C43,125:125)+100</f>
        <v>100</v>
      </c>
      <c r="G43" s="2619"/>
      <c r="H43" s="434">
        <f>SUMIF(124:124,G43,125:125)-SUMIF(124:124,C43,125:125)+100</f>
        <v>100</v>
      </c>
      <c r="I43" s="2620"/>
      <c r="J43" s="434">
        <f>SUMIF(124:124,I43,125:125)-SUMIF(124:124,C43,125:125)+100</f>
        <v>100</v>
      </c>
      <c r="K43" s="425"/>
      <c r="L43" s="1142"/>
      <c r="M43" s="1133"/>
      <c r="N43" s="1133"/>
      <c r="O43" s="1133"/>
      <c r="P43" s="3181"/>
      <c r="Q43" s="1812" t="str">
        <f t="shared" si="11"/>
        <v>内部装修维护情况</v>
      </c>
      <c r="R43" s="773" t="s">
        <v>21</v>
      </c>
      <c r="S43" s="774">
        <f t="shared" si="12"/>
        <v>100</v>
      </c>
      <c r="T43" s="773" t="s">
        <v>21</v>
      </c>
      <c r="U43" s="774">
        <f t="shared" si="13"/>
        <v>100</v>
      </c>
      <c r="V43" s="773" t="s">
        <v>21</v>
      </c>
      <c r="W43" s="774">
        <f t="shared" si="14"/>
        <v>100</v>
      </c>
      <c r="X43" s="1815"/>
      <c r="Y43" s="3183"/>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7"/>
      <c r="L44" s="1134"/>
      <c r="M44" s="1135"/>
      <c r="N44" s="1135"/>
      <c r="O44" s="1135"/>
      <c r="P44" s="3181"/>
      <c r="Q44" s="1797">
        <f t="shared" si="11"/>
        <v>111</v>
      </c>
      <c r="R44" s="769" t="s">
        <v>21</v>
      </c>
      <c r="S44" s="770">
        <f t="shared" si="12"/>
        <v>100</v>
      </c>
      <c r="T44" s="769" t="s">
        <v>21</v>
      </c>
      <c r="U44" s="770">
        <f t="shared" si="13"/>
        <v>100</v>
      </c>
      <c r="V44" s="769" t="s">
        <v>21</v>
      </c>
      <c r="W44" s="770">
        <f t="shared" si="14"/>
        <v>100</v>
      </c>
      <c r="X44" s="771"/>
      <c r="Y44" s="3183"/>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7"/>
      <c r="L45" s="1142"/>
      <c r="M45" s="1133"/>
      <c r="N45" s="1133"/>
      <c r="O45" s="1133"/>
      <c r="P45" s="3181"/>
      <c r="Q45" s="1812">
        <f t="shared" si="11"/>
        <v>111</v>
      </c>
      <c r="R45" s="773" t="s">
        <v>21</v>
      </c>
      <c r="S45" s="774">
        <f t="shared" si="12"/>
        <v>100</v>
      </c>
      <c r="T45" s="773" t="s">
        <v>21</v>
      </c>
      <c r="U45" s="774">
        <f t="shared" si="13"/>
        <v>100</v>
      </c>
      <c r="V45" s="773" t="s">
        <v>21</v>
      </c>
      <c r="W45" s="774">
        <f t="shared" si="14"/>
        <v>100</v>
      </c>
      <c r="X45" s="1815"/>
      <c r="Y45" s="3183"/>
      <c r="Z45" s="1816">
        <f t="shared" si="18"/>
        <v>111</v>
      </c>
      <c r="AA45" s="1813">
        <f t="shared" si="15"/>
        <v>1</v>
      </c>
      <c r="AB45" s="1813">
        <f t="shared" si="16"/>
        <v>1</v>
      </c>
      <c r="AC45" s="1813">
        <f t="shared" si="17"/>
        <v>1</v>
      </c>
    </row>
    <row r="46" spans="1:29" ht="15.75" thickBot="1">
      <c r="A46" s="477"/>
      <c r="B46" s="260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7"/>
      <c r="L46" s="1142"/>
      <c r="M46" s="1133"/>
      <c r="N46" s="1133"/>
      <c r="O46" s="1133"/>
      <c r="P46" s="3182"/>
      <c r="Q46" s="1812">
        <f t="shared" si="11"/>
        <v>111</v>
      </c>
      <c r="R46" s="773" t="s">
        <v>20</v>
      </c>
      <c r="S46" s="774">
        <f t="shared" si="12"/>
        <v>100</v>
      </c>
      <c r="T46" s="773" t="s">
        <v>20</v>
      </c>
      <c r="U46" s="774">
        <f t="shared" si="13"/>
        <v>100</v>
      </c>
      <c r="V46" s="773" t="s">
        <v>20</v>
      </c>
      <c r="W46" s="774">
        <f t="shared" si="14"/>
        <v>100</v>
      </c>
      <c r="X46" s="1815"/>
      <c r="Y46" s="3184"/>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7"/>
      <c r="L47" s="1145"/>
      <c r="M47" s="1146"/>
      <c r="N47" s="1133"/>
      <c r="O47" s="1146"/>
      <c r="P47" s="3176" t="str">
        <f>A47</f>
        <v>成交单价（元/平方米）</v>
      </c>
      <c r="Q47" s="3176"/>
      <c r="R47" s="3177">
        <f>E47</f>
        <v>0</v>
      </c>
      <c r="S47" s="3177"/>
      <c r="T47" s="3177">
        <f>G47</f>
        <v>0</v>
      </c>
      <c r="U47" s="3177"/>
      <c r="V47" s="3177">
        <f>I47</f>
        <v>0</v>
      </c>
      <c r="W47" s="3177"/>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8"/>
      <c r="L48" s="1145"/>
      <c r="M48" s="1146"/>
      <c r="N48" s="1146"/>
      <c r="O48" s="1146"/>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9"/>
      <c r="L49" s="1145"/>
      <c r="M49" s="1146"/>
      <c r="N49" s="1146"/>
      <c r="O49" s="1146"/>
      <c r="P49" s="3173" t="str">
        <f>A49</f>
        <v>估价对象XX用房的比较价值（楼面单价，元/平方米）</v>
      </c>
      <c r="Q49" s="3174"/>
      <c r="R49" s="3175" t="e">
        <f>IF(F1="售价",ROUND(AVERAGE(R48:V48),0),ROUND(AVERAGE(R48:V48),1))</f>
        <v>#DIV/0!</v>
      </c>
      <c r="S49" s="3175"/>
      <c r="T49" s="3175"/>
      <c r="U49" s="3175"/>
      <c r="V49" s="3175"/>
      <c r="W49" s="317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1"/>
    </row>
    <row r="55" spans="1:29" s="501" customFormat="1">
      <c r="A55" s="1147"/>
      <c r="B55" s="1148"/>
      <c r="C55" s="1152"/>
      <c r="D55" s="1147"/>
      <c r="E55" s="1147"/>
      <c r="F55" s="1147"/>
      <c r="G55" s="1147"/>
      <c r="H55" s="1147"/>
      <c r="I55" s="1147"/>
      <c r="J55" s="1147"/>
      <c r="K55" s="1150"/>
      <c r="L55" s="1151"/>
      <c r="M55" s="1147"/>
      <c r="N55" s="1147"/>
      <c r="O55" s="1147"/>
      <c r="P55" s="2631"/>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2"/>
      <c r="Q57" s="503"/>
    </row>
    <row r="58" spans="1:29" s="507" customFormat="1" ht="15">
      <c r="A58" s="504" t="s">
        <v>2588</v>
      </c>
      <c r="B58" s="505"/>
      <c r="C58" s="1578" t="str">
        <f>YEAR(C7)&amp;"-"&amp;MONTH(C7)</f>
        <v>2018-9</v>
      </c>
      <c r="D58" s="1577">
        <f>EDATE(C58,-1)</f>
        <v>43313</v>
      </c>
      <c r="E58" s="1577">
        <f>EDATE(D58,-1)</f>
        <v>43282</v>
      </c>
      <c r="F58" s="1577">
        <f t="shared" ref="F58:O58" si="19">EDATE(E58,-1)</f>
        <v>43252</v>
      </c>
      <c r="G58" s="1577">
        <f t="shared" si="19"/>
        <v>43221</v>
      </c>
      <c r="H58" s="1577">
        <f t="shared" si="19"/>
        <v>43191</v>
      </c>
      <c r="I58" s="1577">
        <f t="shared" si="19"/>
        <v>43160</v>
      </c>
      <c r="J58" s="1577">
        <f t="shared" si="19"/>
        <v>43132</v>
      </c>
      <c r="K58" s="1577">
        <f t="shared" si="19"/>
        <v>43101</v>
      </c>
      <c r="L58" s="1577">
        <f t="shared" si="19"/>
        <v>43070</v>
      </c>
      <c r="M58" s="1577">
        <f t="shared" si="19"/>
        <v>43040</v>
      </c>
      <c r="N58" s="1577">
        <f t="shared" si="19"/>
        <v>43009</v>
      </c>
      <c r="O58" s="1577">
        <f t="shared" si="19"/>
        <v>42979</v>
      </c>
      <c r="P58" s="1572"/>
    </row>
    <row r="59" spans="1:29" s="117" customFormat="1" ht="15">
      <c r="A59" s="508"/>
      <c r="B59" s="2633"/>
      <c r="C59" s="1575">
        <v>100</v>
      </c>
      <c r="D59" s="510"/>
      <c r="E59" s="511"/>
      <c r="F59" s="511"/>
      <c r="G59" s="511"/>
      <c r="H59" s="511"/>
      <c r="I59" s="511"/>
      <c r="J59" s="511"/>
      <c r="K59" s="511"/>
      <c r="L59" s="511"/>
      <c r="M59" s="512"/>
      <c r="N59" s="511"/>
      <c r="O59" s="512"/>
      <c r="P59" s="2634"/>
    </row>
    <row r="60" spans="1:29" s="117" customFormat="1" ht="15.75" thickBot="1">
      <c r="A60" s="514" t="s">
        <v>2589</v>
      </c>
      <c r="B60" s="515"/>
      <c r="C60" s="516"/>
      <c r="D60" s="517"/>
      <c r="E60" s="517"/>
      <c r="F60" s="517"/>
      <c r="G60" s="517"/>
      <c r="H60" s="517"/>
      <c r="I60" s="517"/>
      <c r="J60" s="517"/>
      <c r="K60" s="517"/>
      <c r="L60" s="517"/>
      <c r="M60" s="518"/>
      <c r="N60" s="517"/>
      <c r="O60" s="518"/>
      <c r="P60" s="2634"/>
      <c r="Q60" s="503"/>
    </row>
    <row r="61" spans="1:29" s="117" customFormat="1" ht="15">
      <c r="A61" s="520" t="s">
        <v>2590</v>
      </c>
      <c r="B61" s="509"/>
      <c r="C61" s="521" t="s">
        <v>2591</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2592</v>
      </c>
      <c r="B63" s="527" t="s">
        <v>2558</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6"/>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59"/>
      <c r="E73" s="559"/>
      <c r="F73" s="559"/>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6"/>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2614</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6"/>
      <c r="Q87" s="503"/>
    </row>
    <row r="88" spans="1:17" s="117" customFormat="1" ht="15.75" thickTop="1">
      <c r="A88" s="578"/>
      <c r="B88" s="537" t="s">
        <v>2615</v>
      </c>
      <c r="C88" s="553"/>
      <c r="D88" s="553"/>
      <c r="E88" s="553"/>
      <c r="F88" s="2641"/>
      <c r="G88" s="553"/>
      <c r="H88" s="553"/>
      <c r="I88" s="553"/>
      <c r="J88" s="553"/>
      <c r="K88" s="553"/>
      <c r="L88" s="553"/>
      <c r="M88" s="580"/>
      <c r="N88" s="1153"/>
      <c r="O88" s="1153"/>
      <c r="P88" s="263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6"/>
      <c r="Q89" s="503"/>
    </row>
    <row r="90" spans="1:17" s="470" customFormat="1" ht="15.75" thickTop="1">
      <c r="A90" s="552"/>
      <c r="B90" s="537">
        <f>B27</f>
        <v>111</v>
      </c>
      <c r="C90" s="553"/>
      <c r="D90" s="553"/>
      <c r="E90" s="553"/>
      <c r="F90" s="553"/>
      <c r="G90" s="553"/>
      <c r="H90" s="554"/>
      <c r="I90" s="554"/>
      <c r="J90" s="554"/>
      <c r="K90" s="554"/>
      <c r="L90" s="555"/>
      <c r="M90" s="556"/>
      <c r="N90" s="1156"/>
      <c r="O90" s="1156"/>
      <c r="P90" s="2637"/>
      <c r="Q90" s="558"/>
    </row>
    <row r="91" spans="1:17" s="470" customFormat="1" ht="15.75" thickBot="1">
      <c r="A91" s="552"/>
      <c r="B91" s="542"/>
      <c r="C91" s="559"/>
      <c r="D91" s="559"/>
      <c r="E91" s="559"/>
      <c r="F91" s="559"/>
      <c r="G91" s="559"/>
      <c r="H91" s="561"/>
      <c r="I91" s="561"/>
      <c r="J91" s="561"/>
      <c r="K91" s="561"/>
      <c r="L91" s="561"/>
      <c r="M91" s="562"/>
      <c r="N91" s="1156"/>
      <c r="O91" s="1156"/>
      <c r="P91" s="2637"/>
      <c r="Q91" s="558"/>
    </row>
    <row r="92" spans="1:17" ht="15.75" thickTop="1">
      <c r="A92" s="533"/>
      <c r="B92" s="537">
        <f>B28</f>
        <v>111</v>
      </c>
      <c r="C92" s="553"/>
      <c r="D92" s="553"/>
      <c r="E92" s="553"/>
      <c r="F92" s="553"/>
      <c r="G92" s="582"/>
      <c r="H92" s="582"/>
      <c r="I92" s="582"/>
      <c r="J92" s="582"/>
      <c r="K92" s="583"/>
      <c r="L92" s="584"/>
      <c r="M92" s="585"/>
      <c r="N92" s="1154"/>
      <c r="O92" s="1154"/>
      <c r="P92" s="2636"/>
      <c r="Q92" s="503"/>
    </row>
    <row r="93" spans="1:17" ht="15.75" thickBot="1">
      <c r="A93" s="533"/>
      <c r="B93" s="542"/>
      <c r="C93" s="559"/>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59"/>
      <c r="E95" s="559"/>
      <c r="F95" s="559"/>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69"/>
      <c r="D97" s="569"/>
      <c r="E97" s="569"/>
      <c r="F97" s="569"/>
      <c r="G97" s="535"/>
      <c r="H97" s="535"/>
      <c r="I97" s="535"/>
      <c r="J97" s="535"/>
      <c r="K97" s="535"/>
      <c r="L97" s="535"/>
      <c r="M97" s="536"/>
      <c r="N97" s="1155"/>
      <c r="O97" s="1155"/>
      <c r="P97" s="2636"/>
      <c r="Q97" s="503"/>
    </row>
    <row r="98" spans="1:17" ht="15.75" thickTop="1">
      <c r="A98" s="533"/>
      <c r="B98" s="545">
        <f>B31</f>
        <v>111</v>
      </c>
      <c r="C98" s="586"/>
      <c r="D98" s="586"/>
      <c r="E98" s="586"/>
      <c r="F98" s="586"/>
      <c r="G98" s="586"/>
      <c r="H98" s="586"/>
      <c r="I98" s="586"/>
      <c r="J98" s="586"/>
      <c r="K98" s="587"/>
      <c r="L98" s="588"/>
      <c r="M98" s="589"/>
      <c r="N98" s="1154"/>
      <c r="O98" s="1154"/>
      <c r="P98" s="2636"/>
      <c r="Q98" s="503"/>
    </row>
    <row r="99" spans="1:17" ht="15.75" thickBot="1">
      <c r="A99" s="2642"/>
      <c r="B99" s="568"/>
      <c r="C99" s="590"/>
      <c r="D99" s="590"/>
      <c r="E99" s="590"/>
      <c r="F99" s="590"/>
      <c r="G99" s="590"/>
      <c r="H99" s="590"/>
      <c r="I99" s="590"/>
      <c r="J99" s="590"/>
      <c r="K99" s="590"/>
      <c r="L99" s="590"/>
      <c r="M99" s="591"/>
      <c r="N99" s="1155"/>
      <c r="O99" s="1155"/>
      <c r="P99" s="2636"/>
      <c r="Q99" s="503"/>
    </row>
    <row r="100" spans="1:17">
      <c r="A100" s="526" t="s">
        <v>2567</v>
      </c>
      <c r="B100" s="527" t="s">
        <v>2616</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6"/>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7"/>
      <c r="Q104" s="558"/>
    </row>
    <row r="105" spans="1:17" ht="15" thickTop="1">
      <c r="A105" s="598"/>
      <c r="B105" s="537" t="s">
        <v>2618</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6"/>
      <c r="Q106" s="503"/>
    </row>
    <row r="107" spans="1:17" ht="15" thickTop="1">
      <c r="A107" s="598"/>
      <c r="B107" s="537" t="s">
        <v>2619</v>
      </c>
      <c r="C107" s="582"/>
      <c r="D107" s="582"/>
      <c r="E107" s="582"/>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6"/>
      <c r="Q108" s="503"/>
    </row>
    <row r="109" spans="1:17" ht="15" thickTop="1">
      <c r="A109" s="598"/>
      <c r="B109" s="537" t="s">
        <v>2620</v>
      </c>
      <c r="C109" s="553"/>
      <c r="D109" s="553"/>
      <c r="E109" s="553"/>
      <c r="F109" s="582"/>
      <c r="G109" s="582"/>
      <c r="H109" s="582"/>
      <c r="I109" s="582"/>
      <c r="J109" s="582"/>
      <c r="K109" s="583"/>
      <c r="L109" s="584"/>
      <c r="M109" s="585"/>
      <c r="N109" s="1154"/>
      <c r="O109" s="1154"/>
      <c r="P109" s="263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6"/>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7"/>
      <c r="Q113" s="558"/>
    </row>
    <row r="114" spans="1:17" ht="15" thickTop="1">
      <c r="A114" s="598"/>
      <c r="B114" s="537" t="s">
        <v>2621</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6"/>
      <c r="Q115" s="503"/>
    </row>
    <row r="116" spans="1:17" ht="15" thickTop="1">
      <c r="A116" s="598"/>
      <c r="B116" s="537" t="s">
        <v>2622</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2623</v>
      </c>
      <c r="C118" s="582"/>
      <c r="D118" s="582"/>
      <c r="E118" s="582"/>
      <c r="F118" s="582"/>
      <c r="G118" s="582"/>
      <c r="H118" s="582"/>
      <c r="I118" s="582"/>
      <c r="J118" s="582"/>
      <c r="K118" s="583"/>
      <c r="L118" s="584"/>
      <c r="M118" s="585"/>
      <c r="N118" s="1154"/>
      <c r="O118" s="1154"/>
      <c r="P118" s="263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6"/>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7"/>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7"/>
      <c r="Q121" s="558"/>
    </row>
    <row r="122" spans="1:17" ht="15" thickTop="1">
      <c r="A122" s="598"/>
      <c r="B122" s="537" t="s">
        <v>2624</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6"/>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59"/>
      <c r="E129" s="559"/>
      <c r="F129" s="559"/>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row r="136" spans="1:17" ht="15" thickBot="1">
      <c r="B136" s="2643" t="s">
        <v>2626</v>
      </c>
    </row>
    <row r="137" spans="1:17" ht="15">
      <c r="B137" s="2644" t="s">
        <v>2627</v>
      </c>
      <c r="C137" s="2645"/>
      <c r="D137" s="2645"/>
      <c r="E137" s="2645"/>
      <c r="F137" s="2645"/>
      <c r="G137" s="2646"/>
      <c r="H137" s="2647"/>
      <c r="I137" s="2648" t="s">
        <v>2628</v>
      </c>
      <c r="J137" s="2645"/>
      <c r="K137" s="2649"/>
    </row>
    <row r="138" spans="1:17" ht="15">
      <c r="B138" s="2650"/>
      <c r="C138" s="145" t="s">
        <v>2629</v>
      </c>
      <c r="D138" s="145" t="s">
        <v>2630</v>
      </c>
      <c r="E138" s="2651" t="s">
        <v>2631</v>
      </c>
      <c r="F138" s="2652" t="s">
        <v>2632</v>
      </c>
      <c r="G138" s="145" t="s">
        <v>2630</v>
      </c>
      <c r="H138" s="146" t="s">
        <v>2631</v>
      </c>
      <c r="I138" s="2653"/>
      <c r="J138" s="145" t="s">
        <v>2633</v>
      </c>
      <c r="K138" s="146" t="s">
        <v>2634</v>
      </c>
    </row>
    <row r="139" spans="1:17" ht="15">
      <c r="B139" s="1086">
        <v>6</v>
      </c>
      <c r="C139" s="1087">
        <v>96</v>
      </c>
      <c r="D139" s="2654" t="s">
        <v>2635</v>
      </c>
      <c r="E139" s="1088">
        <v>100</v>
      </c>
      <c r="F139" s="1089">
        <v>102.5</v>
      </c>
      <c r="G139" s="2654" t="s">
        <v>2635</v>
      </c>
      <c r="H139" s="1090">
        <v>105</v>
      </c>
      <c r="I139" s="2655" t="s">
        <v>2636</v>
      </c>
      <c r="J139" s="1087">
        <v>20</v>
      </c>
      <c r="K139" s="1091">
        <f>C145/(J139-2)</f>
        <v>4.0555555555555553E-3</v>
      </c>
    </row>
    <row r="140" spans="1:17" ht="15">
      <c r="B140" s="1092">
        <v>5</v>
      </c>
      <c r="C140" s="1093">
        <v>100</v>
      </c>
      <c r="D140" s="1093"/>
      <c r="E140" s="1094"/>
      <c r="F140" s="1095">
        <v>102</v>
      </c>
      <c r="G140" s="1093"/>
      <c r="H140" s="1096"/>
      <c r="I140" s="2656" t="s">
        <v>2637</v>
      </c>
      <c r="J140" s="314">
        <f>ROUNDUP((J139-1)/2,0)</f>
        <v>10</v>
      </c>
      <c r="K140" s="1097">
        <v>100</v>
      </c>
    </row>
    <row r="141" spans="1:17" ht="15">
      <c r="B141" s="1092">
        <v>4</v>
      </c>
      <c r="C141" s="1093">
        <v>102</v>
      </c>
      <c r="D141" s="1093"/>
      <c r="E141" s="1094"/>
      <c r="F141" s="1095">
        <v>101.5</v>
      </c>
      <c r="G141" s="1093"/>
      <c r="H141" s="1096"/>
      <c r="I141" s="2656" t="s">
        <v>2638</v>
      </c>
      <c r="J141" s="314">
        <v>1</v>
      </c>
      <c r="K141" s="1098">
        <f>ROUND(100+(J141-J140)*K139*100,1)</f>
        <v>96.4</v>
      </c>
    </row>
    <row r="142" spans="1:17" ht="15">
      <c r="B142" s="1092">
        <v>3</v>
      </c>
      <c r="C142" s="1093">
        <v>103</v>
      </c>
      <c r="D142" s="1093"/>
      <c r="E142" s="1094"/>
      <c r="F142" s="1095">
        <v>101</v>
      </c>
      <c r="G142" s="1093"/>
      <c r="H142" s="1096"/>
      <c r="I142" s="2656" t="s">
        <v>2639</v>
      </c>
      <c r="J142" s="314">
        <f>J139</f>
        <v>20</v>
      </c>
      <c r="K142" s="1099">
        <v>95</v>
      </c>
    </row>
    <row r="143" spans="1:17" ht="15">
      <c r="B143" s="1092">
        <v>2</v>
      </c>
      <c r="C143" s="1093">
        <v>100</v>
      </c>
      <c r="D143" s="1093"/>
      <c r="E143" s="1094"/>
      <c r="F143" s="1095">
        <v>100.5</v>
      </c>
      <c r="G143" s="1093"/>
      <c r="H143" s="1096"/>
      <c r="I143" s="2656" t="s">
        <v>2640</v>
      </c>
      <c r="J143" s="1093">
        <v>15</v>
      </c>
      <c r="K143" s="1098">
        <f>ROUND(100+(J143-J140)*K139*100,1)</f>
        <v>102</v>
      </c>
    </row>
    <row r="144" spans="1:17" ht="15">
      <c r="B144" s="1092">
        <v>1</v>
      </c>
      <c r="C144" s="1093">
        <v>98</v>
      </c>
      <c r="D144" s="2657" t="s">
        <v>2641</v>
      </c>
      <c r="E144" s="1094">
        <v>102</v>
      </c>
      <c r="F144" s="1100">
        <v>100</v>
      </c>
      <c r="G144" s="2657" t="s">
        <v>2641</v>
      </c>
      <c r="H144" s="1096">
        <v>105</v>
      </c>
      <c r="I144" s="2656" t="s">
        <v>2640</v>
      </c>
      <c r="J144" s="1093">
        <v>18</v>
      </c>
      <c r="K144" s="1098">
        <f>ROUND(100+(J144-J140)*K139*100,1)</f>
        <v>103.2</v>
      </c>
    </row>
    <row r="145" spans="2:11" ht="15.75" thickBot="1">
      <c r="B145" s="2658" t="s">
        <v>2642</v>
      </c>
      <c r="C145" s="1101">
        <f>ROUND(MAX(C139:C144)/MIN(C139:C144)-1,3)</f>
        <v>7.2999999999999995E-2</v>
      </c>
      <c r="D145" s="1102"/>
      <c r="E145" s="1102"/>
      <c r="F145" s="2659" t="s">
        <v>2643</v>
      </c>
      <c r="G145" s="2660"/>
      <c r="H145" s="2661"/>
      <c r="I145" s="2662" t="s">
        <v>2640</v>
      </c>
      <c r="J145" s="1103">
        <v>8</v>
      </c>
      <c r="K145" s="1104">
        <f>ROUND(100+(J145-J140)*K139*100,1)</f>
        <v>99.2</v>
      </c>
    </row>
    <row r="147" spans="2:11">
      <c r="B147" s="2643" t="s">
        <v>2644</v>
      </c>
    </row>
    <row r="148" spans="2:11">
      <c r="B148" s="2643"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8" t="s">
        <v>2646</v>
      </c>
      <c r="C1" s="1636" t="s">
        <v>2534</v>
      </c>
      <c r="D1" s="1623"/>
      <c r="E1" s="2663"/>
      <c r="F1" s="2590"/>
      <c r="G1" s="1633" t="s">
        <v>2647</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7" customFormat="1" ht="28.5" customHeight="1" thickTop="1">
      <c r="A2" s="1619" t="s">
        <v>2331</v>
      </c>
      <c r="B2" s="1420" t="e">
        <f ca="1">IF(C2="——",ROUND(C49*D3/10000,0),ROUND(C49*D3/10000,0)-D2)</f>
        <v>#DIV/0!</v>
      </c>
      <c r="C2" s="2592"/>
      <c r="D2" s="1367" t="e">
        <f ca="1">SUMIF(INDIRECT("'"&amp;F2&amp;"'"&amp;"!A:A"),"承租人权益价值",INDIRECT("'"&amp;F2&amp;"'"&amp;"!c:c"))</f>
        <v>#REF!</v>
      </c>
      <c r="E2" s="2593" t="s">
        <v>2332</v>
      </c>
      <c r="F2" s="2594"/>
      <c r="G2" s="1127"/>
      <c r="H2" s="1127"/>
      <c r="I2" s="1127"/>
      <c r="J2" s="1127"/>
      <c r="K2" s="1127"/>
      <c r="L2" s="1130"/>
      <c r="M2" s="1131"/>
      <c r="N2" s="1131"/>
      <c r="O2" s="1131"/>
      <c r="P2" s="2667"/>
      <c r="Q2" s="1131"/>
      <c r="R2" s="1131"/>
      <c r="S2" s="1131"/>
      <c r="T2" s="1131"/>
      <c r="U2" s="1131"/>
      <c r="V2" s="1131"/>
      <c r="W2" s="1131"/>
      <c r="X2" s="1131"/>
      <c r="Y2" s="1131"/>
      <c r="Z2" s="1131"/>
      <c r="AA2" s="1131"/>
      <c r="AB2" s="1131"/>
      <c r="AC2" s="2668"/>
    </row>
    <row r="3" spans="1:29" s="397" customFormat="1" ht="28.5" customHeight="1" thickBot="1">
      <c r="A3" s="246" t="s">
        <v>2333</v>
      </c>
      <c r="B3" s="608" t="e">
        <f ca="1">IF(C2="——",C49,ROUND(B2*10000/D3,0))</f>
        <v>#DIV/0!</v>
      </c>
      <c r="C3" s="399" t="s">
        <v>2648</v>
      </c>
      <c r="D3" s="398">
        <f>IF(D1="",'数据-汇总表'!E3,SUMIF('数据-汇总表'!$C19:$C33,D1,'数据-汇总表'!$E19:$E33))</f>
        <v>589.49</v>
      </c>
      <c r="E3" s="2669"/>
      <c r="F3" s="1128"/>
      <c r="G3" s="1127"/>
      <c r="H3" s="1127"/>
      <c r="I3" s="1127"/>
      <c r="J3" s="1127"/>
      <c r="K3" s="1129"/>
      <c r="L3" s="1130"/>
      <c r="M3" s="1131"/>
      <c r="N3" s="1131"/>
      <c r="O3" s="1131"/>
      <c r="P3" s="2667"/>
      <c r="Q3" s="1131"/>
      <c r="R3" s="1131"/>
      <c r="S3" s="1131"/>
      <c r="T3" s="1131"/>
      <c r="U3" s="1131"/>
      <c r="V3" s="1131"/>
      <c r="W3" s="1131"/>
      <c r="X3" s="1131"/>
      <c r="Y3" s="1131"/>
      <c r="Z3" s="1131"/>
      <c r="AA3" s="1131"/>
      <c r="AB3" s="1131"/>
      <c r="AC3" s="2669"/>
    </row>
    <row r="4" spans="1:29" ht="15">
      <c r="A4" s="400" t="s">
        <v>2649</v>
      </c>
      <c r="B4" s="401"/>
      <c r="C4" s="3191" t="s">
        <v>2650</v>
      </c>
      <c r="D4" s="3192"/>
      <c r="E4" s="3193" t="s">
        <v>2651</v>
      </c>
      <c r="F4" s="3194"/>
      <c r="G4" s="3191" t="s">
        <v>2652</v>
      </c>
      <c r="H4" s="3192"/>
      <c r="I4" s="3191" t="s">
        <v>2653</v>
      </c>
      <c r="J4" s="3192"/>
      <c r="K4" s="609" t="s">
        <v>2654</v>
      </c>
      <c r="L4" s="1132"/>
      <c r="M4" s="1133"/>
      <c r="N4" s="1133"/>
      <c r="O4" s="1133"/>
      <c r="P4" s="3195" t="s">
        <v>2655</v>
      </c>
      <c r="Q4" s="3196"/>
      <c r="R4" s="3201" t="s">
        <v>2651</v>
      </c>
      <c r="S4" s="3202"/>
      <c r="T4" s="3201" t="s">
        <v>2652</v>
      </c>
      <c r="U4" s="3202"/>
      <c r="V4" s="3207" t="s">
        <v>2653</v>
      </c>
      <c r="W4" s="3207"/>
      <c r="X4" s="1815"/>
      <c r="Y4" s="3201" t="s">
        <v>2655</v>
      </c>
      <c r="Z4" s="3202"/>
      <c r="AA4" s="3188" t="s">
        <v>2651</v>
      </c>
      <c r="AB4" s="3207" t="s">
        <v>2652</v>
      </c>
      <c r="AC4" s="3188" t="s">
        <v>2653</v>
      </c>
    </row>
    <row r="5" spans="1:29" ht="15">
      <c r="A5" s="403"/>
      <c r="B5" s="404"/>
      <c r="C5" s="3210" t="s">
        <v>2546</v>
      </c>
      <c r="D5" s="3211"/>
      <c r="E5" s="3217" t="s">
        <v>2547</v>
      </c>
      <c r="F5" s="3218"/>
      <c r="G5" s="3210" t="s">
        <v>2548</v>
      </c>
      <c r="H5" s="3211"/>
      <c r="I5" s="3210" t="s">
        <v>2549</v>
      </c>
      <c r="J5" s="3211"/>
      <c r="K5" s="609"/>
      <c r="L5" s="1132"/>
      <c r="M5" s="1133"/>
      <c r="N5" s="1133"/>
      <c r="O5" s="1133"/>
      <c r="P5" s="3197"/>
      <c r="Q5" s="3198"/>
      <c r="R5" s="3203"/>
      <c r="S5" s="3204"/>
      <c r="T5" s="3203"/>
      <c r="U5" s="3204"/>
      <c r="V5" s="3207"/>
      <c r="W5" s="3207"/>
      <c r="X5" s="1815"/>
      <c r="Y5" s="3203"/>
      <c r="Z5" s="3204"/>
      <c r="AA5" s="3189"/>
      <c r="AB5" s="3207"/>
      <c r="AC5" s="3189"/>
    </row>
    <row r="6" spans="1:29" ht="15.75" thickBot="1">
      <c r="A6" s="405"/>
      <c r="B6" s="406"/>
      <c r="C6" s="3208" t="s">
        <v>2550</v>
      </c>
      <c r="D6" s="3209"/>
      <c r="E6" s="3215" t="s">
        <v>2550</v>
      </c>
      <c r="F6" s="3216"/>
      <c r="G6" s="3208" t="s">
        <v>2550</v>
      </c>
      <c r="H6" s="3209"/>
      <c r="I6" s="3208" t="s">
        <v>2550</v>
      </c>
      <c r="J6" s="3209"/>
      <c r="K6" s="609" t="s">
        <v>2551</v>
      </c>
      <c r="L6" s="1132"/>
      <c r="M6" s="1133"/>
      <c r="N6" s="1133"/>
      <c r="O6" s="1133"/>
      <c r="P6" s="3199"/>
      <c r="Q6" s="3200"/>
      <c r="R6" s="3203"/>
      <c r="S6" s="3204"/>
      <c r="T6" s="3205"/>
      <c r="U6" s="3206"/>
      <c r="V6" s="3207"/>
      <c r="W6" s="3207"/>
      <c r="X6" s="1815"/>
      <c r="Y6" s="3205"/>
      <c r="Z6" s="3206"/>
      <c r="AA6" s="3190"/>
      <c r="AB6" s="3207"/>
      <c r="AC6" s="3190"/>
    </row>
    <row r="7" spans="1:29" s="117" customFormat="1" ht="15.75" thickBot="1">
      <c r="A7" s="407" t="s">
        <v>2552</v>
      </c>
      <c r="B7" s="408"/>
      <c r="C7" s="409">
        <f>'数据-取费表'!B2</f>
        <v>43355</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12" t="s">
        <v>2553</v>
      </c>
      <c r="Q7" s="3214"/>
      <c r="R7" s="769" t="s">
        <v>17</v>
      </c>
      <c r="S7" s="770">
        <f t="shared" ref="S7:S15" si="0">F7</f>
        <v>0</v>
      </c>
      <c r="T7" s="769" t="s">
        <v>17</v>
      </c>
      <c r="U7" s="770">
        <f t="shared" ref="U7:U15" si="1">H7</f>
        <v>0</v>
      </c>
      <c r="V7" s="769" t="s">
        <v>17</v>
      </c>
      <c r="W7" s="770">
        <f t="shared" ref="W7:W15" si="2">J7</f>
        <v>0</v>
      </c>
      <c r="X7" s="771"/>
      <c r="Y7" s="3212" t="s">
        <v>2553</v>
      </c>
      <c r="Z7" s="3213"/>
      <c r="AA7" s="772" t="e">
        <f>D7/F7</f>
        <v>#DIV/0!</v>
      </c>
      <c r="AB7" s="772" t="e">
        <f>D7/H7</f>
        <v>#DIV/0!</v>
      </c>
      <c r="AC7" s="772" t="e">
        <f>D7/J7</f>
        <v>#DIV/0!</v>
      </c>
    </row>
    <row r="8" spans="1:29" s="117" customFormat="1" ht="15.75" thickBot="1">
      <c r="A8" s="407" t="s">
        <v>2554</v>
      </c>
      <c r="B8" s="408"/>
      <c r="C8" s="413" t="s">
        <v>2656</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12" t="s">
        <v>2556</v>
      </c>
      <c r="Q8" s="3213"/>
      <c r="R8" s="769" t="s">
        <v>17</v>
      </c>
      <c r="S8" s="770">
        <f t="shared" si="0"/>
        <v>0</v>
      </c>
      <c r="T8" s="769" t="s">
        <v>17</v>
      </c>
      <c r="U8" s="770">
        <f t="shared" si="1"/>
        <v>0</v>
      </c>
      <c r="V8" s="769" t="s">
        <v>17</v>
      </c>
      <c r="W8" s="770">
        <f t="shared" si="2"/>
        <v>0</v>
      </c>
      <c r="X8" s="771"/>
      <c r="Y8" s="3212" t="s">
        <v>2556</v>
      </c>
      <c r="Z8" s="3213"/>
      <c r="AA8" s="772" t="e">
        <f t="shared" ref="AA8:AA46" si="3">D8/F8</f>
        <v>#DIV/0!</v>
      </c>
      <c r="AB8" s="772" t="e">
        <f t="shared" ref="AB8:AB46" si="4">D8/H8</f>
        <v>#DIV/0!</v>
      </c>
      <c r="AC8" s="772" t="e">
        <f t="shared" ref="AC8:AC46" si="5">D8/J8</f>
        <v>#DIV/0!</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87" t="s">
        <v>2559</v>
      </c>
      <c r="Q9" s="1797" t="str">
        <f t="shared" ref="Q9:Q15" si="6">B9</f>
        <v>用途</v>
      </c>
      <c r="R9" s="769" t="s">
        <v>17</v>
      </c>
      <c r="S9" s="770">
        <f t="shared" si="0"/>
        <v>100</v>
      </c>
      <c r="T9" s="769" t="s">
        <v>17</v>
      </c>
      <c r="U9" s="770">
        <f t="shared" si="1"/>
        <v>100</v>
      </c>
      <c r="V9" s="769" t="s">
        <v>17</v>
      </c>
      <c r="W9" s="770">
        <f t="shared" si="2"/>
        <v>100</v>
      </c>
      <c r="X9" s="771"/>
      <c r="Y9" s="3001"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87"/>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87"/>
      <c r="Q11" s="1797" t="str">
        <f t="shared" si="6"/>
        <v>容积率</v>
      </c>
      <c r="R11" s="769" t="s">
        <v>17</v>
      </c>
      <c r="S11" s="770" t="e">
        <f t="shared" si="0"/>
        <v>#N/A</v>
      </c>
      <c r="T11" s="769" t="s">
        <v>17</v>
      </c>
      <c r="U11" s="770" t="e">
        <f t="shared" si="1"/>
        <v>#N/A</v>
      </c>
      <c r="V11" s="769" t="s">
        <v>17</v>
      </c>
      <c r="W11" s="770" t="e">
        <f t="shared" si="2"/>
        <v>#N/A</v>
      </c>
      <c r="X11" s="771"/>
      <c r="Y11" s="3001"/>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87"/>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7"/>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772">
        <f t="shared" si="5"/>
        <v>1</v>
      </c>
    </row>
    <row r="14" spans="1:29" ht="15.75" thickBot="1">
      <c r="A14" s="435"/>
      <c r="B14" s="2608">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7"/>
      <c r="Q14" s="1797">
        <f t="shared" si="6"/>
        <v>111</v>
      </c>
      <c r="R14" s="769" t="s">
        <v>17</v>
      </c>
      <c r="S14" s="770">
        <f t="shared" si="0"/>
        <v>100</v>
      </c>
      <c r="T14" s="769" t="s">
        <v>17</v>
      </c>
      <c r="U14" s="770">
        <f t="shared" si="1"/>
        <v>100</v>
      </c>
      <c r="V14" s="769" t="s">
        <v>17</v>
      </c>
      <c r="W14" s="770">
        <f t="shared" si="2"/>
        <v>100</v>
      </c>
      <c r="X14" s="771"/>
      <c r="Y14" s="3001"/>
      <c r="Z14" s="55">
        <f t="shared" si="7"/>
        <v>111</v>
      </c>
      <c r="AA14" s="772">
        <f t="shared" si="3"/>
        <v>1</v>
      </c>
      <c r="AB14" s="772">
        <f t="shared" si="4"/>
        <v>1</v>
      </c>
      <c r="AC14" s="772">
        <f t="shared" si="5"/>
        <v>1</v>
      </c>
    </row>
    <row r="15" spans="1:29" ht="71.25">
      <c r="A15" s="439" t="s">
        <v>2563</v>
      </c>
      <c r="B15" s="69" t="s">
        <v>2657</v>
      </c>
      <c r="C15" s="260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85" t="s">
        <v>2564</v>
      </c>
      <c r="Q15" s="1812" t="str">
        <f t="shared" si="6"/>
        <v>商业繁华度</v>
      </c>
      <c r="R15" s="773" t="s">
        <v>17</v>
      </c>
      <c r="S15" s="774">
        <f t="shared" si="0"/>
        <v>100</v>
      </c>
      <c r="T15" s="773" t="s">
        <v>17</v>
      </c>
      <c r="U15" s="774">
        <f t="shared" si="1"/>
        <v>100</v>
      </c>
      <c r="V15" s="773" t="s">
        <v>17</v>
      </c>
      <c r="W15" s="774">
        <f t="shared" si="2"/>
        <v>100</v>
      </c>
      <c r="X15" s="1815"/>
      <c r="Y15" s="3178" t="s">
        <v>2564</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86"/>
      <c r="Q16" s="1812"/>
      <c r="R16" s="773"/>
      <c r="S16" s="774"/>
      <c r="T16" s="773"/>
      <c r="U16" s="774"/>
      <c r="V16" s="773"/>
      <c r="W16" s="774"/>
      <c r="X16" s="1815"/>
      <c r="Y16" s="3179"/>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86"/>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33"/>
      <c r="P18" s="3186"/>
      <c r="Q18" s="1812"/>
      <c r="R18" s="773"/>
      <c r="S18" s="774"/>
      <c r="T18" s="773"/>
      <c r="U18" s="774"/>
      <c r="V18" s="773"/>
      <c r="W18" s="774"/>
      <c r="X18" s="1815"/>
      <c r="Y18" s="3179"/>
      <c r="Z18" s="1816"/>
      <c r="AA18" s="1813">
        <v>1</v>
      </c>
      <c r="AB18" s="1813">
        <v>1</v>
      </c>
      <c r="AC18" s="1813">
        <v>1</v>
      </c>
    </row>
    <row r="19" spans="1:29" ht="42.75">
      <c r="A19" s="427"/>
      <c r="B19" s="450" t="s">
        <v>2658</v>
      </c>
      <c r="C19" s="261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86"/>
      <c r="Q19" s="1812" t="str">
        <f>B19</f>
        <v>公共配套设施</v>
      </c>
      <c r="R19" s="773" t="s">
        <v>17</v>
      </c>
      <c r="S19" s="774">
        <f>F19</f>
        <v>100</v>
      </c>
      <c r="T19" s="773" t="s">
        <v>17</v>
      </c>
      <c r="U19" s="774">
        <f>H19</f>
        <v>100</v>
      </c>
      <c r="V19" s="773" t="s">
        <v>17</v>
      </c>
      <c r="W19" s="774">
        <f>J19</f>
        <v>100</v>
      </c>
      <c r="X19" s="1815"/>
      <c r="Y19" s="3179"/>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33"/>
      <c r="P20" s="3186"/>
      <c r="Q20" s="1812"/>
      <c r="R20" s="773"/>
      <c r="S20" s="774"/>
      <c r="T20" s="773"/>
      <c r="U20" s="774"/>
      <c r="V20" s="773"/>
      <c r="W20" s="774"/>
      <c r="X20" s="1815"/>
      <c r="Y20" s="3179"/>
      <c r="Z20" s="1816"/>
      <c r="AA20" s="1813">
        <v>1</v>
      </c>
      <c r="AB20" s="1813">
        <v>1</v>
      </c>
      <c r="AC20" s="1813">
        <v>1</v>
      </c>
    </row>
    <row r="21" spans="1:29" ht="28.5">
      <c r="A21" s="427"/>
      <c r="B21" s="1386" t="s">
        <v>2659</v>
      </c>
      <c r="C21" s="261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86"/>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33"/>
      <c r="P22" s="3186"/>
      <c r="Q22" s="1812"/>
      <c r="R22" s="773"/>
      <c r="S22" s="774"/>
      <c r="T22" s="773"/>
      <c r="U22" s="774"/>
      <c r="V22" s="773"/>
      <c r="W22" s="774"/>
      <c r="X22" s="1815"/>
      <c r="Y22" s="3179"/>
      <c r="Z22" s="1816"/>
      <c r="AA22" s="1813">
        <v>1</v>
      </c>
      <c r="AB22" s="1813">
        <v>1</v>
      </c>
      <c r="AC22" s="1813">
        <v>1</v>
      </c>
    </row>
    <row r="23" spans="1:29" ht="57">
      <c r="A23" s="427"/>
      <c r="B23" s="450" t="s">
        <v>2106</v>
      </c>
      <c r="C23" s="267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86"/>
      <c r="Q23" s="1812" t="str">
        <f>B23</f>
        <v>自然及人文环境</v>
      </c>
      <c r="R23" s="773" t="s">
        <v>17</v>
      </c>
      <c r="S23" s="774">
        <f>F23</f>
        <v>100</v>
      </c>
      <c r="T23" s="773" t="s">
        <v>17</v>
      </c>
      <c r="U23" s="774">
        <f>H23</f>
        <v>100</v>
      </c>
      <c r="V23" s="773" t="s">
        <v>17</v>
      </c>
      <c r="W23" s="774">
        <f>J23</f>
        <v>100</v>
      </c>
      <c r="X23" s="1815"/>
      <c r="Y23" s="3179"/>
      <c r="Z23" s="1816" t="str">
        <f>Q23</f>
        <v>自然及人文环境</v>
      </c>
      <c r="AA23" s="1813">
        <f t="shared" si="3"/>
        <v>1</v>
      </c>
      <c r="AB23" s="1813">
        <f t="shared" si="4"/>
        <v>1</v>
      </c>
      <c r="AC23" s="1813">
        <f t="shared" si="5"/>
        <v>1</v>
      </c>
    </row>
    <row r="24" spans="1:29" ht="15">
      <c r="A24" s="427"/>
      <c r="B24" s="455"/>
      <c r="C24" s="446"/>
      <c r="D24" s="447"/>
      <c r="E24" s="2611"/>
      <c r="F24" s="448"/>
      <c r="G24" s="2610"/>
      <c r="H24" s="447"/>
      <c r="I24" s="2611"/>
      <c r="J24" s="447"/>
      <c r="K24" s="614"/>
      <c r="L24" s="1142"/>
      <c r="M24" s="1133"/>
      <c r="N24" s="1133"/>
      <c r="O24" s="1133"/>
      <c r="P24" s="3186"/>
      <c r="Q24" s="1812"/>
      <c r="R24" s="773"/>
      <c r="S24" s="774"/>
      <c r="T24" s="773"/>
      <c r="U24" s="774"/>
      <c r="V24" s="773"/>
      <c r="W24" s="774"/>
      <c r="X24" s="1815"/>
      <c r="Y24" s="3179"/>
      <c r="Z24" s="1816"/>
      <c r="AA24" s="1813">
        <v>1</v>
      </c>
      <c r="AB24" s="1813">
        <v>1</v>
      </c>
      <c r="AC24" s="1813">
        <v>1</v>
      </c>
    </row>
    <row r="25" spans="1:29" ht="15">
      <c r="A25" s="427"/>
      <c r="B25" s="421" t="s">
        <v>2660</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86"/>
      <c r="Q25" s="1812" t="str">
        <f t="shared" ref="Q25:Q46" si="11">B25</f>
        <v>临街状况</v>
      </c>
      <c r="R25" s="773" t="s">
        <v>17</v>
      </c>
      <c r="S25" s="774">
        <f>F25</f>
        <v>100</v>
      </c>
      <c r="T25" s="773" t="s">
        <v>17</v>
      </c>
      <c r="U25" s="774">
        <f>H25</f>
        <v>100</v>
      </c>
      <c r="V25" s="773" t="s">
        <v>17</v>
      </c>
      <c r="W25" s="774">
        <f>J25</f>
        <v>100</v>
      </c>
      <c r="X25" s="1815"/>
      <c r="Y25" s="3179"/>
      <c r="Z25" s="1816" t="str">
        <f>Q25</f>
        <v>临街状况</v>
      </c>
      <c r="AA25" s="1813">
        <f t="shared" si="3"/>
        <v>1</v>
      </c>
      <c r="AB25" s="1813">
        <f t="shared" si="4"/>
        <v>1</v>
      </c>
      <c r="AC25" s="1813">
        <f t="shared" si="5"/>
        <v>1</v>
      </c>
    </row>
    <row r="26" spans="1:29" ht="15">
      <c r="A26" s="427"/>
      <c r="B26" s="1388" t="s">
        <v>2661</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86"/>
      <c r="Q26" s="1812" t="str">
        <f t="shared" si="11"/>
        <v>平面位置/可视性</v>
      </c>
      <c r="R26" s="773" t="s">
        <v>17</v>
      </c>
      <c r="S26" s="774">
        <f>F26</f>
        <v>100</v>
      </c>
      <c r="T26" s="773" t="s">
        <v>17</v>
      </c>
      <c r="U26" s="774">
        <f>H26</f>
        <v>100</v>
      </c>
      <c r="V26" s="773" t="s">
        <v>17</v>
      </c>
      <c r="W26" s="774">
        <f>J26</f>
        <v>100</v>
      </c>
      <c r="X26" s="1815"/>
      <c r="Y26" s="3179"/>
      <c r="Z26" s="1816" t="str">
        <f>Q26</f>
        <v>平面位置/可视性</v>
      </c>
      <c r="AA26" s="1813">
        <f t="shared" si="3"/>
        <v>1</v>
      </c>
      <c r="AB26" s="1813">
        <f t="shared" si="4"/>
        <v>1</v>
      </c>
      <c r="AC26" s="1813">
        <f t="shared" si="5"/>
        <v>1</v>
      </c>
    </row>
    <row r="27" spans="1:29" s="117" customFormat="1" ht="15">
      <c r="A27" s="430"/>
      <c r="B27" s="450" t="s">
        <v>2662</v>
      </c>
      <c r="C27" s="2671"/>
      <c r="D27" s="461">
        <v>100</v>
      </c>
      <c r="E27" s="2671"/>
      <c r="F27" s="463">
        <f>SUMIF(90:90,E27,91:91)-SUMIF(90:90,C27,91:91)+100</f>
        <v>100</v>
      </c>
      <c r="G27" s="2671"/>
      <c r="H27" s="461">
        <f>SUMIF(90:90,G27,91:91)-SUMIF(90:90,C27,91:91)+100</f>
        <v>100</v>
      </c>
      <c r="I27" s="2671"/>
      <c r="J27" s="461">
        <f>SUMIF(90:90,I27,91:91)-SUMIF(90:90,C27,91:91)+100</f>
        <v>100</v>
      </c>
      <c r="K27" s="611"/>
      <c r="L27" s="1134"/>
      <c r="M27" s="1135"/>
      <c r="N27" s="1135"/>
      <c r="O27" s="1135"/>
      <c r="P27" s="3186"/>
      <c r="Q27" s="1797" t="str">
        <f t="shared" si="11"/>
        <v>人流量</v>
      </c>
      <c r="R27" s="769" t="s">
        <v>17</v>
      </c>
      <c r="S27" s="770">
        <f>F27</f>
        <v>100</v>
      </c>
      <c r="T27" s="769" t="s">
        <v>17</v>
      </c>
      <c r="U27" s="770">
        <f>H27</f>
        <v>100</v>
      </c>
      <c r="V27" s="769" t="s">
        <v>17</v>
      </c>
      <c r="W27" s="770">
        <f>J27</f>
        <v>100</v>
      </c>
      <c r="X27" s="771"/>
      <c r="Y27" s="3179"/>
      <c r="Z27" s="55" t="str">
        <f>Q27</f>
        <v>人流量</v>
      </c>
      <c r="AA27" s="1813">
        <f>D27/F27</f>
        <v>1</v>
      </c>
      <c r="AB27" s="1813">
        <f>D27/H27</f>
        <v>1</v>
      </c>
      <c r="AC27" s="1813">
        <f>D27/J27</f>
        <v>1</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8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79"/>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86"/>
      <c r="Q29" s="1812">
        <f t="shared" si="11"/>
        <v>111</v>
      </c>
      <c r="R29" s="773" t="s">
        <v>17</v>
      </c>
      <c r="S29" s="774">
        <f t="shared" si="12"/>
        <v>100</v>
      </c>
      <c r="T29" s="773" t="s">
        <v>17</v>
      </c>
      <c r="U29" s="774">
        <f t="shared" si="13"/>
        <v>100</v>
      </c>
      <c r="V29" s="773" t="s">
        <v>17</v>
      </c>
      <c r="W29" s="774">
        <f t="shared" si="14"/>
        <v>100</v>
      </c>
      <c r="X29" s="1815"/>
      <c r="Y29" s="3179"/>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86"/>
      <c r="Q30" s="1812">
        <f t="shared" si="11"/>
        <v>111</v>
      </c>
      <c r="R30" s="773" t="s">
        <v>17</v>
      </c>
      <c r="S30" s="774">
        <f t="shared" si="12"/>
        <v>100</v>
      </c>
      <c r="T30" s="773" t="s">
        <v>17</v>
      </c>
      <c r="U30" s="774">
        <f t="shared" si="13"/>
        <v>100</v>
      </c>
      <c r="V30" s="773" t="s">
        <v>17</v>
      </c>
      <c r="W30" s="774">
        <f t="shared" si="14"/>
        <v>100</v>
      </c>
      <c r="X30" s="1815"/>
      <c r="Y30" s="3179"/>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86"/>
      <c r="Q31" s="1812">
        <f t="shared" si="11"/>
        <v>111</v>
      </c>
      <c r="R31" s="773" t="s">
        <v>17</v>
      </c>
      <c r="S31" s="774">
        <f t="shared" si="12"/>
        <v>100</v>
      </c>
      <c r="T31" s="773" t="s">
        <v>17</v>
      </c>
      <c r="U31" s="774">
        <f t="shared" si="13"/>
        <v>100</v>
      </c>
      <c r="V31" s="773" t="s">
        <v>17</v>
      </c>
      <c r="W31" s="774">
        <f t="shared" si="14"/>
        <v>100</v>
      </c>
      <c r="X31" s="1815"/>
      <c r="Y31" s="3179"/>
      <c r="Z31" s="1816">
        <f t="shared" si="15"/>
        <v>111</v>
      </c>
      <c r="AA31" s="1813">
        <f t="shared" si="3"/>
        <v>1</v>
      </c>
      <c r="AB31" s="1813">
        <f t="shared" si="4"/>
        <v>1</v>
      </c>
      <c r="AC31" s="1813">
        <f t="shared" si="5"/>
        <v>1</v>
      </c>
    </row>
    <row r="32" spans="1:29" ht="15">
      <c r="A32" s="439" t="s">
        <v>2567</v>
      </c>
      <c r="B32" s="71" t="s">
        <v>2664</v>
      </c>
      <c r="C32" s="2623"/>
      <c r="D32" s="466">
        <v>100</v>
      </c>
      <c r="E32" s="2623"/>
      <c r="F32" s="460">
        <f>SUMIF(100:100,E32,101:101)-SUMIF(100:100,C32,101:101)+100</f>
        <v>100</v>
      </c>
      <c r="G32" s="2623"/>
      <c r="H32" s="434">
        <f>SUMIF(100:100,G32,101:101)-SUMIF(100:100,C32,101:101)+100</f>
        <v>100</v>
      </c>
      <c r="I32" s="2623"/>
      <c r="J32" s="466">
        <f>SUMIF(100:100,I32,101:101)-SUMIF(100:100,C32,101:101)+100</f>
        <v>100</v>
      </c>
      <c r="K32" s="611"/>
      <c r="L32" s="1142"/>
      <c r="M32" s="1133"/>
      <c r="N32" s="1133"/>
      <c r="O32" s="1133"/>
      <c r="P32" s="3180" t="s">
        <v>2569</v>
      </c>
      <c r="Q32" s="1812" t="str">
        <f t="shared" si="11"/>
        <v>商业类型</v>
      </c>
      <c r="R32" s="773" t="s">
        <v>17</v>
      </c>
      <c r="S32" s="774">
        <f t="shared" si="12"/>
        <v>100</v>
      </c>
      <c r="T32" s="773" t="s">
        <v>17</v>
      </c>
      <c r="U32" s="774">
        <f t="shared" si="13"/>
        <v>100</v>
      </c>
      <c r="V32" s="773" t="s">
        <v>17</v>
      </c>
      <c r="W32" s="774">
        <f t="shared" si="14"/>
        <v>100</v>
      </c>
      <c r="X32" s="1815"/>
      <c r="Y32" s="3183" t="s">
        <v>2569</v>
      </c>
      <c r="Z32" s="1816" t="str">
        <f t="shared" si="15"/>
        <v>商业类型</v>
      </c>
      <c r="AA32" s="1813">
        <f t="shared" si="3"/>
        <v>1</v>
      </c>
      <c r="AB32" s="1813">
        <f t="shared" si="4"/>
        <v>1</v>
      </c>
      <c r="AC32" s="1813">
        <f t="shared" si="5"/>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181"/>
      <c r="Q33" s="775" t="str">
        <f t="shared" si="11"/>
        <v>项目建筑规模</v>
      </c>
      <c r="R33" s="776" t="s">
        <v>17</v>
      </c>
      <c r="S33" s="777" t="e">
        <f t="shared" si="12"/>
        <v>#N/A</v>
      </c>
      <c r="T33" s="776" t="s">
        <v>17</v>
      </c>
      <c r="U33" s="777" t="e">
        <f t="shared" si="13"/>
        <v>#N/A</v>
      </c>
      <c r="V33" s="776" t="s">
        <v>17</v>
      </c>
      <c r="W33" s="777" t="e">
        <f t="shared" si="14"/>
        <v>#N/A</v>
      </c>
      <c r="X33" s="778"/>
      <c r="Y33" s="3183"/>
      <c r="Z33" s="779" t="str">
        <f t="shared" si="15"/>
        <v>项目建筑规模</v>
      </c>
      <c r="AA33" s="1813" t="e">
        <f t="shared" si="3"/>
        <v>#N/A</v>
      </c>
      <c r="AB33" s="1813" t="e">
        <f t="shared" si="4"/>
        <v>#N/A</v>
      </c>
      <c r="AC33" s="1813" t="e">
        <f t="shared" si="5"/>
        <v>#N/A</v>
      </c>
    </row>
    <row r="34" spans="1:29" ht="15">
      <c r="A34" s="471"/>
      <c r="B34" s="421" t="s">
        <v>2571</v>
      </c>
      <c r="C34" s="2625"/>
      <c r="D34" s="434">
        <v>100</v>
      </c>
      <c r="E34" s="2625"/>
      <c r="F34" s="460">
        <f>SUMIF(105:105,E34,106:106)-SUMIF(105:105,C34,106:106)+100</f>
        <v>100</v>
      </c>
      <c r="G34" s="2625"/>
      <c r="H34" s="434">
        <f>SUMIF(105:105,G34,106:106)-SUMIF(105:105,C34,106:106)+100</f>
        <v>100</v>
      </c>
      <c r="I34" s="2625"/>
      <c r="J34" s="434">
        <f>SUMIF(105:105,I34,106:106)-SUMIF(105:105,C34,106:106)+100</f>
        <v>100</v>
      </c>
      <c r="K34" s="611"/>
      <c r="L34" s="1142"/>
      <c r="M34" s="1133"/>
      <c r="N34" s="1133"/>
      <c r="O34" s="1133"/>
      <c r="P34" s="3181"/>
      <c r="Q34" s="1812" t="str">
        <f t="shared" si="11"/>
        <v>建筑结构</v>
      </c>
      <c r="R34" s="773" t="s">
        <v>17</v>
      </c>
      <c r="S34" s="774">
        <f t="shared" si="12"/>
        <v>100</v>
      </c>
      <c r="T34" s="773" t="s">
        <v>17</v>
      </c>
      <c r="U34" s="774">
        <f t="shared" si="13"/>
        <v>100</v>
      </c>
      <c r="V34" s="773" t="s">
        <v>17</v>
      </c>
      <c r="W34" s="774">
        <f t="shared" si="14"/>
        <v>100</v>
      </c>
      <c r="X34" s="1815"/>
      <c r="Y34" s="3183"/>
      <c r="Z34" s="1816" t="str">
        <f t="shared" si="15"/>
        <v>建筑结构</v>
      </c>
      <c r="AA34" s="1813">
        <f t="shared" si="3"/>
        <v>1</v>
      </c>
      <c r="AB34" s="1813">
        <f t="shared" si="4"/>
        <v>1</v>
      </c>
      <c r="AC34" s="1813">
        <f t="shared" si="5"/>
        <v>1</v>
      </c>
    </row>
    <row r="35" spans="1:29" ht="15">
      <c r="A35" s="471"/>
      <c r="B35" s="421" t="s">
        <v>2665</v>
      </c>
      <c r="C35" s="2619"/>
      <c r="D35" s="434">
        <v>100</v>
      </c>
      <c r="E35" s="2619"/>
      <c r="F35" s="460">
        <f>SUMIF(107:107,E35,108:108)-SUMIF(107:107,C35,108:108)+100</f>
        <v>100</v>
      </c>
      <c r="G35" s="2619"/>
      <c r="H35" s="434">
        <f>SUMIF(107:107,G35,108:108)-SUMIF(107:107,C35,108:108)+100</f>
        <v>100</v>
      </c>
      <c r="I35" s="2619"/>
      <c r="J35" s="434">
        <f>SUMIF(107:107,I35,108:108)-SUMIF(107:107,C35,108:108)+100</f>
        <v>100</v>
      </c>
      <c r="K35" s="611"/>
      <c r="L35" s="1142"/>
      <c r="M35" s="1133"/>
      <c r="N35" s="1133"/>
      <c r="O35" s="1133"/>
      <c r="P35" s="3181"/>
      <c r="Q35" s="1812" t="str">
        <f t="shared" si="11"/>
        <v>公共部分装修</v>
      </c>
      <c r="R35" s="773" t="s">
        <v>17</v>
      </c>
      <c r="S35" s="774">
        <f t="shared" si="12"/>
        <v>100</v>
      </c>
      <c r="T35" s="773" t="s">
        <v>17</v>
      </c>
      <c r="U35" s="774">
        <f t="shared" si="13"/>
        <v>100</v>
      </c>
      <c r="V35" s="773" t="s">
        <v>17</v>
      </c>
      <c r="W35" s="774">
        <f t="shared" si="14"/>
        <v>100</v>
      </c>
      <c r="X35" s="1815"/>
      <c r="Y35" s="3183"/>
      <c r="Z35" s="1816" t="str">
        <f t="shared" si="15"/>
        <v>公共部分装修</v>
      </c>
      <c r="AA35" s="1813">
        <f t="shared" si="3"/>
        <v>1</v>
      </c>
      <c r="AB35" s="1813">
        <f t="shared" si="4"/>
        <v>1</v>
      </c>
      <c r="AC35" s="1813">
        <f t="shared" si="5"/>
        <v>1</v>
      </c>
    </row>
    <row r="36" spans="1:29" ht="15">
      <c r="A36" s="471"/>
      <c r="B36" s="421" t="s">
        <v>2666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81"/>
      <c r="Q36" s="1812" t="str">
        <f t="shared" si="11"/>
        <v>成新度</v>
      </c>
      <c r="R36" s="773" t="s">
        <v>17</v>
      </c>
      <c r="S36" s="774" t="e">
        <f t="shared" si="12"/>
        <v>#N/A</v>
      </c>
      <c r="T36" s="773" t="s">
        <v>17</v>
      </c>
      <c r="U36" s="774" t="e">
        <f t="shared" si="13"/>
        <v>#N/A</v>
      </c>
      <c r="V36" s="773" t="s">
        <v>17</v>
      </c>
      <c r="W36" s="774" t="e">
        <f t="shared" si="14"/>
        <v>#N/A</v>
      </c>
      <c r="X36" s="1815"/>
      <c r="Y36" s="3183"/>
      <c r="Z36" s="1816" t="str">
        <f t="shared" si="15"/>
        <v>成新度</v>
      </c>
      <c r="AA36" s="1813" t="e">
        <f t="shared" si="3"/>
        <v>#N/A</v>
      </c>
      <c r="AB36" s="1813" t="e">
        <f t="shared" si="4"/>
        <v>#N/A</v>
      </c>
      <c r="AC36" s="1813" t="e">
        <f t="shared" si="5"/>
        <v>#N/A</v>
      </c>
    </row>
    <row r="37" spans="1:29" s="117" customFormat="1" ht="15">
      <c r="A37" s="472"/>
      <c r="B37" s="421" t="s">
        <v>2667</v>
      </c>
      <c r="C37" s="2619"/>
      <c r="D37" s="135">
        <v>100</v>
      </c>
      <c r="E37" s="2619"/>
      <c r="F37" s="460">
        <f>SUMIF(112:112,E37,113:113)-SUMIF(112:112,C37,113:113)+100</f>
        <v>100</v>
      </c>
      <c r="G37" s="2619"/>
      <c r="H37" s="434">
        <f>SUMIF(112:112,G37,113:113)-SUMIF(112:112,C37,113:113)+100</f>
        <v>100</v>
      </c>
      <c r="I37" s="2619"/>
      <c r="J37" s="434">
        <f>SUMIF(112:112,I37,113:113)-SUMIF(112:112,C37,113:113)+100</f>
        <v>100</v>
      </c>
      <c r="K37" s="611"/>
      <c r="L37" s="1134"/>
      <c r="M37" s="1135"/>
      <c r="N37" s="1135"/>
      <c r="O37" s="1135"/>
      <c r="P37" s="3181"/>
      <c r="Q37" s="1797" t="str">
        <f t="shared" si="11"/>
        <v>市政基础设施</v>
      </c>
      <c r="R37" s="769" t="s">
        <v>17</v>
      </c>
      <c r="S37" s="770">
        <f t="shared" si="12"/>
        <v>100</v>
      </c>
      <c r="T37" s="769" t="s">
        <v>17</v>
      </c>
      <c r="U37" s="770">
        <f t="shared" si="13"/>
        <v>100</v>
      </c>
      <c r="V37" s="769" t="s">
        <v>17</v>
      </c>
      <c r="W37" s="770">
        <f t="shared" si="14"/>
        <v>100</v>
      </c>
      <c r="X37" s="771"/>
      <c r="Y37" s="3183"/>
      <c r="Z37" s="55" t="str">
        <f t="shared" si="15"/>
        <v>市政基础设施</v>
      </c>
      <c r="AA37" s="772">
        <f t="shared" si="3"/>
        <v>1</v>
      </c>
      <c r="AB37" s="772">
        <f t="shared" si="4"/>
        <v>1</v>
      </c>
      <c r="AC37" s="772">
        <f t="shared" si="5"/>
        <v>1</v>
      </c>
    </row>
    <row r="38" spans="1:29" ht="15">
      <c r="A38" s="471"/>
      <c r="B38" s="421" t="s">
        <v>2668</v>
      </c>
      <c r="C38" s="2619"/>
      <c r="D38" s="434">
        <v>100</v>
      </c>
      <c r="E38" s="2619"/>
      <c r="F38" s="460">
        <f>SUMIF(114:114,E38,115:115)-SUMIF(114:114,C38,115:115)+100</f>
        <v>100</v>
      </c>
      <c r="G38" s="2619"/>
      <c r="H38" s="434">
        <f>SUMIF(114:114,G38,115:115)-SUMIF(114:114,C38,115:115)+100</f>
        <v>100</v>
      </c>
      <c r="I38" s="2619"/>
      <c r="J38" s="434">
        <f>SUMIF(114:114,I38,115:115)-SUMIF(114:114,C38,115:115)+100</f>
        <v>100</v>
      </c>
      <c r="K38" s="611"/>
      <c r="L38" s="1142"/>
      <c r="M38" s="1133"/>
      <c r="N38" s="1133"/>
      <c r="O38" s="1133"/>
      <c r="P38" s="3181" t="s">
        <v>2569</v>
      </c>
      <c r="Q38" s="1812" t="str">
        <f t="shared" si="11"/>
        <v>业态</v>
      </c>
      <c r="R38" s="773" t="s">
        <v>17</v>
      </c>
      <c r="S38" s="774">
        <f t="shared" si="12"/>
        <v>100</v>
      </c>
      <c r="T38" s="773" t="s">
        <v>17</v>
      </c>
      <c r="U38" s="774">
        <f t="shared" si="13"/>
        <v>100</v>
      </c>
      <c r="V38" s="773" t="s">
        <v>17</v>
      </c>
      <c r="W38" s="774">
        <f t="shared" si="14"/>
        <v>100</v>
      </c>
      <c r="X38" s="1815"/>
      <c r="Y38" s="3183" t="s">
        <v>2569</v>
      </c>
      <c r="Z38" s="1816" t="str">
        <f t="shared" si="15"/>
        <v>业态</v>
      </c>
      <c r="AA38" s="1813">
        <f t="shared" si="3"/>
        <v>1</v>
      </c>
      <c r="AB38" s="1813">
        <f t="shared" si="4"/>
        <v>1</v>
      </c>
      <c r="AC38" s="1813">
        <f t="shared" si="5"/>
        <v>1</v>
      </c>
    </row>
    <row r="39" spans="1:29" ht="15">
      <c r="A39" s="471"/>
      <c r="B39" s="421" t="s">
        <v>2669</v>
      </c>
      <c r="C39" s="2619"/>
      <c r="D39" s="434">
        <v>100</v>
      </c>
      <c r="E39" s="2619"/>
      <c r="F39" s="460">
        <f>SUMIF(116:116,E39,117:117)-SUMIF(116:116,C39,117:117)+100</f>
        <v>100</v>
      </c>
      <c r="G39" s="2619"/>
      <c r="H39" s="434">
        <f>SUMIF(116:116,G39,117:117)-SUMIF(116:116,C39,117:117)+100</f>
        <v>100</v>
      </c>
      <c r="I39" s="2619"/>
      <c r="J39" s="434">
        <f>SUMIF(116:116,I39,117:117)-SUMIF(116:116,C39,117:117)+100</f>
        <v>100</v>
      </c>
      <c r="K39" s="611"/>
      <c r="L39" s="1142"/>
      <c r="M39" s="1133"/>
      <c r="N39" s="1133"/>
      <c r="O39" s="1133"/>
      <c r="P39" s="3181"/>
      <c r="Q39" s="1812" t="str">
        <f t="shared" si="11"/>
        <v>层高</v>
      </c>
      <c r="R39" s="773" t="s">
        <v>17</v>
      </c>
      <c r="S39" s="774">
        <f t="shared" si="12"/>
        <v>100</v>
      </c>
      <c r="T39" s="773" t="s">
        <v>17</v>
      </c>
      <c r="U39" s="774">
        <f t="shared" si="13"/>
        <v>100</v>
      </c>
      <c r="V39" s="773" t="s">
        <v>17</v>
      </c>
      <c r="W39" s="774">
        <f t="shared" si="14"/>
        <v>100</v>
      </c>
      <c r="X39" s="1815"/>
      <c r="Y39" s="3183"/>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81"/>
      <c r="Q40" s="1812" t="str">
        <f t="shared" si="11"/>
        <v>单套建筑面积</v>
      </c>
      <c r="R40" s="773" t="s">
        <v>17</v>
      </c>
      <c r="S40" s="774">
        <f t="shared" si="12"/>
        <v>100</v>
      </c>
      <c r="T40" s="773" t="s">
        <v>17</v>
      </c>
      <c r="U40" s="774">
        <f t="shared" si="13"/>
        <v>100</v>
      </c>
      <c r="V40" s="773" t="s">
        <v>17</v>
      </c>
      <c r="W40" s="774">
        <f t="shared" si="14"/>
        <v>100</v>
      </c>
      <c r="X40" s="1815"/>
      <c r="Y40" s="3183"/>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81"/>
      <c r="Q41" s="775" t="str">
        <f t="shared" si="11"/>
        <v>进深比</v>
      </c>
      <c r="R41" s="776" t="s">
        <v>17</v>
      </c>
      <c r="S41" s="777">
        <f t="shared" si="12"/>
        <v>100</v>
      </c>
      <c r="T41" s="776" t="s">
        <v>17</v>
      </c>
      <c r="U41" s="777">
        <f t="shared" si="13"/>
        <v>100</v>
      </c>
      <c r="V41" s="776" t="s">
        <v>17</v>
      </c>
      <c r="W41" s="777">
        <f t="shared" si="14"/>
        <v>100</v>
      </c>
      <c r="X41" s="778"/>
      <c r="Y41" s="3183"/>
      <c r="Z41" s="779" t="str">
        <f t="shared" si="15"/>
        <v>进深比</v>
      </c>
      <c r="AA41" s="1813">
        <f t="shared" si="3"/>
        <v>1</v>
      </c>
      <c r="AB41" s="1813">
        <f t="shared" si="4"/>
        <v>1</v>
      </c>
      <c r="AC41" s="1813">
        <f t="shared" si="5"/>
        <v>1</v>
      </c>
    </row>
    <row r="42" spans="1:29" ht="15">
      <c r="A42" s="471"/>
      <c r="B42" s="421" t="s">
        <v>2672</v>
      </c>
      <c r="C42" s="2619"/>
      <c r="D42" s="434">
        <v>100</v>
      </c>
      <c r="E42" s="2619"/>
      <c r="F42" s="460">
        <f>SUMIF(122:122,E42,123:123)-SUMIF(122:122,C42,123:123)+100</f>
        <v>100</v>
      </c>
      <c r="G42" s="2619"/>
      <c r="H42" s="434">
        <f>SUMIF(122:122,G42,123:123)-SUMIF(122:122,C42,123:123)+100</f>
        <v>100</v>
      </c>
      <c r="I42" s="2619"/>
      <c r="J42" s="434">
        <f>SUMIF(122:122,I42,123:123)-SUMIF(122:122,C42,123:123)+100</f>
        <v>100</v>
      </c>
      <c r="K42" s="611"/>
      <c r="L42" s="1142"/>
      <c r="M42" s="1133"/>
      <c r="N42" s="1133"/>
      <c r="O42" s="1133"/>
      <c r="P42" s="3181"/>
      <c r="Q42" s="1812" t="str">
        <f t="shared" si="11"/>
        <v>内部装修</v>
      </c>
      <c r="R42" s="773" t="s">
        <v>17</v>
      </c>
      <c r="S42" s="774">
        <f t="shared" si="12"/>
        <v>100</v>
      </c>
      <c r="T42" s="773" t="s">
        <v>17</v>
      </c>
      <c r="U42" s="774">
        <f t="shared" si="13"/>
        <v>100</v>
      </c>
      <c r="V42" s="773" t="s">
        <v>17</v>
      </c>
      <c r="W42" s="774">
        <f t="shared" si="14"/>
        <v>100</v>
      </c>
      <c r="X42" s="1815"/>
      <c r="Y42" s="3183"/>
      <c r="Z42" s="1816" t="str">
        <f t="shared" si="15"/>
        <v>内部装修</v>
      </c>
      <c r="AA42" s="1813">
        <f t="shared" si="3"/>
        <v>1</v>
      </c>
      <c r="AB42" s="1813">
        <f t="shared" si="4"/>
        <v>1</v>
      </c>
      <c r="AC42" s="1813">
        <f t="shared" si="5"/>
        <v>1</v>
      </c>
    </row>
    <row r="43" spans="1:29" ht="15">
      <c r="A43" s="471"/>
      <c r="B43" s="421" t="s">
        <v>2580</v>
      </c>
      <c r="C43" s="2619"/>
      <c r="D43" s="434">
        <v>100</v>
      </c>
      <c r="E43" s="2619"/>
      <c r="F43" s="460">
        <f>SUMIF(124:124,E43,125:125)-SUMIF(124:124,C43,125:125)+100</f>
        <v>100</v>
      </c>
      <c r="G43" s="2619"/>
      <c r="H43" s="434">
        <f>SUMIF(124:124,G43,125:125)-SUMIF(124:124,C43,125:125)+100</f>
        <v>100</v>
      </c>
      <c r="I43" s="2619"/>
      <c r="J43" s="434">
        <f>SUMIF(124:124,I43,125:125)-SUMIF(124:124,C43,125:125)+100</f>
        <v>100</v>
      </c>
      <c r="K43" s="611"/>
      <c r="L43" s="1142"/>
      <c r="M43" s="1133"/>
      <c r="N43" s="1133"/>
      <c r="O43" s="1133"/>
      <c r="P43" s="3181"/>
      <c r="Q43" s="1812" t="str">
        <f t="shared" si="11"/>
        <v>内部装修维护情况</v>
      </c>
      <c r="R43" s="773" t="s">
        <v>17</v>
      </c>
      <c r="S43" s="774">
        <f t="shared" si="12"/>
        <v>100</v>
      </c>
      <c r="T43" s="773" t="s">
        <v>17</v>
      </c>
      <c r="U43" s="774">
        <f t="shared" si="13"/>
        <v>100</v>
      </c>
      <c r="V43" s="773" t="s">
        <v>17</v>
      </c>
      <c r="W43" s="774">
        <f t="shared" si="14"/>
        <v>100</v>
      </c>
      <c r="X43" s="1815"/>
      <c r="Y43" s="3183"/>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81"/>
      <c r="Q44" s="1797">
        <f t="shared" si="11"/>
        <v>111</v>
      </c>
      <c r="R44" s="769" t="s">
        <v>17</v>
      </c>
      <c r="S44" s="770">
        <f t="shared" si="12"/>
        <v>100</v>
      </c>
      <c r="T44" s="769" t="s">
        <v>17</v>
      </c>
      <c r="U44" s="770">
        <f t="shared" si="13"/>
        <v>100</v>
      </c>
      <c r="V44" s="769" t="s">
        <v>17</v>
      </c>
      <c r="W44" s="770">
        <f t="shared" si="14"/>
        <v>100</v>
      </c>
      <c r="X44" s="771"/>
      <c r="Y44" s="3183"/>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81"/>
      <c r="Q45" s="1812">
        <f t="shared" si="11"/>
        <v>111</v>
      </c>
      <c r="R45" s="773" t="s">
        <v>17</v>
      </c>
      <c r="S45" s="774">
        <f t="shared" si="12"/>
        <v>100</v>
      </c>
      <c r="T45" s="773" t="s">
        <v>17</v>
      </c>
      <c r="U45" s="774">
        <f t="shared" si="13"/>
        <v>100</v>
      </c>
      <c r="V45" s="773" t="s">
        <v>17</v>
      </c>
      <c r="W45" s="774">
        <f t="shared" si="14"/>
        <v>100</v>
      </c>
      <c r="X45" s="1815"/>
      <c r="Y45" s="3183"/>
      <c r="Z45" s="1816">
        <f t="shared" si="15"/>
        <v>111</v>
      </c>
      <c r="AA45" s="1813">
        <f t="shared" si="3"/>
        <v>1</v>
      </c>
      <c r="AB45" s="1813">
        <f t="shared" si="4"/>
        <v>1</v>
      </c>
      <c r="AC45" s="1813">
        <f t="shared" si="5"/>
        <v>1</v>
      </c>
    </row>
    <row r="46" spans="1:29" ht="15.75" thickBot="1">
      <c r="A46" s="477"/>
      <c r="B46" s="260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82"/>
      <c r="Q46" s="1812">
        <f t="shared" si="11"/>
        <v>111</v>
      </c>
      <c r="R46" s="773" t="s">
        <v>17</v>
      </c>
      <c r="S46" s="774">
        <f t="shared" si="12"/>
        <v>100</v>
      </c>
      <c r="T46" s="773" t="s">
        <v>17</v>
      </c>
      <c r="U46" s="774">
        <f t="shared" si="13"/>
        <v>100</v>
      </c>
      <c r="V46" s="773" t="s">
        <v>17</v>
      </c>
      <c r="W46" s="774">
        <f t="shared" si="14"/>
        <v>100</v>
      </c>
      <c r="X46" s="1815"/>
      <c r="Y46" s="3184"/>
      <c r="Z46" s="1816">
        <f t="shared" si="15"/>
        <v>111</v>
      </c>
      <c r="AA46" s="1813">
        <f t="shared" si="3"/>
        <v>1</v>
      </c>
      <c r="AB46" s="1813">
        <f t="shared" si="4"/>
        <v>1</v>
      </c>
      <c r="AC46" s="1813">
        <f t="shared" si="5"/>
        <v>1</v>
      </c>
    </row>
    <row r="47" spans="1:29" ht="15">
      <c r="A47" s="478" t="s">
        <v>2581</v>
      </c>
      <c r="B47" s="479"/>
      <c r="C47" s="1409" t="s">
        <v>1</v>
      </c>
      <c r="D47" s="1410"/>
      <c r="E47" s="1411"/>
      <c r="F47" s="1412"/>
      <c r="G47" s="1413"/>
      <c r="H47" s="1414"/>
      <c r="I47" s="1411"/>
      <c r="J47" s="1414"/>
      <c r="K47" s="782"/>
      <c r="L47" s="1145"/>
      <c r="M47" s="1146"/>
      <c r="N47" s="1133"/>
      <c r="O47" s="1146"/>
      <c r="P47" s="3176" t="str">
        <f>A47</f>
        <v>成交单价（元/平方米）</v>
      </c>
      <c r="Q47" s="3176"/>
      <c r="R47" s="3207">
        <f>E47</f>
        <v>0</v>
      </c>
      <c r="S47" s="3207"/>
      <c r="T47" s="3207">
        <f>G47</f>
        <v>0</v>
      </c>
      <c r="U47" s="3207"/>
      <c r="V47" s="3207">
        <f>I47</f>
        <v>0</v>
      </c>
      <c r="W47" s="3207"/>
      <c r="X47" s="758"/>
      <c r="Y47" s="780"/>
      <c r="Z47" s="758"/>
      <c r="AA47" s="758"/>
      <c r="AB47" s="758"/>
      <c r="AC47" s="758"/>
    </row>
    <row r="48" spans="1:29" ht="15.75" thickBot="1">
      <c r="A48" s="485" t="s">
        <v>2673</v>
      </c>
      <c r="B48" s="486"/>
      <c r="C48" s="1415" t="e">
        <f>R49</f>
        <v>#DIV/0!</v>
      </c>
      <c r="D48" s="1416"/>
      <c r="E48" s="1417" t="e">
        <f>R48</f>
        <v>#DIV/0!</v>
      </c>
      <c r="F48" s="1417"/>
      <c r="G48" s="1415" t="e">
        <f>T48</f>
        <v>#DIV/0!</v>
      </c>
      <c r="H48" s="1416"/>
      <c r="I48" s="1417" t="e">
        <f>V48</f>
        <v>#DIV/0!</v>
      </c>
      <c r="J48" s="1416"/>
      <c r="K48" s="783"/>
      <c r="L48" s="1145"/>
      <c r="M48" s="1146"/>
      <c r="N48" s="1133"/>
      <c r="O48" s="1146"/>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8"/>
      <c r="Y48" s="758"/>
      <c r="Z48" s="758"/>
      <c r="AA48" s="758"/>
      <c r="AB48" s="758"/>
      <c r="AC48" s="758"/>
    </row>
    <row r="49" spans="1:29" ht="15.75" thickBot="1">
      <c r="A49" s="491" t="s">
        <v>2674</v>
      </c>
      <c r="B49" s="492"/>
      <c r="C49" s="1419" t="e">
        <f>R49</f>
        <v>#DIV/0!</v>
      </c>
      <c r="D49" s="1419"/>
      <c r="E49" s="1419"/>
      <c r="F49" s="1419"/>
      <c r="G49" s="1419"/>
      <c r="H49" s="1419"/>
      <c r="I49" s="1419"/>
      <c r="J49" s="1419"/>
      <c r="K49" s="784"/>
      <c r="L49" s="1145"/>
      <c r="M49" s="1146"/>
      <c r="N49" s="1133"/>
      <c r="O49" s="1146"/>
      <c r="P49" s="3173" t="str">
        <f>A49</f>
        <v>估价对象XX用房的比较价值（楼面单价，元/平方米）</v>
      </c>
      <c r="Q49" s="3174"/>
      <c r="R49" s="3175" t="e">
        <f>IF(F1="售价",ROUND(AVERAGE(R48:V48),0),ROUND(AVERAGE(R48:V48),1))</f>
        <v>#DIV/0!</v>
      </c>
      <c r="S49" s="3175"/>
      <c r="T49" s="3175"/>
      <c r="U49" s="3175"/>
      <c r="V49" s="3175"/>
      <c r="W49" s="317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2"/>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3"/>
      <c r="Q57" s="2674"/>
      <c r="R57" s="758"/>
      <c r="S57" s="758"/>
      <c r="T57" s="758"/>
      <c r="U57" s="758"/>
      <c r="V57" s="758"/>
      <c r="W57" s="758"/>
      <c r="X57" s="758"/>
      <c r="Y57" s="758"/>
      <c r="Z57" s="758"/>
      <c r="AA57" s="758"/>
      <c r="AB57" s="758"/>
      <c r="AC57" s="758"/>
    </row>
    <row r="58" spans="1:29" s="507" customFormat="1" ht="15">
      <c r="A58" s="504" t="s">
        <v>2552</v>
      </c>
      <c r="B58" s="505"/>
      <c r="C58" s="1576" t="str">
        <f>YEAR(C7)&amp;"-"&amp;MONTH(C7)</f>
        <v>2018-9</v>
      </c>
      <c r="D58" s="1577">
        <f>EDATE(C58,-1)</f>
        <v>43313</v>
      </c>
      <c r="E58" s="1577">
        <f t="shared" ref="E58:N58" si="16">EDATE(D58,-1)</f>
        <v>43282</v>
      </c>
      <c r="F58" s="1577">
        <f t="shared" si="16"/>
        <v>43252</v>
      </c>
      <c r="G58" s="1577">
        <f t="shared" si="16"/>
        <v>43221</v>
      </c>
      <c r="H58" s="1577">
        <f t="shared" si="16"/>
        <v>43191</v>
      </c>
      <c r="I58" s="1577">
        <f t="shared" si="16"/>
        <v>43160</v>
      </c>
      <c r="J58" s="1577">
        <f t="shared" si="16"/>
        <v>43132</v>
      </c>
      <c r="K58" s="1577">
        <f t="shared" si="16"/>
        <v>43101</v>
      </c>
      <c r="L58" s="1577">
        <f t="shared" si="16"/>
        <v>43070</v>
      </c>
      <c r="M58" s="1577">
        <f t="shared" si="16"/>
        <v>43040</v>
      </c>
      <c r="N58" s="1577">
        <f t="shared" si="16"/>
        <v>43009</v>
      </c>
      <c r="O58" s="1577">
        <f>EDATE(N58,-1)</f>
        <v>42979</v>
      </c>
      <c r="P58" s="1572"/>
    </row>
    <row r="59" spans="1:29" s="117" customFormat="1" ht="15">
      <c r="A59" s="508"/>
      <c r="B59" s="509"/>
      <c r="C59" s="1575">
        <v>100</v>
      </c>
      <c r="D59" s="511"/>
      <c r="E59" s="511"/>
      <c r="F59" s="511"/>
      <c r="G59" s="511"/>
      <c r="H59" s="511"/>
      <c r="I59" s="511"/>
      <c r="J59" s="511"/>
      <c r="K59" s="511"/>
      <c r="L59" s="511"/>
      <c r="M59" s="512"/>
      <c r="N59" s="511"/>
      <c r="O59" s="512"/>
      <c r="P59" s="2634"/>
    </row>
    <row r="60" spans="1:29" s="117" customFormat="1" ht="15.75" thickBot="1">
      <c r="A60" s="514" t="s">
        <v>2589</v>
      </c>
      <c r="B60" s="515"/>
      <c r="C60" s="516"/>
      <c r="D60" s="517"/>
      <c r="E60" s="517"/>
      <c r="F60" s="517"/>
      <c r="G60" s="517"/>
      <c r="H60" s="517"/>
      <c r="I60" s="517"/>
      <c r="J60" s="517"/>
      <c r="K60" s="517"/>
      <c r="L60" s="517"/>
      <c r="M60" s="518"/>
      <c r="N60" s="517"/>
      <c r="O60" s="518"/>
      <c r="P60" s="2634"/>
      <c r="Q60" s="503"/>
    </row>
    <row r="61" spans="1:29" s="117" customFormat="1" ht="15">
      <c r="A61" s="520" t="s">
        <v>2554</v>
      </c>
      <c r="B61" s="509"/>
      <c r="C61" s="521" t="s">
        <v>2656</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2592</v>
      </c>
      <c r="B63" s="527" t="s">
        <v>2558</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6"/>
      <c r="Q66" s="503"/>
    </row>
    <row r="67" spans="1:17" ht="15.75" thickTop="1">
      <c r="A67" s="533"/>
      <c r="B67" s="545" t="s">
        <v>2562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35"/>
      <c r="E73" s="535"/>
      <c r="F73" s="535"/>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6"/>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2684</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6"/>
      <c r="Q87" s="503"/>
    </row>
    <row r="88" spans="1:17" s="117" customFormat="1" ht="15.75" thickTop="1">
      <c r="A88" s="578"/>
      <c r="B88" s="537" t="str">
        <f>B26</f>
        <v>平面位置/可视性</v>
      </c>
      <c r="C88" s="553"/>
      <c r="D88" s="553"/>
      <c r="E88" s="553"/>
      <c r="F88" s="2641"/>
      <c r="G88" s="553"/>
      <c r="H88" s="553"/>
      <c r="I88" s="553"/>
      <c r="J88" s="553"/>
      <c r="K88" s="553"/>
      <c r="L88" s="553"/>
      <c r="M88" s="580"/>
      <c r="N88" s="1153"/>
      <c r="O88" s="1153"/>
      <c r="P88" s="2636"/>
      <c r="Q88" s="503"/>
    </row>
    <row r="89" spans="1:17" s="117" customFormat="1" ht="15.75" thickBot="1">
      <c r="A89" s="578"/>
      <c r="B89" s="542"/>
      <c r="C89" s="559"/>
      <c r="D89" s="535"/>
      <c r="E89" s="535"/>
      <c r="F89" s="535"/>
      <c r="G89" s="535"/>
      <c r="H89" s="535"/>
      <c r="I89" s="535"/>
      <c r="J89" s="535"/>
      <c r="K89" s="535"/>
      <c r="L89" s="535"/>
      <c r="M89" s="535"/>
      <c r="N89" s="1155"/>
      <c r="O89" s="1155"/>
      <c r="P89" s="2636"/>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7"/>
      <c r="Q91" s="558"/>
    </row>
    <row r="92" spans="1:17" ht="15.75" thickTop="1">
      <c r="A92" s="533"/>
      <c r="B92" s="537" t="str">
        <f>B28</f>
        <v>楼层</v>
      </c>
      <c r="C92" s="553"/>
      <c r="D92" s="553"/>
      <c r="E92" s="553"/>
      <c r="F92" s="553"/>
      <c r="G92" s="553"/>
      <c r="H92" s="553"/>
      <c r="I92" s="553"/>
      <c r="J92" s="553"/>
      <c r="K92" s="553"/>
      <c r="L92" s="579"/>
      <c r="M92" s="580"/>
      <c r="N92" s="1154"/>
      <c r="O92" s="1154"/>
      <c r="P92" s="2636"/>
      <c r="Q92" s="503"/>
    </row>
    <row r="93" spans="1:17" ht="15.75" thickBot="1">
      <c r="A93" s="533"/>
      <c r="B93" s="542"/>
      <c r="C93" s="535"/>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35"/>
      <c r="E95" s="535"/>
      <c r="F95" s="535"/>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59"/>
      <c r="D97" s="535"/>
      <c r="E97" s="535"/>
      <c r="F97" s="535"/>
      <c r="G97" s="535"/>
      <c r="H97" s="535"/>
      <c r="I97" s="535"/>
      <c r="J97" s="535"/>
      <c r="K97" s="535"/>
      <c r="L97" s="535"/>
      <c r="M97" s="536"/>
      <c r="N97" s="1155"/>
      <c r="O97" s="1155"/>
      <c r="P97" s="2636"/>
      <c r="Q97" s="503"/>
    </row>
    <row r="98" spans="1:17" ht="15.75" thickTop="1">
      <c r="A98" s="533"/>
      <c r="B98" s="545">
        <f>B31</f>
        <v>111</v>
      </c>
      <c r="C98" s="553"/>
      <c r="D98" s="553"/>
      <c r="E98" s="553"/>
      <c r="F98" s="553"/>
      <c r="G98" s="586"/>
      <c r="H98" s="586"/>
      <c r="I98" s="586"/>
      <c r="J98" s="586"/>
      <c r="K98" s="587"/>
      <c r="L98" s="588"/>
      <c r="M98" s="589"/>
      <c r="N98" s="1154"/>
      <c r="O98" s="1154"/>
      <c r="P98" s="2636"/>
      <c r="Q98" s="503"/>
    </row>
    <row r="99" spans="1:17" ht="15.75" thickBot="1">
      <c r="A99" s="2642"/>
      <c r="B99" s="568"/>
      <c r="C99" s="569"/>
      <c r="D99" s="569"/>
      <c r="E99" s="569"/>
      <c r="F99" s="569"/>
      <c r="G99" s="590"/>
      <c r="H99" s="590"/>
      <c r="I99" s="590"/>
      <c r="J99" s="590"/>
      <c r="K99" s="590"/>
      <c r="L99" s="590"/>
      <c r="M99" s="591"/>
      <c r="N99" s="1155"/>
      <c r="O99" s="1155"/>
      <c r="P99" s="2636"/>
      <c r="Q99" s="503"/>
    </row>
    <row r="100" spans="1:17">
      <c r="A100" s="526" t="s">
        <v>2567</v>
      </c>
      <c r="B100" s="527" t="s">
        <v>2685</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6"/>
      <c r="Q101" s="503"/>
    </row>
    <row r="102" spans="1:17" ht="15.75" thickTop="1">
      <c r="A102" s="533"/>
      <c r="B102" s="537" t="s">
        <v>2617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7"/>
      <c r="Q104" s="558"/>
    </row>
    <row r="105" spans="1:17" ht="15" thickTop="1">
      <c r="A105" s="598"/>
      <c r="B105" s="537" t="s">
        <v>2618</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6"/>
      <c r="Q106" s="503"/>
    </row>
    <row r="107" spans="1:17" ht="15" thickTop="1">
      <c r="A107" s="598"/>
      <c r="B107" s="537" t="s">
        <v>2620</v>
      </c>
      <c r="C107" s="553"/>
      <c r="D107" s="553"/>
      <c r="E107" s="553"/>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6"/>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6"/>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6"/>
      <c r="Q111" s="503"/>
    </row>
    <row r="112" spans="1:17" s="470" customFormat="1" ht="15" thickTop="1">
      <c r="A112" s="592"/>
      <c r="B112" s="537" t="s">
        <v>2622</v>
      </c>
      <c r="C112" s="553"/>
      <c r="D112" s="553"/>
      <c r="E112" s="553"/>
      <c r="F112" s="553"/>
      <c r="G112" s="553"/>
      <c r="H112" s="582"/>
      <c r="I112" s="582"/>
      <c r="J112" s="582"/>
      <c r="K112" s="583"/>
      <c r="L112" s="584"/>
      <c r="M112" s="585"/>
      <c r="N112" s="1156"/>
      <c r="O112" s="1156"/>
      <c r="P112" s="263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7"/>
      <c r="Q113" s="558"/>
    </row>
    <row r="114" spans="1:17" ht="15" thickTop="1">
      <c r="A114" s="598"/>
      <c r="B114" s="537" t="s">
        <v>2686</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6"/>
      <c r="Q115" s="503"/>
    </row>
    <row r="116" spans="1:17" ht="15" thickTop="1">
      <c r="A116" s="598"/>
      <c r="B116" s="537" t="s">
        <v>2687</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2688</v>
      </c>
      <c r="C118" s="626"/>
      <c r="D118" s="626"/>
      <c r="E118" s="626"/>
      <c r="F118" s="626"/>
      <c r="G118" s="626"/>
      <c r="H118" s="554"/>
      <c r="I118" s="554"/>
      <c r="J118" s="554"/>
      <c r="K118" s="554"/>
      <c r="L118" s="555"/>
      <c r="M118" s="556"/>
      <c r="N118" s="1154"/>
      <c r="O118" s="1154"/>
      <c r="P118" s="2636"/>
      <c r="Q118" s="503"/>
    </row>
    <row r="119" spans="1:17" ht="15.75" thickBot="1">
      <c r="A119" s="533"/>
      <c r="B119" s="542"/>
      <c r="C119" s="559"/>
      <c r="D119" s="535"/>
      <c r="E119" s="535"/>
      <c r="F119" s="535"/>
      <c r="G119" s="535"/>
      <c r="H119" s="535"/>
      <c r="I119" s="535"/>
      <c r="J119" s="535"/>
      <c r="K119" s="535"/>
      <c r="L119" s="535"/>
      <c r="M119" s="536"/>
      <c r="N119" s="1155"/>
      <c r="O119" s="1155"/>
      <c r="P119" s="2636"/>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7"/>
      <c r="Q121" s="558"/>
    </row>
    <row r="122" spans="1:17" ht="15" thickTop="1">
      <c r="A122" s="598"/>
      <c r="B122" s="537" t="s">
        <v>2624</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6"/>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35"/>
      <c r="E129" s="535"/>
      <c r="F129" s="535"/>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36">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1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估价对象为北京市房地产，为所有。根据《国有土地使用证》[]，估价对象（分摊）出让国有建设用地使用权面积为0平方米，建筑面积为589.49平方米。</v>
      </c>
    </row>
    <row r="8" spans="1:1" ht="57.75">
      <c r="A8" s="1953" t="s">
        <v>1614</v>
      </c>
    </row>
    <row r="9" spans="1:1" ht="18.75">
      <c r="A9" s="1952" t="s">
        <v>1615</v>
      </c>
    </row>
    <row r="10" spans="1:1" ht="1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估价对象为北京市房地产,属开发建设的办公项目，该项目尚在开发建设中。根据《国有土地使用证》[]，估价对象（分摊）出让国有建设用地使用权面积为0平方米，规划建筑面积为589.49平方米。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2018年9月12日（评估专业人员实地查勘之日）</v>
      </c>
    </row>
    <row r="16" spans="1:1" ht="18.75">
      <c r="A16" s="1955" t="s">
        <v>1619</v>
      </c>
    </row>
    <row r="17" spans="1:1" ht="75">
      <c r="A17" s="1950" t="s">
        <v>1620</v>
      </c>
    </row>
    <row r="18" spans="1:1" ht="36">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5" t="s">
        <v>2706</v>
      </c>
      <c r="C1" s="1622" t="s">
        <v>2534</v>
      </c>
      <c r="D1" s="1623"/>
      <c r="E1" s="1632"/>
      <c r="F1" s="2590"/>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2"/>
      <c r="D2" s="1126" t="e">
        <f ca="1">SUMIF(INDIRECT("'"&amp;F2&amp;"'"&amp;"!A:A"),"承租人权益价值",INDIRECT("'"&amp;F2&amp;"'"&amp;"!c:c"))</f>
        <v>#REF!</v>
      </c>
      <c r="E2" s="2593" t="s">
        <v>2332</v>
      </c>
      <c r="F2" s="259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589.49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191" t="s">
        <v>2650</v>
      </c>
      <c r="D4" s="3192"/>
      <c r="E4" s="3193" t="s">
        <v>2651</v>
      </c>
      <c r="F4" s="3194"/>
      <c r="G4" s="3191" t="s">
        <v>2652</v>
      </c>
      <c r="H4" s="3192"/>
      <c r="I4" s="3191" t="s">
        <v>2653</v>
      </c>
      <c r="J4" s="3192"/>
      <c r="K4" s="609" t="s">
        <v>2654</v>
      </c>
      <c r="L4" s="1132"/>
      <c r="M4" s="1133"/>
      <c r="N4" s="1133"/>
      <c r="O4" s="1133"/>
      <c r="P4" s="3195" t="s">
        <v>2655</v>
      </c>
      <c r="Q4" s="3196"/>
      <c r="R4" s="3201" t="s">
        <v>2651</v>
      </c>
      <c r="S4" s="3202"/>
      <c r="T4" s="3201" t="s">
        <v>2652</v>
      </c>
      <c r="U4" s="3202"/>
      <c r="V4" s="3207" t="s">
        <v>2653</v>
      </c>
      <c r="W4" s="3207"/>
      <c r="X4" s="1815"/>
      <c r="Y4" s="3201" t="s">
        <v>2655</v>
      </c>
      <c r="Z4" s="3202"/>
      <c r="AA4" s="3188" t="s">
        <v>2651</v>
      </c>
      <c r="AB4" s="3189" t="s">
        <v>2652</v>
      </c>
      <c r="AC4" s="3188" t="s">
        <v>2653</v>
      </c>
    </row>
    <row r="5" spans="1:29" ht="15">
      <c r="A5" s="403"/>
      <c r="B5" s="404"/>
      <c r="C5" s="3210" t="s">
        <v>2546</v>
      </c>
      <c r="D5" s="3211"/>
      <c r="E5" s="3217" t="s">
        <v>2547</v>
      </c>
      <c r="F5" s="3218"/>
      <c r="G5" s="3210" t="s">
        <v>2548</v>
      </c>
      <c r="H5" s="3211"/>
      <c r="I5" s="3210" t="s">
        <v>2549</v>
      </c>
      <c r="J5" s="3211"/>
      <c r="K5" s="609"/>
      <c r="L5" s="1132"/>
      <c r="M5" s="1133"/>
      <c r="N5" s="1133"/>
      <c r="O5" s="1133"/>
      <c r="P5" s="3197"/>
      <c r="Q5" s="3198"/>
      <c r="R5" s="3203"/>
      <c r="S5" s="3204"/>
      <c r="T5" s="3203"/>
      <c r="U5" s="3204"/>
      <c r="V5" s="3207"/>
      <c r="W5" s="3207"/>
      <c r="X5" s="1815"/>
      <c r="Y5" s="3203"/>
      <c r="Z5" s="3204"/>
      <c r="AA5" s="3189"/>
      <c r="AB5" s="3189"/>
      <c r="AC5" s="3189"/>
    </row>
    <row r="6" spans="1:29" ht="15.75" thickBot="1">
      <c r="A6" s="405"/>
      <c r="B6" s="406"/>
      <c r="C6" s="3208" t="s">
        <v>2550</v>
      </c>
      <c r="D6" s="3209"/>
      <c r="E6" s="3215" t="s">
        <v>2550</v>
      </c>
      <c r="F6" s="3216"/>
      <c r="G6" s="3208" t="s">
        <v>2550</v>
      </c>
      <c r="H6" s="3209"/>
      <c r="I6" s="3208" t="s">
        <v>2550</v>
      </c>
      <c r="J6" s="3209"/>
      <c r="K6" s="609" t="s">
        <v>2551</v>
      </c>
      <c r="L6" s="1132"/>
      <c r="M6" s="1133"/>
      <c r="N6" s="1133"/>
      <c r="O6" s="1133"/>
      <c r="P6" s="3199"/>
      <c r="Q6" s="3200"/>
      <c r="R6" s="3203"/>
      <c r="S6" s="3204"/>
      <c r="T6" s="3205"/>
      <c r="U6" s="3206"/>
      <c r="V6" s="3207"/>
      <c r="W6" s="3207"/>
      <c r="X6" s="1815"/>
      <c r="Y6" s="3205"/>
      <c r="Z6" s="3206"/>
      <c r="AA6" s="3190"/>
      <c r="AB6" s="3190"/>
      <c r="AC6" s="3190"/>
    </row>
    <row r="7" spans="1:29" s="117" customFormat="1" ht="15.75" thickBot="1">
      <c r="A7" s="407" t="s">
        <v>2552</v>
      </c>
      <c r="B7" s="408"/>
      <c r="C7" s="409">
        <f>'数据-取费表'!B2</f>
        <v>43355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12" t="s">
        <v>2553</v>
      </c>
      <c r="Q7" s="3214"/>
      <c r="R7" s="769" t="s">
        <v>17</v>
      </c>
      <c r="S7" s="770">
        <f t="shared" ref="S7:S15" si="0">F7</f>
        <v>0</v>
      </c>
      <c r="T7" s="769" t="s">
        <v>17</v>
      </c>
      <c r="U7" s="770">
        <f t="shared" ref="U7:U15" si="1">H7</f>
        <v>0</v>
      </c>
      <c r="V7" s="769" t="s">
        <v>17</v>
      </c>
      <c r="W7" s="770">
        <f t="shared" ref="W7:W15" si="2">J7</f>
        <v>0</v>
      </c>
      <c r="X7" s="771"/>
      <c r="Y7" s="3212" t="s">
        <v>2553</v>
      </c>
      <c r="Z7" s="3213"/>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12" t="s">
        <v>2556</v>
      </c>
      <c r="Q8" s="3213"/>
      <c r="R8" s="769" t="s">
        <v>17</v>
      </c>
      <c r="S8" s="770">
        <f t="shared" si="0"/>
        <v>0</v>
      </c>
      <c r="T8" s="769" t="s">
        <v>17</v>
      </c>
      <c r="U8" s="770">
        <f t="shared" si="1"/>
        <v>0</v>
      </c>
      <c r="V8" s="769" t="s">
        <v>17</v>
      </c>
      <c r="W8" s="770">
        <f t="shared" si="2"/>
        <v>0</v>
      </c>
      <c r="X8" s="771"/>
      <c r="Y8" s="3212" t="s">
        <v>2556</v>
      </c>
      <c r="Z8" s="3213"/>
      <c r="AA8" s="772" t="e">
        <f t="shared" ref="AA8:AA40" si="3">D8/F8</f>
        <v>#DIV/0!</v>
      </c>
      <c r="AB8" s="772" t="e">
        <f t="shared" ref="AB8:AB40" si="4">D8/H8</f>
        <v>#DIV/0!</v>
      </c>
      <c r="AC8" s="772"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6" t="s">
        <v>2559</v>
      </c>
      <c r="Q9" s="1797" t="str">
        <f t="shared" ref="Q9:Q15" si="6">B9</f>
        <v>用途</v>
      </c>
      <c r="R9" s="769" t="s">
        <v>17</v>
      </c>
      <c r="S9" s="770">
        <f t="shared" si="0"/>
        <v>100</v>
      </c>
      <c r="T9" s="769" t="s">
        <v>17</v>
      </c>
      <c r="U9" s="770">
        <f t="shared" si="1"/>
        <v>100</v>
      </c>
      <c r="V9" s="769" t="s">
        <v>17</v>
      </c>
      <c r="W9" s="770">
        <f t="shared" si="2"/>
        <v>100</v>
      </c>
      <c r="X9" s="771"/>
      <c r="Y9" s="3001"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6"/>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6"/>
      <c r="Q11" s="1797" t="str">
        <f t="shared" si="6"/>
        <v>容积率</v>
      </c>
      <c r="R11" s="769" t="s">
        <v>17</v>
      </c>
      <c r="S11" s="770" t="e">
        <f t="shared" si="0"/>
        <v>#N/A</v>
      </c>
      <c r="T11" s="769" t="s">
        <v>17</v>
      </c>
      <c r="U11" s="770" t="e">
        <f t="shared" si="1"/>
        <v>#N/A</v>
      </c>
      <c r="V11" s="769" t="s">
        <v>17</v>
      </c>
      <c r="W11" s="770" t="e">
        <f t="shared" si="2"/>
        <v>#N/A</v>
      </c>
      <c r="X11" s="771"/>
      <c r="Y11" s="3001"/>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135">
        <f>SUMIF(64:64,E12,65:65)-SUMIF(64:64,C12,65:65)+100</f>
        <v>100</v>
      </c>
      <c r="G12" s="2698"/>
      <c r="H12" s="135">
        <f>SUMIF(64:64,G12,65:65)-SUMIF(64:64,C12,65:65)+100</f>
        <v>100</v>
      </c>
      <c r="I12" s="468"/>
      <c r="J12" s="135">
        <f>SUMIF(64:64,I12,65:65)-SUMIF(64:64,C12,65:65)+100</f>
        <v>100</v>
      </c>
      <c r="K12" s="612"/>
      <c r="L12" s="1134"/>
      <c r="M12" s="1135"/>
      <c r="N12" s="1135"/>
      <c r="O12" s="1136"/>
      <c r="P12" s="3176"/>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772">
        <f>D12/J12</f>
        <v>1</v>
      </c>
    </row>
    <row r="13" spans="1:29" ht="15">
      <c r="A13" s="427"/>
      <c r="B13" s="2606">
        <v>111</v>
      </c>
      <c r="C13" s="433"/>
      <c r="D13" s="434">
        <v>100</v>
      </c>
      <c r="E13" s="433"/>
      <c r="F13" s="135">
        <f>SUMIF(66:66,E13,67:67)-SUMIF(66:66,C13,67:67)+100</f>
        <v>100</v>
      </c>
      <c r="G13" s="2698"/>
      <c r="H13" s="434">
        <f>SUMIF(66:66,G13,67:67)-SUMIF(66:66,C13,67:67)+100</f>
        <v>100</v>
      </c>
      <c r="I13" s="468"/>
      <c r="J13" s="434">
        <f>SUMIF(66:66,I13,67:67)-SUMIF(66:66,C13,67:67)+100</f>
        <v>100</v>
      </c>
      <c r="K13" s="612"/>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772">
        <f t="shared" si="5"/>
        <v>1</v>
      </c>
    </row>
    <row r="14" spans="1:29" ht="15.75" thickBot="1">
      <c r="A14" s="435"/>
      <c r="B14" s="2608">
        <v>111</v>
      </c>
      <c r="C14" s="436"/>
      <c r="D14" s="437">
        <v>100</v>
      </c>
      <c r="E14" s="436"/>
      <c r="F14" s="437">
        <f>SUMIF(68:68,E14,69:69)-SUMIF(68:68,C14,69:69)+100</f>
        <v>100</v>
      </c>
      <c r="G14" s="2698"/>
      <c r="H14" s="437">
        <f>SUMIF(68:68,G14,69:69)-SUMIF(68:68,C14,69:69)+100</f>
        <v>100</v>
      </c>
      <c r="I14" s="468"/>
      <c r="J14" s="437">
        <f>SUMIF(68:68,I14,69:69)-SUMIF(68:68,C14,69:69)+100</f>
        <v>100</v>
      </c>
      <c r="K14" s="612"/>
      <c r="L14" s="1142"/>
      <c r="M14" s="1133"/>
      <c r="N14" s="1133"/>
      <c r="O14" s="1141"/>
      <c r="P14" s="3176"/>
      <c r="Q14" s="1797">
        <f t="shared" si="6"/>
        <v>111</v>
      </c>
      <c r="R14" s="769" t="s">
        <v>17</v>
      </c>
      <c r="S14" s="770">
        <f t="shared" si="0"/>
        <v>100</v>
      </c>
      <c r="T14" s="769" t="s">
        <v>17</v>
      </c>
      <c r="U14" s="770">
        <f t="shared" si="1"/>
        <v>100</v>
      </c>
      <c r="V14" s="769" t="s">
        <v>17</v>
      </c>
      <c r="W14" s="770">
        <f t="shared" si="2"/>
        <v>100</v>
      </c>
      <c r="X14" s="771"/>
      <c r="Y14" s="3001"/>
      <c r="Z14" s="55">
        <f t="shared" si="7"/>
        <v>111</v>
      </c>
      <c r="AA14" s="772">
        <f t="shared" si="3"/>
        <v>1</v>
      </c>
      <c r="AB14" s="772">
        <f t="shared" si="4"/>
        <v>1</v>
      </c>
      <c r="AC14" s="772">
        <f t="shared" si="5"/>
        <v>1</v>
      </c>
    </row>
    <row r="15" spans="1:29" ht="57">
      <c r="A15" s="439" t="s">
        <v>2563</v>
      </c>
      <c r="B15" s="69" t="s">
        <v>2707</v>
      </c>
      <c r="C15" s="269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78" t="s">
        <v>2564</v>
      </c>
      <c r="Q15" s="1812" t="str">
        <f t="shared" si="6"/>
        <v>产业集聚程度</v>
      </c>
      <c r="R15" s="773" t="s">
        <v>17</v>
      </c>
      <c r="S15" s="774">
        <f t="shared" si="0"/>
        <v>100</v>
      </c>
      <c r="T15" s="773" t="s">
        <v>17</v>
      </c>
      <c r="U15" s="774">
        <f t="shared" si="1"/>
        <v>100</v>
      </c>
      <c r="V15" s="773" t="s">
        <v>17</v>
      </c>
      <c r="W15" s="774">
        <f t="shared" si="2"/>
        <v>100</v>
      </c>
      <c r="X15" s="1815"/>
      <c r="Y15" s="3178"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79"/>
      <c r="Q16" s="1812"/>
      <c r="R16" s="773"/>
      <c r="S16" s="774"/>
      <c r="T16" s="773"/>
      <c r="U16" s="774"/>
      <c r="V16" s="773"/>
      <c r="W16" s="774"/>
      <c r="X16" s="1815"/>
      <c r="Y16" s="3179"/>
      <c r="Z16" s="1816"/>
      <c r="AA16" s="1813">
        <v>1</v>
      </c>
      <c r="AB16" s="1813">
        <v>1</v>
      </c>
      <c r="AC16" s="1813">
        <v>1</v>
      </c>
    </row>
    <row r="17" spans="1:29" ht="85.5">
      <c r="A17" s="427"/>
      <c r="B17" s="450" t="s">
        <v>2101</v>
      </c>
      <c r="C17" s="261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79"/>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41"/>
      <c r="P18" s="3179"/>
      <c r="Q18" s="1812"/>
      <c r="R18" s="773"/>
      <c r="S18" s="774"/>
      <c r="T18" s="773"/>
      <c r="U18" s="774"/>
      <c r="V18" s="773"/>
      <c r="W18" s="774"/>
      <c r="X18" s="1815"/>
      <c r="Y18" s="3179"/>
      <c r="Z18" s="1816"/>
      <c r="AA18" s="1813">
        <v>1</v>
      </c>
      <c r="AB18" s="1813">
        <v>1</v>
      </c>
      <c r="AC18" s="1813">
        <v>1</v>
      </c>
    </row>
    <row r="19" spans="1:29" ht="42.75">
      <c r="A19" s="427"/>
      <c r="B19" s="450" t="s">
        <v>2692</v>
      </c>
      <c r="C19" s="261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79"/>
      <c r="Q19" s="1812" t="str">
        <f>B19</f>
        <v>公共配套设施</v>
      </c>
      <c r="R19" s="773" t="s">
        <v>17</v>
      </c>
      <c r="S19" s="774">
        <f>F19</f>
        <v>100</v>
      </c>
      <c r="T19" s="773" t="s">
        <v>17</v>
      </c>
      <c r="U19" s="774">
        <f>H19</f>
        <v>100</v>
      </c>
      <c r="V19" s="773" t="s">
        <v>17</v>
      </c>
      <c r="W19" s="774">
        <f>J19</f>
        <v>100</v>
      </c>
      <c r="X19" s="1815"/>
      <c r="Y19" s="3179"/>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41"/>
      <c r="P20" s="3179"/>
      <c r="Q20" s="1812"/>
      <c r="R20" s="773"/>
      <c r="S20" s="774"/>
      <c r="T20" s="773"/>
      <c r="U20" s="774"/>
      <c r="V20" s="773"/>
      <c r="W20" s="774"/>
      <c r="X20" s="1815"/>
      <c r="Y20" s="3179"/>
      <c r="Z20" s="1816"/>
      <c r="AA20" s="1813">
        <v>1</v>
      </c>
      <c r="AB20" s="1813">
        <v>1</v>
      </c>
      <c r="AC20" s="1813">
        <v>1</v>
      </c>
    </row>
    <row r="21" spans="1:29" ht="28.5">
      <c r="A21" s="427"/>
      <c r="B21" s="1386" t="s">
        <v>2693</v>
      </c>
      <c r="C21" s="261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79"/>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41"/>
      <c r="P22" s="3179"/>
      <c r="Q22" s="1812"/>
      <c r="R22" s="773"/>
      <c r="S22" s="774"/>
      <c r="T22" s="773"/>
      <c r="U22" s="774"/>
      <c r="V22" s="773"/>
      <c r="W22" s="774"/>
      <c r="X22" s="1815"/>
      <c r="Y22" s="3179"/>
      <c r="Z22" s="1816"/>
      <c r="AA22" s="1813">
        <v>1</v>
      </c>
      <c r="AB22" s="1813">
        <v>1</v>
      </c>
      <c r="AC22" s="1813">
        <v>1</v>
      </c>
    </row>
    <row r="23" spans="1:29" ht="71.25">
      <c r="A23" s="427"/>
      <c r="B23" s="450" t="s">
        <v>2694</v>
      </c>
      <c r="C23" s="261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79"/>
      <c r="Q23" s="1812" t="str">
        <f>B23</f>
        <v>环境质量</v>
      </c>
      <c r="R23" s="773" t="s">
        <v>17</v>
      </c>
      <c r="S23" s="774">
        <f>F23</f>
        <v>100</v>
      </c>
      <c r="T23" s="773" t="s">
        <v>17</v>
      </c>
      <c r="U23" s="774">
        <f>H23</f>
        <v>100</v>
      </c>
      <c r="V23" s="773" t="s">
        <v>17</v>
      </c>
      <c r="W23" s="774">
        <f>J23</f>
        <v>100</v>
      </c>
      <c r="X23" s="1815"/>
      <c r="Y23" s="3179"/>
      <c r="Z23" s="1816" t="str">
        <f>Q23</f>
        <v>环境质量</v>
      </c>
      <c r="AA23" s="1813">
        <f t="shared" si="3"/>
        <v>1</v>
      </c>
      <c r="AB23" s="1813">
        <f t="shared" si="4"/>
        <v>1</v>
      </c>
      <c r="AC23" s="1813">
        <f t="shared" si="5"/>
        <v>1</v>
      </c>
    </row>
    <row r="24" spans="1:29" ht="15">
      <c r="A24" s="427"/>
      <c r="B24" s="1386"/>
      <c r="C24" s="446"/>
      <c r="D24" s="447"/>
      <c r="E24" s="2611"/>
      <c r="F24" s="448"/>
      <c r="G24" s="2610"/>
      <c r="H24" s="447"/>
      <c r="I24" s="2611"/>
      <c r="J24" s="447"/>
      <c r="K24" s="614"/>
      <c r="L24" s="1142"/>
      <c r="M24" s="1133"/>
      <c r="N24" s="1133"/>
      <c r="O24" s="1141"/>
      <c r="P24" s="3179"/>
      <c r="Q24" s="1812"/>
      <c r="R24" s="773"/>
      <c r="S24" s="774"/>
      <c r="T24" s="773"/>
      <c r="U24" s="774"/>
      <c r="V24" s="773"/>
      <c r="W24" s="774"/>
      <c r="X24" s="1815"/>
      <c r="Y24" s="3179"/>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79"/>
      <c r="Q25" s="1812">
        <f>B25</f>
        <v>111</v>
      </c>
      <c r="R25" s="773" t="s">
        <v>17</v>
      </c>
      <c r="S25" s="774">
        <f>F25</f>
        <v>100</v>
      </c>
      <c r="T25" s="773" t="s">
        <v>17</v>
      </c>
      <c r="U25" s="774">
        <f>H25</f>
        <v>100</v>
      </c>
      <c r="V25" s="773" t="s">
        <v>17</v>
      </c>
      <c r="W25" s="774">
        <f>J25</f>
        <v>100</v>
      </c>
      <c r="X25" s="1815"/>
      <c r="Y25" s="3179"/>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79"/>
      <c r="Q26" s="1812">
        <f t="shared" ref="Q26:Q40" si="11">B26</f>
        <v>111</v>
      </c>
      <c r="R26" s="773" t="s">
        <v>17</v>
      </c>
      <c r="S26" s="774">
        <f>F26</f>
        <v>100</v>
      </c>
      <c r="T26" s="773" t="s">
        <v>17</v>
      </c>
      <c r="U26" s="774">
        <f>H26</f>
        <v>100</v>
      </c>
      <c r="V26" s="773" t="s">
        <v>17</v>
      </c>
      <c r="W26" s="774">
        <f>J26</f>
        <v>100</v>
      </c>
      <c r="X26" s="1815"/>
      <c r="Y26" s="3179"/>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79"/>
      <c r="Q27" s="1797">
        <f t="shared" si="11"/>
        <v>111</v>
      </c>
      <c r="R27" s="769" t="s">
        <v>17</v>
      </c>
      <c r="S27" s="770">
        <f>F27</f>
        <v>100</v>
      </c>
      <c r="T27" s="769" t="s">
        <v>17</v>
      </c>
      <c r="U27" s="770">
        <f>H27</f>
        <v>100</v>
      </c>
      <c r="V27" s="769" t="s">
        <v>17</v>
      </c>
      <c r="W27" s="770">
        <f>J27</f>
        <v>100</v>
      </c>
      <c r="X27" s="771"/>
      <c r="Y27" s="3179"/>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79"/>
      <c r="Q28" s="1812">
        <f t="shared" si="11"/>
        <v>111</v>
      </c>
      <c r="R28" s="773" t="s">
        <v>17</v>
      </c>
      <c r="S28" s="774">
        <f t="shared" ref="S28:S40" si="12">F28</f>
        <v>100</v>
      </c>
      <c r="T28" s="773" t="s">
        <v>17</v>
      </c>
      <c r="U28" s="774">
        <f t="shared" ref="U28:U40" si="13">H28</f>
        <v>100</v>
      </c>
      <c r="V28" s="773" t="s">
        <v>17</v>
      </c>
      <c r="W28" s="774">
        <f t="shared" ref="W28:W40" si="14">J28</f>
        <v>100</v>
      </c>
      <c r="X28" s="1815"/>
      <c r="Y28" s="3179"/>
      <c r="Z28" s="1816">
        <f t="shared" ref="Z28:Z40" si="15">Q28</f>
        <v>111</v>
      </c>
      <c r="AA28" s="1813">
        <f t="shared" si="3"/>
        <v>1</v>
      </c>
      <c r="AB28" s="1813">
        <f t="shared" si="4"/>
        <v>1</v>
      </c>
      <c r="AC28" s="1813">
        <f t="shared" si="5"/>
        <v>1</v>
      </c>
    </row>
    <row r="29" spans="1:29" ht="15">
      <c r="A29" s="465" t="s">
        <v>2567</v>
      </c>
      <c r="B29" s="71" t="s">
        <v>2697</v>
      </c>
      <c r="C29" s="2685"/>
      <c r="D29" s="466">
        <v>100</v>
      </c>
      <c r="E29" s="2685"/>
      <c r="F29" s="460">
        <f>SUMIF(88:88,E29,89:89)-SUMIF(88:88,C29,89:89)+100</f>
        <v>100</v>
      </c>
      <c r="G29" s="2685"/>
      <c r="H29" s="434">
        <f>SUMIF(88:88,G29,89:89)-SUMIF(88:88,C29,89:89)+100</f>
        <v>100</v>
      </c>
      <c r="I29" s="2685"/>
      <c r="J29" s="466">
        <f>SUMIF(88:88,I29,89:89)-SUMIF(88:88,C29,89:89)+100</f>
        <v>100</v>
      </c>
      <c r="K29" s="611"/>
      <c r="L29" s="1142"/>
      <c r="M29" s="1133"/>
      <c r="N29" s="1133"/>
      <c r="O29" s="1141"/>
      <c r="P29" s="3234" t="s">
        <v>2569</v>
      </c>
      <c r="Q29" s="1812" t="str">
        <f t="shared" si="11"/>
        <v>建筑类型</v>
      </c>
      <c r="R29" s="773" t="s">
        <v>17</v>
      </c>
      <c r="S29" s="774">
        <f t="shared" si="12"/>
        <v>100</v>
      </c>
      <c r="T29" s="773" t="s">
        <v>17</v>
      </c>
      <c r="U29" s="774">
        <f t="shared" si="13"/>
        <v>100</v>
      </c>
      <c r="V29" s="773" t="s">
        <v>17</v>
      </c>
      <c r="W29" s="774">
        <f t="shared" si="14"/>
        <v>100</v>
      </c>
      <c r="X29" s="1815"/>
      <c r="Y29" s="3183"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3"/>
      <c r="Q30" s="775" t="str">
        <f t="shared" si="11"/>
        <v>项目建筑规模</v>
      </c>
      <c r="R30" s="776" t="s">
        <v>17</v>
      </c>
      <c r="S30" s="777" t="e">
        <f t="shared" si="12"/>
        <v>#N/A</v>
      </c>
      <c r="T30" s="776" t="s">
        <v>17</v>
      </c>
      <c r="U30" s="777" t="e">
        <f t="shared" si="13"/>
        <v>#N/A</v>
      </c>
      <c r="V30" s="776" t="s">
        <v>17</v>
      </c>
      <c r="W30" s="777" t="e">
        <f t="shared" si="14"/>
        <v>#N/A</v>
      </c>
      <c r="X30" s="778"/>
      <c r="Y30" s="3183"/>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3"/>
      <c r="Q31" s="1812" t="str">
        <f t="shared" si="11"/>
        <v>建筑结构</v>
      </c>
      <c r="R31" s="773" t="s">
        <v>17</v>
      </c>
      <c r="S31" s="774">
        <f t="shared" si="12"/>
        <v>100</v>
      </c>
      <c r="T31" s="773" t="s">
        <v>17</v>
      </c>
      <c r="U31" s="774">
        <f t="shared" si="13"/>
        <v>100</v>
      </c>
      <c r="V31" s="773" t="s">
        <v>17</v>
      </c>
      <c r="W31" s="774">
        <f t="shared" si="14"/>
        <v>100</v>
      </c>
      <c r="X31" s="1815"/>
      <c r="Y31" s="3183"/>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3"/>
      <c r="Q32" s="1812" t="str">
        <f t="shared" si="11"/>
        <v>公共部分装修</v>
      </c>
      <c r="R32" s="773" t="s">
        <v>17</v>
      </c>
      <c r="S32" s="774">
        <f t="shared" si="12"/>
        <v>100</v>
      </c>
      <c r="T32" s="773" t="s">
        <v>17</v>
      </c>
      <c r="U32" s="774">
        <f t="shared" si="13"/>
        <v>100</v>
      </c>
      <c r="V32" s="773" t="s">
        <v>17</v>
      </c>
      <c r="W32" s="774">
        <f t="shared" si="14"/>
        <v>100</v>
      </c>
      <c r="X32" s="1815"/>
      <c r="Y32" s="3183"/>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3"/>
      <c r="Q33" s="1812" t="str">
        <f t="shared" si="11"/>
        <v>成新度</v>
      </c>
      <c r="R33" s="773" t="s">
        <v>17</v>
      </c>
      <c r="S33" s="774" t="e">
        <f t="shared" si="12"/>
        <v>#N/A</v>
      </c>
      <c r="T33" s="773" t="s">
        <v>17</v>
      </c>
      <c r="U33" s="774" t="e">
        <f t="shared" si="13"/>
        <v>#N/A</v>
      </c>
      <c r="V33" s="773" t="s">
        <v>17</v>
      </c>
      <c r="W33" s="774" t="e">
        <f t="shared" si="14"/>
        <v>#N/A</v>
      </c>
      <c r="X33" s="1815"/>
      <c r="Y33" s="3183"/>
      <c r="Z33" s="1816" t="str">
        <f t="shared" si="15"/>
        <v>成新度</v>
      </c>
      <c r="AA33" s="1813" t="e">
        <f t="shared" si="3"/>
        <v>#N/A</v>
      </c>
      <c r="AB33" s="1813" t="e">
        <f t="shared" si="4"/>
        <v>#N/A</v>
      </c>
      <c r="AC33" s="1813"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3"/>
      <c r="Q34" s="1797" t="str">
        <f t="shared" si="11"/>
        <v>物业管理</v>
      </c>
      <c r="R34" s="769" t="s">
        <v>17</v>
      </c>
      <c r="S34" s="770">
        <f t="shared" si="12"/>
        <v>100</v>
      </c>
      <c r="T34" s="769" t="s">
        <v>17</v>
      </c>
      <c r="U34" s="770">
        <f t="shared" si="13"/>
        <v>100</v>
      </c>
      <c r="V34" s="769" t="s">
        <v>17</v>
      </c>
      <c r="W34" s="770">
        <f t="shared" si="14"/>
        <v>100</v>
      </c>
      <c r="X34" s="771"/>
      <c r="Y34" s="3183"/>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3" t="s">
        <v>2569</v>
      </c>
      <c r="Q35" s="1812" t="str">
        <f t="shared" si="11"/>
        <v>市政基础设施</v>
      </c>
      <c r="R35" s="773" t="s">
        <v>17</v>
      </c>
      <c r="S35" s="774">
        <f t="shared" si="12"/>
        <v>100</v>
      </c>
      <c r="T35" s="773" t="s">
        <v>17</v>
      </c>
      <c r="U35" s="774">
        <f t="shared" si="13"/>
        <v>100</v>
      </c>
      <c r="V35" s="773" t="s">
        <v>17</v>
      </c>
      <c r="W35" s="774">
        <f t="shared" si="14"/>
        <v>100</v>
      </c>
      <c r="X35" s="1815"/>
      <c r="Y35" s="3183"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3"/>
      <c r="Q36" s="1812" t="str">
        <f t="shared" si="11"/>
        <v>内部装修</v>
      </c>
      <c r="R36" s="773" t="s">
        <v>17</v>
      </c>
      <c r="S36" s="774">
        <f t="shared" si="12"/>
        <v>100</v>
      </c>
      <c r="T36" s="773" t="s">
        <v>17</v>
      </c>
      <c r="U36" s="774">
        <f t="shared" si="13"/>
        <v>100</v>
      </c>
      <c r="V36" s="773" t="s">
        <v>17</v>
      </c>
      <c r="W36" s="774">
        <f t="shared" si="14"/>
        <v>100</v>
      </c>
      <c r="X36" s="1815"/>
      <c r="Y36" s="3183"/>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3"/>
      <c r="Q37" s="1812" t="str">
        <f t="shared" si="11"/>
        <v>内部装修状况</v>
      </c>
      <c r="R37" s="773" t="s">
        <v>17</v>
      </c>
      <c r="S37" s="774">
        <f t="shared" si="12"/>
        <v>100</v>
      </c>
      <c r="T37" s="773" t="s">
        <v>17</v>
      </c>
      <c r="U37" s="774">
        <f t="shared" si="13"/>
        <v>100</v>
      </c>
      <c r="V37" s="773" t="s">
        <v>17</v>
      </c>
      <c r="W37" s="774">
        <f t="shared" si="14"/>
        <v>100</v>
      </c>
      <c r="X37" s="1815"/>
      <c r="Y37" s="3183"/>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3"/>
      <c r="Q38" s="775">
        <f t="shared" si="11"/>
        <v>111</v>
      </c>
      <c r="R38" s="776" t="s">
        <v>17</v>
      </c>
      <c r="S38" s="777">
        <f t="shared" si="12"/>
        <v>100</v>
      </c>
      <c r="T38" s="776" t="s">
        <v>17</v>
      </c>
      <c r="U38" s="777">
        <f t="shared" si="13"/>
        <v>100</v>
      </c>
      <c r="V38" s="776" t="s">
        <v>17</v>
      </c>
      <c r="W38" s="777">
        <f t="shared" si="14"/>
        <v>100</v>
      </c>
      <c r="X38" s="778"/>
      <c r="Y38" s="3183"/>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3"/>
      <c r="Q39" s="1812">
        <f t="shared" si="11"/>
        <v>111</v>
      </c>
      <c r="R39" s="773" t="s">
        <v>17</v>
      </c>
      <c r="S39" s="774">
        <f t="shared" si="12"/>
        <v>100</v>
      </c>
      <c r="T39" s="773" t="s">
        <v>17</v>
      </c>
      <c r="U39" s="774">
        <f t="shared" si="13"/>
        <v>100</v>
      </c>
      <c r="V39" s="773" t="s">
        <v>17</v>
      </c>
      <c r="W39" s="774">
        <f t="shared" si="14"/>
        <v>100</v>
      </c>
      <c r="X39" s="1815"/>
      <c r="Y39" s="3183"/>
      <c r="Z39" s="1816">
        <f t="shared" si="15"/>
        <v>111</v>
      </c>
      <c r="AA39" s="1813">
        <f t="shared" si="3"/>
        <v>1</v>
      </c>
      <c r="AB39" s="1813">
        <f t="shared" si="4"/>
        <v>1</v>
      </c>
      <c r="AC39" s="1813">
        <f t="shared" si="5"/>
        <v>1</v>
      </c>
    </row>
    <row r="40" spans="1:29" ht="15.75" thickBot="1">
      <c r="A40" s="477"/>
      <c r="B40" s="260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84"/>
      <c r="Q40" s="1812">
        <f t="shared" si="11"/>
        <v>111</v>
      </c>
      <c r="R40" s="773" t="s">
        <v>17</v>
      </c>
      <c r="S40" s="774">
        <f t="shared" si="12"/>
        <v>100</v>
      </c>
      <c r="T40" s="773" t="s">
        <v>17</v>
      </c>
      <c r="U40" s="774">
        <f t="shared" si="13"/>
        <v>100</v>
      </c>
      <c r="V40" s="773" t="s">
        <v>17</v>
      </c>
      <c r="W40" s="774">
        <f t="shared" si="14"/>
        <v>100</v>
      </c>
      <c r="X40" s="1815"/>
      <c r="Y40" s="3184"/>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176" t="str">
        <f>A41</f>
        <v>成交单价（元/平方米）</v>
      </c>
      <c r="Q41" s="3176"/>
      <c r="R41" s="3177">
        <f>E41</f>
        <v>0</v>
      </c>
      <c r="S41" s="3177"/>
      <c r="T41" s="3177">
        <f>G41</f>
        <v>0</v>
      </c>
      <c r="U41" s="3177"/>
      <c r="V41" s="3177">
        <f>I41</f>
        <v>0</v>
      </c>
      <c r="W41" s="3177"/>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173" t="str">
        <f>A43</f>
        <v>估价对象XX用房的比较价值（楼面单价，元/平方米）</v>
      </c>
      <c r="Q43" s="3174"/>
      <c r="R43" s="3175" t="e">
        <f>IF(F1="售价",ROUND(AVERAGE(R42:V42),0),ROUND(AVERAGE(R42:V42),1))</f>
        <v>#DIV/0!</v>
      </c>
      <c r="S43" s="3175"/>
      <c r="T43" s="3175"/>
      <c r="U43" s="3175"/>
      <c r="V43" s="3175"/>
      <c r="W43" s="317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2018-9</v>
      </c>
      <c r="D52" s="1577">
        <f>EDATE(C52,-1)</f>
        <v>43313</v>
      </c>
      <c r="E52" s="1577">
        <f t="shared" ref="E52:O52" si="16">EDATE(D52,-1)</f>
        <v>43282</v>
      </c>
      <c r="F52" s="1577">
        <f t="shared" si="16"/>
        <v>43252</v>
      </c>
      <c r="G52" s="1577">
        <f t="shared" si="16"/>
        <v>43221</v>
      </c>
      <c r="H52" s="1577">
        <f t="shared" si="16"/>
        <v>43191</v>
      </c>
      <c r="I52" s="1577">
        <f t="shared" si="16"/>
        <v>43160</v>
      </c>
      <c r="J52" s="1577">
        <f t="shared" si="16"/>
        <v>43132</v>
      </c>
      <c r="K52" s="1577">
        <f t="shared" si="16"/>
        <v>43101</v>
      </c>
      <c r="L52" s="1577">
        <f t="shared" si="16"/>
        <v>43070</v>
      </c>
      <c r="M52" s="1577">
        <f t="shared" si="16"/>
        <v>43040</v>
      </c>
      <c r="N52" s="1577">
        <f t="shared" si="16"/>
        <v>43009</v>
      </c>
      <c r="O52" s="1577">
        <f t="shared" si="16"/>
        <v>42979</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2"/>
      <c r="B87" s="568"/>
      <c r="C87" s="569"/>
      <c r="D87" s="569"/>
      <c r="E87" s="569"/>
      <c r="F87" s="569"/>
      <c r="G87" s="590"/>
      <c r="H87" s="590"/>
      <c r="I87" s="590"/>
      <c r="J87" s="590"/>
      <c r="K87" s="590"/>
      <c r="L87" s="590"/>
      <c r="M87" s="591"/>
      <c r="N87" s="1155"/>
      <c r="O87" s="1155"/>
      <c r="P87" s="45"/>
      <c r="Q87" s="503"/>
    </row>
    <row r="88" spans="1:17">
      <c r="A88" s="526" t="s">
        <v>2567</v>
      </c>
      <c r="B88" s="527" t="s">
        <v>2616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2"/>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90"/>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2"/>
      <c r="D2" s="1126" t="e">
        <f ca="1">SUMIF(INDIRECT("'"&amp;F2&amp;"'"&amp;"!A:A"),"承租人权益价值",INDIRECT("'"&amp;F2&amp;"'"&amp;"!c:c"))</f>
        <v>#REF!</v>
      </c>
      <c r="E2" s="2593" t="s">
        <v>2332</v>
      </c>
      <c r="F2" s="259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191" t="s">
        <v>2650</v>
      </c>
      <c r="D4" s="3192"/>
      <c r="E4" s="3193" t="s">
        <v>2651</v>
      </c>
      <c r="F4" s="3194"/>
      <c r="G4" s="3191" t="s">
        <v>2652</v>
      </c>
      <c r="H4" s="3192"/>
      <c r="I4" s="3191" t="s">
        <v>2653</v>
      </c>
      <c r="J4" s="3192"/>
      <c r="K4" s="609" t="s">
        <v>2654</v>
      </c>
      <c r="L4" s="1132"/>
      <c r="M4" s="1133"/>
      <c r="N4" s="1133"/>
      <c r="O4" s="1133"/>
      <c r="P4" s="3195" t="s">
        <v>2655</v>
      </c>
      <c r="Q4" s="3196"/>
      <c r="R4" s="3201" t="s">
        <v>2651</v>
      </c>
      <c r="S4" s="3202"/>
      <c r="T4" s="3201" t="s">
        <v>2652</v>
      </c>
      <c r="U4" s="3202"/>
      <c r="V4" s="3207" t="s">
        <v>2653</v>
      </c>
      <c r="W4" s="3207"/>
      <c r="X4" s="1815"/>
      <c r="Y4" s="3201" t="s">
        <v>2655</v>
      </c>
      <c r="Z4" s="3202"/>
      <c r="AA4" s="3188" t="s">
        <v>2651</v>
      </c>
      <c r="AB4" s="3189" t="s">
        <v>2652</v>
      </c>
      <c r="AC4" s="3188" t="s">
        <v>2653</v>
      </c>
    </row>
    <row r="5" spans="1:29" ht="15">
      <c r="A5" s="403"/>
      <c r="B5" s="404"/>
      <c r="C5" s="3210" t="s">
        <v>2546</v>
      </c>
      <c r="D5" s="3211"/>
      <c r="E5" s="3217" t="s">
        <v>2547</v>
      </c>
      <c r="F5" s="3218"/>
      <c r="G5" s="3210" t="s">
        <v>2548</v>
      </c>
      <c r="H5" s="3211"/>
      <c r="I5" s="3210" t="s">
        <v>2549</v>
      </c>
      <c r="J5" s="3211"/>
      <c r="K5" s="609"/>
      <c r="L5" s="1132"/>
      <c r="M5" s="1133"/>
      <c r="N5" s="1133"/>
      <c r="O5" s="1133"/>
      <c r="P5" s="3197"/>
      <c r="Q5" s="3198"/>
      <c r="R5" s="3203"/>
      <c r="S5" s="3204"/>
      <c r="T5" s="3203"/>
      <c r="U5" s="3204"/>
      <c r="V5" s="3207"/>
      <c r="W5" s="3207"/>
      <c r="X5" s="1815"/>
      <c r="Y5" s="3203"/>
      <c r="Z5" s="3204"/>
      <c r="AA5" s="3189"/>
      <c r="AB5" s="3189"/>
      <c r="AC5" s="3189"/>
    </row>
    <row r="6" spans="1:29" ht="15.75" thickBot="1">
      <c r="A6" s="405"/>
      <c r="B6" s="406"/>
      <c r="C6" s="3208" t="s">
        <v>2550</v>
      </c>
      <c r="D6" s="3209"/>
      <c r="E6" s="3215" t="s">
        <v>2550</v>
      </c>
      <c r="F6" s="3216"/>
      <c r="G6" s="3208" t="s">
        <v>2550</v>
      </c>
      <c r="H6" s="3209"/>
      <c r="I6" s="3208" t="s">
        <v>2550</v>
      </c>
      <c r="J6" s="3209"/>
      <c r="K6" s="609" t="s">
        <v>2551</v>
      </c>
      <c r="L6" s="1132"/>
      <c r="M6" s="1133"/>
      <c r="N6" s="1133"/>
      <c r="O6" s="1133"/>
      <c r="P6" s="3199"/>
      <c r="Q6" s="3200"/>
      <c r="R6" s="3203"/>
      <c r="S6" s="3204"/>
      <c r="T6" s="3205"/>
      <c r="U6" s="3206"/>
      <c r="V6" s="3207"/>
      <c r="W6" s="3207"/>
      <c r="X6" s="1815"/>
      <c r="Y6" s="3205"/>
      <c r="Z6" s="3206"/>
      <c r="AA6" s="3190"/>
      <c r="AB6" s="3190"/>
      <c r="AC6" s="3190"/>
    </row>
    <row r="7" spans="1:29" s="117" customFormat="1" ht="15.75" thickBot="1">
      <c r="A7" s="407" t="s">
        <v>2552</v>
      </c>
      <c r="B7" s="408"/>
      <c r="C7" s="409">
        <f>'数据-取费表'!B2</f>
        <v>43355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12" t="s">
        <v>2553</v>
      </c>
      <c r="Q7" s="3214"/>
      <c r="R7" s="769" t="s">
        <v>17</v>
      </c>
      <c r="S7" s="770">
        <f t="shared" ref="S7:S14" si="0">F7</f>
        <v>0</v>
      </c>
      <c r="T7" s="769" t="s">
        <v>17</v>
      </c>
      <c r="U7" s="770">
        <f t="shared" ref="U7:U14" si="1">H7</f>
        <v>0</v>
      </c>
      <c r="V7" s="769" t="s">
        <v>17</v>
      </c>
      <c r="W7" s="770">
        <f t="shared" ref="W7:W14" si="2">J7</f>
        <v>0</v>
      </c>
      <c r="X7" s="771"/>
      <c r="Y7" s="3212" t="s">
        <v>2553</v>
      </c>
      <c r="Z7" s="3213"/>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12" t="s">
        <v>2556</v>
      </c>
      <c r="Q8" s="3213"/>
      <c r="R8" s="769" t="s">
        <v>17</v>
      </c>
      <c r="S8" s="770">
        <f t="shared" si="0"/>
        <v>0</v>
      </c>
      <c r="T8" s="769" t="s">
        <v>17</v>
      </c>
      <c r="U8" s="770">
        <f t="shared" si="1"/>
        <v>0</v>
      </c>
      <c r="V8" s="769" t="s">
        <v>17</v>
      </c>
      <c r="W8" s="770">
        <f t="shared" si="2"/>
        <v>0</v>
      </c>
      <c r="X8" s="771"/>
      <c r="Y8" s="3212" t="s">
        <v>2556</v>
      </c>
      <c r="Z8" s="3213"/>
      <c r="AA8" s="772" t="e">
        <f t="shared" ref="AA8:AA36" si="3">D8/F8</f>
        <v>#DIV/0!</v>
      </c>
      <c r="AB8" s="772" t="e">
        <f t="shared" ref="AB8:AB36" si="4">D8/H8</f>
        <v>#DIV/0!</v>
      </c>
      <c r="AC8" s="772" t="e">
        <f t="shared" ref="AC8:AC36" si="5">D8/J8</f>
        <v>#DIV/0!</v>
      </c>
    </row>
    <row r="9" spans="1:29" s="117"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6" t="s">
        <v>2559</v>
      </c>
      <c r="Q9" s="1797" t="str">
        <f t="shared" ref="Q9:Q14" si="6">B9</f>
        <v>用途</v>
      </c>
      <c r="R9" s="769" t="s">
        <v>17</v>
      </c>
      <c r="S9" s="770">
        <f t="shared" si="0"/>
        <v>100</v>
      </c>
      <c r="T9" s="769" t="s">
        <v>17</v>
      </c>
      <c r="U9" s="770">
        <f t="shared" si="1"/>
        <v>100</v>
      </c>
      <c r="V9" s="769" t="s">
        <v>17</v>
      </c>
      <c r="W9" s="770">
        <f t="shared" si="2"/>
        <v>100</v>
      </c>
      <c r="X9" s="771"/>
      <c r="Y9" s="3001"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6"/>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6"/>
      <c r="Q11" s="1797">
        <f t="shared" si="6"/>
        <v>111</v>
      </c>
      <c r="R11" s="769" t="s">
        <v>17</v>
      </c>
      <c r="S11" s="770">
        <f t="shared" si="0"/>
        <v>100</v>
      </c>
      <c r="T11" s="769" t="s">
        <v>17</v>
      </c>
      <c r="U11" s="770">
        <f t="shared" si="1"/>
        <v>100</v>
      </c>
      <c r="V11" s="769" t="s">
        <v>17</v>
      </c>
      <c r="W11" s="770">
        <f t="shared" si="2"/>
        <v>100</v>
      </c>
      <c r="X11" s="771"/>
      <c r="Y11" s="3001"/>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6"/>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6"/>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772">
        <f t="shared" si="5"/>
        <v>1</v>
      </c>
    </row>
    <row r="14" spans="1:29" ht="85.5">
      <c r="A14" s="400" t="s">
        <v>2563</v>
      </c>
      <c r="B14" s="628" t="s">
        <v>2713</v>
      </c>
      <c r="C14" s="269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78" t="s">
        <v>2564</v>
      </c>
      <c r="Q14" s="1812" t="str">
        <f t="shared" si="6"/>
        <v>交通便捷度</v>
      </c>
      <c r="R14" s="773" t="s">
        <v>17</v>
      </c>
      <c r="S14" s="774">
        <f t="shared" si="0"/>
        <v>100</v>
      </c>
      <c r="T14" s="773" t="s">
        <v>17</v>
      </c>
      <c r="U14" s="774">
        <f t="shared" si="1"/>
        <v>100</v>
      </c>
      <c r="V14" s="773" t="s">
        <v>17</v>
      </c>
      <c r="W14" s="774">
        <f t="shared" si="2"/>
        <v>100</v>
      </c>
      <c r="X14" s="1815"/>
      <c r="Y14" s="3178"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79"/>
      <c r="Q15" s="1812"/>
      <c r="R15" s="773"/>
      <c r="S15" s="774"/>
      <c r="T15" s="773"/>
      <c r="U15" s="774"/>
      <c r="V15" s="773"/>
      <c r="W15" s="774"/>
      <c r="X15" s="1815"/>
      <c r="Y15" s="3179"/>
      <c r="Z15" s="1816"/>
      <c r="AA15" s="1813">
        <v>1</v>
      </c>
      <c r="AB15" s="1813">
        <v>1</v>
      </c>
      <c r="AC15" s="1813">
        <v>1</v>
      </c>
    </row>
    <row r="16" spans="1:29" ht="42.75">
      <c r="A16" s="403"/>
      <c r="B16" s="630" t="s">
        <v>2692</v>
      </c>
      <c r="C16" s="261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79"/>
      <c r="Q16" s="1812" t="str">
        <f>B16</f>
        <v>公共配套设施</v>
      </c>
      <c r="R16" s="773" t="s">
        <v>17</v>
      </c>
      <c r="S16" s="774">
        <f>F16</f>
        <v>100</v>
      </c>
      <c r="T16" s="773" t="s">
        <v>17</v>
      </c>
      <c r="U16" s="774">
        <f>H16</f>
        <v>100</v>
      </c>
      <c r="V16" s="773" t="s">
        <v>17</v>
      </c>
      <c r="W16" s="774">
        <f>J16</f>
        <v>100</v>
      </c>
      <c r="X16" s="1815"/>
      <c r="Y16" s="3179"/>
      <c r="Z16" s="1816" t="str">
        <f>Q16</f>
        <v>公共配套设施</v>
      </c>
      <c r="AA16" s="1813">
        <f t="shared" si="3"/>
        <v>1</v>
      </c>
      <c r="AB16" s="1813">
        <f t="shared" si="4"/>
        <v>1</v>
      </c>
      <c r="AC16" s="1813">
        <f t="shared" si="5"/>
        <v>1</v>
      </c>
    </row>
    <row r="17" spans="1:29" ht="15">
      <c r="A17" s="403"/>
      <c r="B17" s="631"/>
      <c r="C17" s="2614"/>
      <c r="D17" s="447"/>
      <c r="E17" s="446"/>
      <c r="F17" s="448"/>
      <c r="G17" s="446"/>
      <c r="H17" s="447"/>
      <c r="I17" s="446"/>
      <c r="J17" s="447"/>
      <c r="K17" s="614"/>
      <c r="L17" s="1142"/>
      <c r="M17" s="1133"/>
      <c r="N17" s="1133"/>
      <c r="O17" s="1133"/>
      <c r="P17" s="3179"/>
      <c r="Q17" s="1812"/>
      <c r="R17" s="773"/>
      <c r="S17" s="774"/>
      <c r="T17" s="773"/>
      <c r="U17" s="774"/>
      <c r="V17" s="773"/>
      <c r="W17" s="774"/>
      <c r="X17" s="1815"/>
      <c r="Y17" s="3179"/>
      <c r="Z17" s="1816"/>
      <c r="AA17" s="1813">
        <v>1</v>
      </c>
      <c r="AB17" s="1813">
        <v>1</v>
      </c>
      <c r="AC17" s="1813">
        <v>1</v>
      </c>
    </row>
    <row r="18" spans="1:29" ht="28.5">
      <c r="A18" s="403"/>
      <c r="B18" s="632" t="s">
        <v>2693</v>
      </c>
      <c r="C18" s="261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79"/>
      <c r="Q18" s="1812" t="str">
        <f>B18</f>
        <v>基础设施水平</v>
      </c>
      <c r="R18" s="773" t="s">
        <v>17</v>
      </c>
      <c r="S18" s="774">
        <f>F18</f>
        <v>100</v>
      </c>
      <c r="T18" s="773" t="s">
        <v>17</v>
      </c>
      <c r="U18" s="774">
        <f>H18</f>
        <v>100</v>
      </c>
      <c r="V18" s="773" t="s">
        <v>17</v>
      </c>
      <c r="W18" s="774">
        <f>J18</f>
        <v>100</v>
      </c>
      <c r="X18" s="1815"/>
      <c r="Y18" s="3179"/>
      <c r="Z18" s="1816" t="str">
        <f>Q18</f>
        <v>基础设施水平</v>
      </c>
      <c r="AA18" s="1813">
        <f t="shared" ref="AA18" si="8">D18/F18</f>
        <v>1</v>
      </c>
      <c r="AB18" s="1813">
        <f t="shared" ref="AB18" si="9">D18/H18</f>
        <v>1</v>
      </c>
      <c r="AC18" s="1813">
        <f t="shared" ref="AC18" si="10">D18/J18</f>
        <v>1</v>
      </c>
    </row>
    <row r="19" spans="1:29" ht="15">
      <c r="A19" s="403"/>
      <c r="B19" s="632"/>
      <c r="C19" s="2614"/>
      <c r="D19" s="449"/>
      <c r="E19" s="2614"/>
      <c r="F19" s="452"/>
      <c r="G19" s="2614"/>
      <c r="H19" s="447"/>
      <c r="I19" s="446"/>
      <c r="J19" s="447"/>
      <c r="K19" s="1385"/>
      <c r="L19" s="1142"/>
      <c r="M19" s="1133"/>
      <c r="N19" s="1133"/>
      <c r="O19" s="1133"/>
      <c r="P19" s="3179"/>
      <c r="Q19" s="1812"/>
      <c r="R19" s="773"/>
      <c r="S19" s="774"/>
      <c r="T19" s="773"/>
      <c r="U19" s="774"/>
      <c r="V19" s="773"/>
      <c r="W19" s="774"/>
      <c r="X19" s="1815"/>
      <c r="Y19" s="3179"/>
      <c r="Z19" s="1816"/>
      <c r="AA19" s="1813">
        <v>1</v>
      </c>
      <c r="AB19" s="1813">
        <v>1</v>
      </c>
      <c r="AC19" s="1813">
        <v>1</v>
      </c>
    </row>
    <row r="20" spans="1:29" ht="57">
      <c r="A20" s="403"/>
      <c r="B20" s="630" t="s">
        <v>2714</v>
      </c>
      <c r="C20" s="261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79"/>
      <c r="Q20" s="1812" t="str">
        <f>B20</f>
        <v>自然及人文环境</v>
      </c>
      <c r="R20" s="773" t="s">
        <v>17</v>
      </c>
      <c r="S20" s="774">
        <f>F20</f>
        <v>100</v>
      </c>
      <c r="T20" s="773" t="s">
        <v>17</v>
      </c>
      <c r="U20" s="774">
        <f>H20</f>
        <v>100</v>
      </c>
      <c r="V20" s="773" t="s">
        <v>17</v>
      </c>
      <c r="W20" s="774">
        <f>J20</f>
        <v>100</v>
      </c>
      <c r="X20" s="1815"/>
      <c r="Y20" s="3179"/>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79"/>
      <c r="Q21" s="1812"/>
      <c r="R21" s="773"/>
      <c r="S21" s="774"/>
      <c r="T21" s="773"/>
      <c r="U21" s="774"/>
      <c r="V21" s="773"/>
      <c r="W21" s="774"/>
      <c r="X21" s="1815"/>
      <c r="Y21" s="3179"/>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79"/>
      <c r="Q22" s="1812" t="str">
        <f>B22</f>
        <v>楼层</v>
      </c>
      <c r="R22" s="773" t="s">
        <v>17</v>
      </c>
      <c r="S22" s="774">
        <f>F22</f>
        <v>100</v>
      </c>
      <c r="T22" s="773" t="s">
        <v>17</v>
      </c>
      <c r="U22" s="774">
        <f>H22</f>
        <v>100</v>
      </c>
      <c r="V22" s="773" t="s">
        <v>17</v>
      </c>
      <c r="W22" s="774">
        <f>J22</f>
        <v>100</v>
      </c>
      <c r="X22" s="1815"/>
      <c r="Y22" s="3179"/>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79"/>
      <c r="Q23" s="1812">
        <f>B23</f>
        <v>111</v>
      </c>
      <c r="R23" s="773" t="s">
        <v>17</v>
      </c>
      <c r="S23" s="774">
        <f>F23</f>
        <v>100</v>
      </c>
      <c r="T23" s="773" t="s">
        <v>17</v>
      </c>
      <c r="U23" s="774">
        <f>H23</f>
        <v>100</v>
      </c>
      <c r="V23" s="773" t="s">
        <v>17</v>
      </c>
      <c r="W23" s="774">
        <f>J23</f>
        <v>100</v>
      </c>
      <c r="X23" s="1815"/>
      <c r="Y23" s="3179"/>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79"/>
      <c r="Q24" s="1812">
        <f t="shared" ref="Q24:Q36" si="11">B24</f>
        <v>111</v>
      </c>
      <c r="R24" s="773" t="s">
        <v>17</v>
      </c>
      <c r="S24" s="774">
        <f>F24</f>
        <v>100</v>
      </c>
      <c r="T24" s="773" t="s">
        <v>17</v>
      </c>
      <c r="U24" s="774">
        <f>H24</f>
        <v>100</v>
      </c>
      <c r="V24" s="773" t="s">
        <v>17</v>
      </c>
      <c r="W24" s="774">
        <f>J24</f>
        <v>100</v>
      </c>
      <c r="X24" s="1815"/>
      <c r="Y24" s="3179"/>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79"/>
      <c r="Q25" s="1797">
        <f t="shared" si="11"/>
        <v>111</v>
      </c>
      <c r="R25" s="769" t="s">
        <v>17</v>
      </c>
      <c r="S25" s="770">
        <f>F25</f>
        <v>100</v>
      </c>
      <c r="T25" s="769" t="s">
        <v>17</v>
      </c>
      <c r="U25" s="770">
        <f>H25</f>
        <v>100</v>
      </c>
      <c r="V25" s="769" t="s">
        <v>17</v>
      </c>
      <c r="W25" s="770">
        <f>J25</f>
        <v>100</v>
      </c>
      <c r="X25" s="771"/>
      <c r="Y25" s="3179"/>
      <c r="Z25" s="55">
        <f>Q25</f>
        <v>111</v>
      </c>
      <c r="AA25" s="1813">
        <f>D25/F25</f>
        <v>1</v>
      </c>
      <c r="AB25" s="1813">
        <f>D25/H25</f>
        <v>1</v>
      </c>
      <c r="AC25" s="1813">
        <f>D25/J25</f>
        <v>1</v>
      </c>
    </row>
    <row r="26" spans="1:29" ht="15">
      <c r="A26" s="651" t="s">
        <v>2567</v>
      </c>
      <c r="B26" s="70" t="s">
        <v>2716</v>
      </c>
      <c r="C26" s="2700">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34"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3"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3"/>
      <c r="Q27" s="775" t="str">
        <f t="shared" si="11"/>
        <v>项目停车位配比</v>
      </c>
      <c r="R27" s="776" t="s">
        <v>17</v>
      </c>
      <c r="S27" s="777">
        <f t="shared" si="12"/>
        <v>100</v>
      </c>
      <c r="T27" s="776" t="s">
        <v>17</v>
      </c>
      <c r="U27" s="777">
        <f t="shared" si="13"/>
        <v>100</v>
      </c>
      <c r="V27" s="776" t="s">
        <v>17</v>
      </c>
      <c r="W27" s="777">
        <f t="shared" si="14"/>
        <v>100</v>
      </c>
      <c r="X27" s="778"/>
      <c r="Y27" s="3183"/>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3"/>
      <c r="Q28" s="1812" t="str">
        <f t="shared" si="11"/>
        <v>公共部分装修</v>
      </c>
      <c r="R28" s="773" t="s">
        <v>17</v>
      </c>
      <c r="S28" s="774">
        <f t="shared" si="12"/>
        <v>100</v>
      </c>
      <c r="T28" s="773" t="s">
        <v>17</v>
      </c>
      <c r="U28" s="774">
        <f t="shared" si="13"/>
        <v>100</v>
      </c>
      <c r="V28" s="773" t="s">
        <v>17</v>
      </c>
      <c r="W28" s="774">
        <f t="shared" si="14"/>
        <v>100</v>
      </c>
      <c r="X28" s="1815"/>
      <c r="Y28" s="3183"/>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3"/>
      <c r="Q29" s="1812" t="str">
        <f t="shared" si="11"/>
        <v>成新率</v>
      </c>
      <c r="R29" s="773" t="s">
        <v>17</v>
      </c>
      <c r="S29" s="774" t="e">
        <f t="shared" si="12"/>
        <v>#N/A</v>
      </c>
      <c r="T29" s="773" t="s">
        <v>17</v>
      </c>
      <c r="U29" s="774" t="e">
        <f t="shared" si="13"/>
        <v>#N/A</v>
      </c>
      <c r="V29" s="773" t="s">
        <v>17</v>
      </c>
      <c r="W29" s="774" t="e">
        <f t="shared" si="14"/>
        <v>#N/A</v>
      </c>
      <c r="X29" s="1815"/>
      <c r="Y29" s="3183"/>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3"/>
      <c r="Q30" s="1812" t="str">
        <f t="shared" si="11"/>
        <v>物业等级</v>
      </c>
      <c r="R30" s="773" t="s">
        <v>17</v>
      </c>
      <c r="S30" s="774">
        <f t="shared" si="12"/>
        <v>100</v>
      </c>
      <c r="T30" s="773" t="s">
        <v>17</v>
      </c>
      <c r="U30" s="774">
        <f t="shared" si="13"/>
        <v>100</v>
      </c>
      <c r="V30" s="773" t="s">
        <v>17</v>
      </c>
      <c r="W30" s="774">
        <f t="shared" si="14"/>
        <v>100</v>
      </c>
      <c r="X30" s="1815"/>
      <c r="Y30" s="3183"/>
      <c r="Z30" s="1816" t="str">
        <f t="shared" si="15"/>
        <v>物业等级</v>
      </c>
      <c r="AA30" s="1813">
        <f t="shared" si="3"/>
        <v>1</v>
      </c>
      <c r="AB30" s="1813">
        <f t="shared" si="4"/>
        <v>1</v>
      </c>
      <c r="AC30" s="1813">
        <f t="shared" si="5"/>
        <v>1</v>
      </c>
    </row>
    <row r="31" spans="1:29" s="117"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3"/>
      <c r="Q31" s="1797" t="str">
        <f t="shared" si="11"/>
        <v>停车位面积</v>
      </c>
      <c r="R31" s="769" t="s">
        <v>17</v>
      </c>
      <c r="S31" s="770" t="e">
        <f t="shared" si="12"/>
        <v>#N/A</v>
      </c>
      <c r="T31" s="769" t="s">
        <v>17</v>
      </c>
      <c r="U31" s="770" t="e">
        <f t="shared" si="13"/>
        <v>#N/A</v>
      </c>
      <c r="V31" s="769" t="s">
        <v>17</v>
      </c>
      <c r="W31" s="770" t="e">
        <f t="shared" si="14"/>
        <v>#N/A</v>
      </c>
      <c r="X31" s="771"/>
      <c r="Y31" s="3183"/>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3" t="s">
        <v>2569</v>
      </c>
      <c r="Q32" s="1812" t="str">
        <f t="shared" si="11"/>
        <v>车位类型</v>
      </c>
      <c r="R32" s="773" t="s">
        <v>17</v>
      </c>
      <c r="S32" s="774">
        <f t="shared" si="12"/>
        <v>100</v>
      </c>
      <c r="T32" s="773" t="s">
        <v>17</v>
      </c>
      <c r="U32" s="774">
        <f t="shared" si="13"/>
        <v>100</v>
      </c>
      <c r="V32" s="773" t="s">
        <v>17</v>
      </c>
      <c r="W32" s="774">
        <f t="shared" si="14"/>
        <v>100</v>
      </c>
      <c r="X32" s="1815"/>
      <c r="Y32" s="3183"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3"/>
      <c r="Q33" s="1812" t="str">
        <f t="shared" si="11"/>
        <v>是否直接入户</v>
      </c>
      <c r="R33" s="773" t="s">
        <v>17</v>
      </c>
      <c r="S33" s="774">
        <f t="shared" si="12"/>
        <v>100</v>
      </c>
      <c r="T33" s="773" t="s">
        <v>17</v>
      </c>
      <c r="U33" s="774">
        <f t="shared" si="13"/>
        <v>100</v>
      </c>
      <c r="V33" s="773" t="s">
        <v>17</v>
      </c>
      <c r="W33" s="774">
        <f t="shared" si="14"/>
        <v>100</v>
      </c>
      <c r="X33" s="1815"/>
      <c r="Y33" s="3183"/>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3"/>
      <c r="Q34" s="1812">
        <f t="shared" si="11"/>
        <v>111</v>
      </c>
      <c r="R34" s="773" t="s">
        <v>17</v>
      </c>
      <c r="S34" s="774">
        <f t="shared" si="12"/>
        <v>100</v>
      </c>
      <c r="T34" s="773" t="s">
        <v>17</v>
      </c>
      <c r="U34" s="774">
        <f t="shared" si="13"/>
        <v>100</v>
      </c>
      <c r="V34" s="773" t="s">
        <v>17</v>
      </c>
      <c r="W34" s="774">
        <f t="shared" si="14"/>
        <v>100</v>
      </c>
      <c r="X34" s="1815"/>
      <c r="Y34" s="3183"/>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3"/>
      <c r="Q35" s="775">
        <f t="shared" si="11"/>
        <v>111</v>
      </c>
      <c r="R35" s="776" t="s">
        <v>17</v>
      </c>
      <c r="S35" s="777">
        <f t="shared" si="12"/>
        <v>100</v>
      </c>
      <c r="T35" s="776" t="s">
        <v>17</v>
      </c>
      <c r="U35" s="777">
        <f t="shared" si="13"/>
        <v>100</v>
      </c>
      <c r="V35" s="776" t="s">
        <v>17</v>
      </c>
      <c r="W35" s="777">
        <f t="shared" si="14"/>
        <v>100</v>
      </c>
      <c r="X35" s="778"/>
      <c r="Y35" s="3183"/>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3"/>
      <c r="Q36" s="1812">
        <f t="shared" si="11"/>
        <v>111</v>
      </c>
      <c r="R36" s="773" t="s">
        <v>17</v>
      </c>
      <c r="S36" s="774">
        <f t="shared" si="12"/>
        <v>100</v>
      </c>
      <c r="T36" s="773" t="s">
        <v>17</v>
      </c>
      <c r="U36" s="774">
        <f t="shared" si="13"/>
        <v>100</v>
      </c>
      <c r="V36" s="773" t="s">
        <v>17</v>
      </c>
      <c r="W36" s="774">
        <f t="shared" si="14"/>
        <v>100</v>
      </c>
      <c r="X36" s="1815"/>
      <c r="Y36" s="3183"/>
      <c r="Z36" s="1816">
        <f t="shared" si="15"/>
        <v>111</v>
      </c>
      <c r="AA36" s="1813">
        <f t="shared" si="3"/>
        <v>1</v>
      </c>
      <c r="AB36" s="1813">
        <f t="shared" si="4"/>
        <v>1</v>
      </c>
      <c r="AC36" s="1813">
        <f t="shared" si="5"/>
        <v>1</v>
      </c>
    </row>
    <row r="37" spans="1:29" ht="15">
      <c r="A37" s="478" t="s">
        <v>2724</v>
      </c>
      <c r="B37" s="2701" t="s">
        <v>2725</v>
      </c>
      <c r="C37" s="1409" t="s">
        <v>1</v>
      </c>
      <c r="D37" s="1410"/>
      <c r="E37" s="1411"/>
      <c r="F37" s="1412"/>
      <c r="G37" s="1413"/>
      <c r="H37" s="1414"/>
      <c r="I37" s="1411"/>
      <c r="J37" s="1414"/>
      <c r="K37" s="618"/>
      <c r="L37" s="1145"/>
      <c r="M37" s="1146"/>
      <c r="N37" s="1133"/>
      <c r="O37" s="1146"/>
      <c r="P37" s="3176" t="str">
        <f>A37</f>
        <v>成交单价</v>
      </c>
      <c r="Q37" s="3176"/>
      <c r="R37" s="3177">
        <f>E37</f>
        <v>0</v>
      </c>
      <c r="S37" s="3177"/>
      <c r="T37" s="3177">
        <f>G37</f>
        <v>0</v>
      </c>
      <c r="U37" s="3177"/>
      <c r="V37" s="3177">
        <f>I37</f>
        <v>0</v>
      </c>
      <c r="W37" s="3177"/>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173" t="str">
        <f>A39</f>
        <v>估价对象XX用房的比较价值（楼面单价，元/平方米）</v>
      </c>
      <c r="Q39" s="3174"/>
      <c r="R39" s="3175" t="e">
        <f>IF(F1="售价",ROUND(AVERAGE(R38:V38),0),ROUND(AVERAGE(R38:V38),1))</f>
        <v>#DIV/0!</v>
      </c>
      <c r="S39" s="3175"/>
      <c r="T39" s="3175"/>
      <c r="U39" s="3175"/>
      <c r="V39" s="3175"/>
      <c r="W39" s="317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2018-9</v>
      </c>
      <c r="D48" s="1577">
        <f>EDATE(C48,-1)</f>
        <v>43313</v>
      </c>
      <c r="E48" s="1577">
        <f t="shared" ref="E48:O48" si="16">EDATE(D48,-1)</f>
        <v>43282</v>
      </c>
      <c r="F48" s="1577">
        <f t="shared" si="16"/>
        <v>43252</v>
      </c>
      <c r="G48" s="1577">
        <f t="shared" si="16"/>
        <v>43221</v>
      </c>
      <c r="H48" s="1577">
        <f t="shared" si="16"/>
        <v>43191</v>
      </c>
      <c r="I48" s="1577">
        <f t="shared" si="16"/>
        <v>43160</v>
      </c>
      <c r="J48" s="1577">
        <f t="shared" si="16"/>
        <v>43132</v>
      </c>
      <c r="K48" s="1577">
        <f t="shared" si="16"/>
        <v>43101</v>
      </c>
      <c r="L48" s="1577">
        <f t="shared" si="16"/>
        <v>43070</v>
      </c>
      <c r="M48" s="1577">
        <f t="shared" si="16"/>
        <v>43040</v>
      </c>
      <c r="N48" s="1577">
        <f t="shared" si="16"/>
        <v>43009</v>
      </c>
      <c r="O48" s="1577">
        <f t="shared" si="16"/>
        <v>42979</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90"/>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2"/>
      <c r="D2" s="1126" t="e">
        <f ca="1">SUMIF(INDIRECT("'"&amp;F2&amp;"'"&amp;"!A:A"),"承租人权益价值",INDIRECT("'"&amp;F2&amp;"'"&amp;"!c:c"))</f>
        <v>#REF!</v>
      </c>
      <c r="E2" s="2593" t="s">
        <v>2332</v>
      </c>
      <c r="F2" s="259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191" t="s">
        <v>2650</v>
      </c>
      <c r="D4" s="3192"/>
      <c r="E4" s="3193" t="s">
        <v>2651</v>
      </c>
      <c r="F4" s="3194"/>
      <c r="G4" s="3191" t="s">
        <v>2652</v>
      </c>
      <c r="H4" s="3192"/>
      <c r="I4" s="3191" t="s">
        <v>2653</v>
      </c>
      <c r="J4" s="3192"/>
      <c r="K4" s="609" t="s">
        <v>2654</v>
      </c>
      <c r="L4" s="1132"/>
      <c r="M4" s="1133"/>
      <c r="N4" s="1133"/>
      <c r="O4" s="1133"/>
      <c r="P4" s="3195" t="s">
        <v>2655</v>
      </c>
      <c r="Q4" s="3196"/>
      <c r="R4" s="3201" t="s">
        <v>2651</v>
      </c>
      <c r="S4" s="3202"/>
      <c r="T4" s="3201" t="s">
        <v>2652</v>
      </c>
      <c r="U4" s="3202"/>
      <c r="V4" s="3207" t="s">
        <v>2653</v>
      </c>
      <c r="W4" s="3207"/>
      <c r="X4" s="1815"/>
      <c r="Y4" s="3201" t="s">
        <v>2655</v>
      </c>
      <c r="Z4" s="3202"/>
      <c r="AA4" s="3188" t="s">
        <v>2651</v>
      </c>
      <c r="AB4" s="3189" t="s">
        <v>2652</v>
      </c>
      <c r="AC4" s="3188" t="s">
        <v>2653</v>
      </c>
    </row>
    <row r="5" spans="1:29" ht="15">
      <c r="A5" s="403"/>
      <c r="B5" s="404"/>
      <c r="C5" s="3210" t="s">
        <v>2546</v>
      </c>
      <c r="D5" s="3211"/>
      <c r="E5" s="3217" t="s">
        <v>2547</v>
      </c>
      <c r="F5" s="3218"/>
      <c r="G5" s="3210" t="s">
        <v>2548</v>
      </c>
      <c r="H5" s="3211"/>
      <c r="I5" s="3210" t="s">
        <v>2549</v>
      </c>
      <c r="J5" s="3211"/>
      <c r="K5" s="609"/>
      <c r="L5" s="1132"/>
      <c r="M5" s="1133"/>
      <c r="N5" s="1133"/>
      <c r="O5" s="1133"/>
      <c r="P5" s="3197"/>
      <c r="Q5" s="3198"/>
      <c r="R5" s="3203"/>
      <c r="S5" s="3204"/>
      <c r="T5" s="3203"/>
      <c r="U5" s="3204"/>
      <c r="V5" s="3207"/>
      <c r="W5" s="3207"/>
      <c r="X5" s="1815"/>
      <c r="Y5" s="3203"/>
      <c r="Z5" s="3204"/>
      <c r="AA5" s="3189"/>
      <c r="AB5" s="3189"/>
      <c r="AC5" s="3189"/>
    </row>
    <row r="6" spans="1:29" ht="15.75" thickBot="1">
      <c r="A6" s="405"/>
      <c r="B6" s="406"/>
      <c r="C6" s="3208" t="s">
        <v>2550</v>
      </c>
      <c r="D6" s="3209"/>
      <c r="E6" s="3215" t="s">
        <v>2550</v>
      </c>
      <c r="F6" s="3216"/>
      <c r="G6" s="3208" t="s">
        <v>2550</v>
      </c>
      <c r="H6" s="3209"/>
      <c r="I6" s="3208" t="s">
        <v>2550</v>
      </c>
      <c r="J6" s="3209"/>
      <c r="K6" s="609" t="s">
        <v>2551</v>
      </c>
      <c r="L6" s="1132"/>
      <c r="M6" s="1133"/>
      <c r="N6" s="1133"/>
      <c r="O6" s="1133"/>
      <c r="P6" s="3199"/>
      <c r="Q6" s="3200"/>
      <c r="R6" s="3203"/>
      <c r="S6" s="3204"/>
      <c r="T6" s="3205"/>
      <c r="U6" s="3206"/>
      <c r="V6" s="3207"/>
      <c r="W6" s="3207"/>
      <c r="X6" s="1815"/>
      <c r="Y6" s="3205"/>
      <c r="Z6" s="3206"/>
      <c r="AA6" s="3190"/>
      <c r="AB6" s="3190"/>
      <c r="AC6" s="3190"/>
    </row>
    <row r="7" spans="1:29" s="117" customFormat="1" ht="15.75" thickBot="1">
      <c r="A7" s="407" t="s">
        <v>2552</v>
      </c>
      <c r="B7" s="408"/>
      <c r="C7" s="409">
        <f>'数据-取费表'!B2</f>
        <v>43355</v>
      </c>
      <c r="D7" s="410">
        <v>100</v>
      </c>
      <c r="E7" s="411"/>
      <c r="F7" s="412">
        <f>SUMIF(46:46,YEAR(E7)&amp;"-"&amp;MONTH(E7),47:47)</f>
        <v>0</v>
      </c>
      <c r="G7" s="2702"/>
      <c r="H7" s="410">
        <f>SUMIF(46:46,YEAR(G7)&amp;"-"&amp;MONTH(G7),47:47)</f>
        <v>0</v>
      </c>
      <c r="I7" s="411"/>
      <c r="J7" s="410">
        <f>SUMIF(46:46,YEAR(I7)&amp;"-"&amp;MONTH(I7),47:47)</f>
        <v>0</v>
      </c>
      <c r="K7" s="610"/>
      <c r="L7" s="1134"/>
      <c r="M7" s="1135"/>
      <c r="N7" s="1135"/>
      <c r="O7" s="1135"/>
      <c r="P7" s="3212" t="s">
        <v>2553</v>
      </c>
      <c r="Q7" s="3214"/>
      <c r="R7" s="769" t="s">
        <v>17</v>
      </c>
      <c r="S7" s="770">
        <f t="shared" ref="S7:S14" si="0">F7</f>
        <v>0</v>
      </c>
      <c r="T7" s="769" t="s">
        <v>17</v>
      </c>
      <c r="U7" s="770">
        <f t="shared" ref="U7:U14" si="1">H7</f>
        <v>0</v>
      </c>
      <c r="V7" s="769" t="s">
        <v>17</v>
      </c>
      <c r="W7" s="770">
        <f t="shared" ref="W7:W14" si="2">J7</f>
        <v>0</v>
      </c>
      <c r="X7" s="771"/>
      <c r="Y7" s="3212" t="s">
        <v>2553</v>
      </c>
      <c r="Z7" s="3213"/>
      <c r="AA7" s="772" t="e">
        <f>D7/F7</f>
        <v>#DIV/0!</v>
      </c>
      <c r="AB7" s="772" t="e">
        <f>D7/H7</f>
        <v>#DIV/0!</v>
      </c>
      <c r="AC7" s="772"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12" t="s">
        <v>2556</v>
      </c>
      <c r="Q8" s="3213"/>
      <c r="R8" s="769" t="s">
        <v>17</v>
      </c>
      <c r="S8" s="770">
        <f t="shared" si="0"/>
        <v>0</v>
      </c>
      <c r="T8" s="769" t="s">
        <v>17</v>
      </c>
      <c r="U8" s="770">
        <f t="shared" si="1"/>
        <v>0</v>
      </c>
      <c r="V8" s="769" t="s">
        <v>17</v>
      </c>
      <c r="W8" s="770">
        <f t="shared" si="2"/>
        <v>0</v>
      </c>
      <c r="X8" s="771"/>
      <c r="Y8" s="3212" t="s">
        <v>2556</v>
      </c>
      <c r="Z8" s="3213"/>
      <c r="AA8" s="772" t="e">
        <f t="shared" ref="AA8:AA34" si="3">D8/F8</f>
        <v>#DIV/0!</v>
      </c>
      <c r="AB8" s="772" t="e">
        <f t="shared" ref="AB8:AB34" si="4">D8/H8</f>
        <v>#DIV/0!</v>
      </c>
      <c r="AC8" s="772"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6" t="s">
        <v>2559</v>
      </c>
      <c r="Q9" s="1797" t="str">
        <f t="shared" ref="Q9:Q14" si="6">B9</f>
        <v>用途</v>
      </c>
      <c r="R9" s="769" t="s">
        <v>17</v>
      </c>
      <c r="S9" s="770">
        <f t="shared" si="0"/>
        <v>100</v>
      </c>
      <c r="T9" s="769" t="s">
        <v>17</v>
      </c>
      <c r="U9" s="770">
        <f t="shared" si="1"/>
        <v>100</v>
      </c>
      <c r="V9" s="769" t="s">
        <v>17</v>
      </c>
      <c r="W9" s="770">
        <f t="shared" si="2"/>
        <v>100</v>
      </c>
      <c r="X9" s="771"/>
      <c r="Y9" s="3001"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6"/>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772">
        <f t="shared" si="5"/>
        <v>1</v>
      </c>
    </row>
    <row r="11" spans="1:29" ht="15">
      <c r="A11" s="427"/>
      <c r="B11" s="2606">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6"/>
      <c r="Q11" s="1797">
        <f t="shared" si="6"/>
        <v>111</v>
      </c>
      <c r="R11" s="769" t="s">
        <v>17</v>
      </c>
      <c r="S11" s="770">
        <f t="shared" si="0"/>
        <v>100</v>
      </c>
      <c r="T11" s="769" t="s">
        <v>17</v>
      </c>
      <c r="U11" s="770">
        <f t="shared" si="1"/>
        <v>100</v>
      </c>
      <c r="V11" s="769" t="s">
        <v>17</v>
      </c>
      <c r="W11" s="770">
        <f t="shared" si="2"/>
        <v>100</v>
      </c>
      <c r="X11" s="771"/>
      <c r="Y11" s="3001"/>
      <c r="Z11" s="55">
        <f t="shared" si="7"/>
        <v>111</v>
      </c>
      <c r="AA11" s="772">
        <f t="shared" si="3"/>
        <v>1</v>
      </c>
      <c r="AB11" s="772">
        <f t="shared" si="4"/>
        <v>1</v>
      </c>
      <c r="AC11" s="772">
        <f t="shared" si="5"/>
        <v>1</v>
      </c>
    </row>
    <row r="12" spans="1:29" s="117" customFormat="1" ht="15">
      <c r="A12" s="430"/>
      <c r="B12" s="2606">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6"/>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772">
        <f>D12/J12</f>
        <v>1</v>
      </c>
    </row>
    <row r="13" spans="1:29" ht="15.75" thickBot="1">
      <c r="A13" s="427"/>
      <c r="B13" s="2606">
        <v>111</v>
      </c>
      <c r="C13" s="433"/>
      <c r="D13" s="434">
        <v>100</v>
      </c>
      <c r="E13" s="468"/>
      <c r="F13" s="424">
        <f>SUMIF(59:59,E13,60:60)-SUMIF(59:59,C13,60:60)+100</f>
        <v>100</v>
      </c>
      <c r="G13" s="2703"/>
      <c r="H13" s="437">
        <f>SUMIF(59:59,G13,60:60)-SUMIF(59:59,C13,60:60)+100</f>
        <v>100</v>
      </c>
      <c r="I13" s="468"/>
      <c r="J13" s="434">
        <f>SUMIF(59:59,I13,60:60)-SUMIF(59:59,C13,60:60)+100</f>
        <v>100</v>
      </c>
      <c r="K13" s="612"/>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772">
        <f t="shared" si="5"/>
        <v>1</v>
      </c>
    </row>
    <row r="14" spans="1:29" ht="85.5">
      <c r="A14" s="439" t="s">
        <v>2563</v>
      </c>
      <c r="B14" s="69" t="s">
        <v>2713</v>
      </c>
      <c r="C14" s="269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78" t="s">
        <v>2564</v>
      </c>
      <c r="Q14" s="1812" t="str">
        <f t="shared" si="6"/>
        <v>交通便捷度</v>
      </c>
      <c r="R14" s="773" t="s">
        <v>17</v>
      </c>
      <c r="S14" s="774">
        <f t="shared" si="0"/>
        <v>100</v>
      </c>
      <c r="T14" s="773" t="s">
        <v>17</v>
      </c>
      <c r="U14" s="774">
        <f t="shared" si="1"/>
        <v>100</v>
      </c>
      <c r="V14" s="773" t="s">
        <v>17</v>
      </c>
      <c r="W14" s="774">
        <f t="shared" si="2"/>
        <v>100</v>
      </c>
      <c r="X14" s="1815"/>
      <c r="Y14" s="3178"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79"/>
      <c r="Q15" s="1812"/>
      <c r="R15" s="773"/>
      <c r="S15" s="774"/>
      <c r="T15" s="773"/>
      <c r="U15" s="774"/>
      <c r="V15" s="773"/>
      <c r="W15" s="774"/>
      <c r="X15" s="1815"/>
      <c r="Y15" s="3179"/>
      <c r="Z15" s="1816"/>
      <c r="AA15" s="1813">
        <v>1</v>
      </c>
      <c r="AB15" s="1813">
        <v>1</v>
      </c>
      <c r="AC15" s="1813">
        <v>1</v>
      </c>
    </row>
    <row r="16" spans="1:29" ht="42.75">
      <c r="A16" s="427"/>
      <c r="B16" s="450" t="s">
        <v>2692</v>
      </c>
      <c r="C16" s="261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79"/>
      <c r="Q16" s="1812" t="str">
        <f>B16</f>
        <v>公共配套设施</v>
      </c>
      <c r="R16" s="773" t="s">
        <v>17</v>
      </c>
      <c r="S16" s="774">
        <f>F16</f>
        <v>100</v>
      </c>
      <c r="T16" s="773" t="s">
        <v>17</v>
      </c>
      <c r="U16" s="774">
        <f>H16</f>
        <v>100</v>
      </c>
      <c r="V16" s="773" t="s">
        <v>17</v>
      </c>
      <c r="W16" s="774">
        <f>J16</f>
        <v>100</v>
      </c>
      <c r="X16" s="1815"/>
      <c r="Y16" s="3179"/>
      <c r="Z16" s="1816" t="str">
        <f>Q16</f>
        <v>公共配套设施</v>
      </c>
      <c r="AA16" s="1813">
        <f t="shared" si="3"/>
        <v>1</v>
      </c>
      <c r="AB16" s="1813">
        <f t="shared" si="4"/>
        <v>1</v>
      </c>
      <c r="AC16" s="1813">
        <f t="shared" si="5"/>
        <v>1</v>
      </c>
    </row>
    <row r="17" spans="1:29" ht="15">
      <c r="A17" s="427"/>
      <c r="B17" s="455"/>
      <c r="C17" s="2614"/>
      <c r="D17" s="447"/>
      <c r="E17" s="446"/>
      <c r="F17" s="448"/>
      <c r="G17" s="446"/>
      <c r="H17" s="447"/>
      <c r="I17" s="446"/>
      <c r="J17" s="447"/>
      <c r="K17" s="614"/>
      <c r="L17" s="1142"/>
      <c r="M17" s="1133"/>
      <c r="N17" s="1133"/>
      <c r="O17" s="1141"/>
      <c r="P17" s="3179"/>
      <c r="Q17" s="1812"/>
      <c r="R17" s="773"/>
      <c r="S17" s="774"/>
      <c r="T17" s="773"/>
      <c r="U17" s="774"/>
      <c r="V17" s="773"/>
      <c r="W17" s="774"/>
      <c r="X17" s="1815"/>
      <c r="Y17" s="3179"/>
      <c r="Z17" s="1816"/>
      <c r="AA17" s="1813">
        <v>1</v>
      </c>
      <c r="AB17" s="1813">
        <v>1</v>
      </c>
      <c r="AC17" s="1813">
        <v>1</v>
      </c>
    </row>
    <row r="18" spans="1:29" ht="28.5">
      <c r="A18" s="427"/>
      <c r="B18" s="1386" t="s">
        <v>2693</v>
      </c>
      <c r="C18" s="261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79"/>
      <c r="Q18" s="1812" t="str">
        <f>B18</f>
        <v>基础设施水平</v>
      </c>
      <c r="R18" s="773" t="s">
        <v>17</v>
      </c>
      <c r="S18" s="774">
        <f>F18</f>
        <v>100</v>
      </c>
      <c r="T18" s="773" t="s">
        <v>17</v>
      </c>
      <c r="U18" s="774">
        <f>H18</f>
        <v>100</v>
      </c>
      <c r="V18" s="773" t="s">
        <v>17</v>
      </c>
      <c r="W18" s="774">
        <f>J18</f>
        <v>100</v>
      </c>
      <c r="X18" s="1815"/>
      <c r="Y18" s="3179"/>
      <c r="Z18" s="1816" t="str">
        <f>Q18</f>
        <v>基础设施水平</v>
      </c>
      <c r="AA18" s="1813">
        <f t="shared" ref="AA18" si="8">D18/F18</f>
        <v>1</v>
      </c>
      <c r="AB18" s="1813">
        <f t="shared" ref="AB18" si="9">D18/H18</f>
        <v>1</v>
      </c>
      <c r="AC18" s="1813">
        <f t="shared" ref="AC18" si="10">D18/J18</f>
        <v>1</v>
      </c>
    </row>
    <row r="19" spans="1:29" ht="15">
      <c r="A19" s="427"/>
      <c r="B19" s="1386"/>
      <c r="C19" s="2614"/>
      <c r="D19" s="449"/>
      <c r="E19" s="2614"/>
      <c r="F19" s="452"/>
      <c r="G19" s="2614"/>
      <c r="H19" s="447"/>
      <c r="I19" s="446"/>
      <c r="J19" s="447"/>
      <c r="K19" s="1385"/>
      <c r="L19" s="1142"/>
      <c r="M19" s="1133"/>
      <c r="N19" s="1133"/>
      <c r="O19" s="1141"/>
      <c r="P19" s="3179"/>
      <c r="Q19" s="1812"/>
      <c r="R19" s="773"/>
      <c r="S19" s="774"/>
      <c r="T19" s="773"/>
      <c r="U19" s="774"/>
      <c r="V19" s="773"/>
      <c r="W19" s="774"/>
      <c r="X19" s="1815"/>
      <c r="Y19" s="3179"/>
      <c r="Z19" s="1816"/>
      <c r="AA19" s="1813">
        <v>1</v>
      </c>
      <c r="AB19" s="1813">
        <v>1</v>
      </c>
      <c r="AC19" s="1813">
        <v>1</v>
      </c>
    </row>
    <row r="20" spans="1:29" ht="57">
      <c r="A20" s="427"/>
      <c r="B20" s="450" t="s">
        <v>2714</v>
      </c>
      <c r="C20" s="261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79"/>
      <c r="Q20" s="1812" t="str">
        <f>B20</f>
        <v>自然及人文环境</v>
      </c>
      <c r="R20" s="773" t="s">
        <v>17</v>
      </c>
      <c r="S20" s="774">
        <f>F20</f>
        <v>100</v>
      </c>
      <c r="T20" s="773" t="s">
        <v>17</v>
      </c>
      <c r="U20" s="774">
        <f>H20</f>
        <v>100</v>
      </c>
      <c r="V20" s="773" t="s">
        <v>17</v>
      </c>
      <c r="W20" s="774">
        <f>J20</f>
        <v>100</v>
      </c>
      <c r="X20" s="1815"/>
      <c r="Y20" s="3179"/>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79"/>
      <c r="Q21" s="1812"/>
      <c r="R21" s="773"/>
      <c r="S21" s="774"/>
      <c r="T21" s="773"/>
      <c r="U21" s="774"/>
      <c r="V21" s="773"/>
      <c r="W21" s="774"/>
      <c r="X21" s="1815"/>
      <c r="Y21" s="3179"/>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79"/>
      <c r="Q22" s="1812" t="str">
        <f>B22</f>
        <v>楼层</v>
      </c>
      <c r="R22" s="773" t="s">
        <v>17</v>
      </c>
      <c r="S22" s="774">
        <f>F22</f>
        <v>100</v>
      </c>
      <c r="T22" s="773" t="s">
        <v>17</v>
      </c>
      <c r="U22" s="774">
        <f>H22</f>
        <v>100</v>
      </c>
      <c r="V22" s="773" t="s">
        <v>17</v>
      </c>
      <c r="W22" s="774">
        <f>J22</f>
        <v>100</v>
      </c>
      <c r="X22" s="1815"/>
      <c r="Y22" s="3179"/>
      <c r="Z22" s="1816" t="str">
        <f>Q22</f>
        <v>楼层</v>
      </c>
      <c r="AA22" s="1813">
        <f t="shared" si="3"/>
        <v>1</v>
      </c>
      <c r="AB22" s="1813">
        <f t="shared" si="4"/>
        <v>1</v>
      </c>
      <c r="AC22" s="1813">
        <f t="shared" si="5"/>
        <v>1</v>
      </c>
    </row>
    <row r="23" spans="1:29" ht="15">
      <c r="A23" s="403"/>
      <c r="B23" s="2606">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79"/>
      <c r="Q23" s="1812">
        <f>B23</f>
        <v>111</v>
      </c>
      <c r="R23" s="773" t="s">
        <v>17</v>
      </c>
      <c r="S23" s="774">
        <f>F23</f>
        <v>100</v>
      </c>
      <c r="T23" s="773" t="s">
        <v>17</v>
      </c>
      <c r="U23" s="774">
        <f>H23</f>
        <v>100</v>
      </c>
      <c r="V23" s="773" t="s">
        <v>17</v>
      </c>
      <c r="W23" s="774">
        <f>J23</f>
        <v>100</v>
      </c>
      <c r="X23" s="1815"/>
      <c r="Y23" s="3179"/>
      <c r="Z23" s="1816">
        <f>Q23</f>
        <v>111</v>
      </c>
      <c r="AA23" s="1813">
        <f t="shared" si="3"/>
        <v>1</v>
      </c>
      <c r="AB23" s="1813">
        <f t="shared" si="4"/>
        <v>1</v>
      </c>
      <c r="AC23" s="1813">
        <f t="shared" si="5"/>
        <v>1</v>
      </c>
    </row>
    <row r="24" spans="1:29" ht="15">
      <c r="A24" s="427"/>
      <c r="B24" s="2606">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79"/>
      <c r="Q24" s="1812">
        <f t="shared" ref="Q24:Q34" si="11">B24</f>
        <v>111</v>
      </c>
      <c r="R24" s="773" t="s">
        <v>17</v>
      </c>
      <c r="S24" s="774">
        <f>F24</f>
        <v>100</v>
      </c>
      <c r="T24" s="773" t="s">
        <v>17</v>
      </c>
      <c r="U24" s="774">
        <f>H24</f>
        <v>100</v>
      </c>
      <c r="V24" s="773" t="s">
        <v>17</v>
      </c>
      <c r="W24" s="774">
        <f>J24</f>
        <v>100</v>
      </c>
      <c r="X24" s="1815"/>
      <c r="Y24" s="3179"/>
      <c r="Z24" s="1816">
        <f>Q24</f>
        <v>111</v>
      </c>
      <c r="AA24" s="1813">
        <f t="shared" si="3"/>
        <v>1</v>
      </c>
      <c r="AB24" s="1813">
        <f t="shared" si="4"/>
        <v>1</v>
      </c>
      <c r="AC24" s="1813">
        <f t="shared" si="5"/>
        <v>1</v>
      </c>
    </row>
    <row r="25" spans="1:29" s="117" customFormat="1" ht="15.75" thickBot="1">
      <c r="A25" s="430"/>
      <c r="B25" s="2606">
        <v>111</v>
      </c>
      <c r="C25" s="2704"/>
      <c r="D25" s="664">
        <v>100</v>
      </c>
      <c r="E25" s="2704"/>
      <c r="F25" s="665">
        <f>SUMIF(75:75,E25,76:76)-SUMIF(75:75,C25,76:76)+100</f>
        <v>100</v>
      </c>
      <c r="G25" s="2704"/>
      <c r="H25" s="664">
        <f>SUMIF(75:75,G25,76:76)-SUMIF(75:75,C25,76:76)+100</f>
        <v>100</v>
      </c>
      <c r="I25" s="2704"/>
      <c r="J25" s="664">
        <f>SUMIF(75:75,I25,76:76)-SUMIF(75:75,C25,76:76)+100</f>
        <v>100</v>
      </c>
      <c r="K25" s="612"/>
      <c r="L25" s="1134"/>
      <c r="M25" s="1135"/>
      <c r="N25" s="1135"/>
      <c r="O25" s="1136"/>
      <c r="P25" s="3179"/>
      <c r="Q25" s="1797">
        <f t="shared" si="11"/>
        <v>111</v>
      </c>
      <c r="R25" s="769" t="s">
        <v>17</v>
      </c>
      <c r="S25" s="770">
        <f>F25</f>
        <v>100</v>
      </c>
      <c r="T25" s="769" t="s">
        <v>17</v>
      </c>
      <c r="U25" s="770">
        <f>H25</f>
        <v>100</v>
      </c>
      <c r="V25" s="769" t="s">
        <v>17</v>
      </c>
      <c r="W25" s="770">
        <f>J25</f>
        <v>100</v>
      </c>
      <c r="X25" s="771"/>
      <c r="Y25" s="3179"/>
      <c r="Z25" s="55">
        <f>Q25</f>
        <v>111</v>
      </c>
      <c r="AA25" s="1813">
        <f>D25/F25</f>
        <v>1</v>
      </c>
      <c r="AB25" s="1813">
        <f>D25/H25</f>
        <v>1</v>
      </c>
      <c r="AC25" s="1813">
        <f>D25/J25</f>
        <v>1</v>
      </c>
    </row>
    <row r="26" spans="1:29" ht="15">
      <c r="A26" s="465" t="s">
        <v>2567</v>
      </c>
      <c r="B26" s="71" t="s">
        <v>2718</v>
      </c>
      <c r="C26" s="2685"/>
      <c r="D26" s="466">
        <v>100</v>
      </c>
      <c r="E26" s="2685"/>
      <c r="F26" s="666">
        <f>SUMIF(77:77,E26,78:78)-SUMIF(77:77,C26,78:78)+100</f>
        <v>100</v>
      </c>
      <c r="G26" s="2685"/>
      <c r="H26" s="466">
        <f>SUMIF(77:77,G26,78:78)-SUMIF(77:77,C26,78:78)+100</f>
        <v>100</v>
      </c>
      <c r="I26" s="2685"/>
      <c r="J26" s="466">
        <f>SUMIF(77:77,I26,78:78)-SUMIF(77:77,C26,78:78)+100</f>
        <v>100</v>
      </c>
      <c r="K26" s="611"/>
      <c r="L26" s="1142"/>
      <c r="M26" s="1133"/>
      <c r="N26" s="1133"/>
      <c r="O26" s="1141"/>
      <c r="P26" s="3234"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3"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3"/>
      <c r="Q27" s="775" t="str">
        <f t="shared" si="11"/>
        <v>成新率</v>
      </c>
      <c r="R27" s="776" t="s">
        <v>17</v>
      </c>
      <c r="S27" s="777" t="e">
        <f t="shared" si="12"/>
        <v>#N/A</v>
      </c>
      <c r="T27" s="776" t="s">
        <v>17</v>
      </c>
      <c r="U27" s="777" t="e">
        <f t="shared" si="13"/>
        <v>#N/A</v>
      </c>
      <c r="V27" s="776" t="s">
        <v>17</v>
      </c>
      <c r="W27" s="777" t="e">
        <f t="shared" si="14"/>
        <v>#N/A</v>
      </c>
      <c r="X27" s="778"/>
      <c r="Y27" s="3183"/>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3"/>
      <c r="Q28" s="1812" t="str">
        <f t="shared" si="11"/>
        <v>物业等级</v>
      </c>
      <c r="R28" s="773" t="s">
        <v>17</v>
      </c>
      <c r="S28" s="774">
        <f t="shared" si="12"/>
        <v>100</v>
      </c>
      <c r="T28" s="773" t="s">
        <v>17</v>
      </c>
      <c r="U28" s="774">
        <f t="shared" si="13"/>
        <v>100</v>
      </c>
      <c r="V28" s="773" t="s">
        <v>17</v>
      </c>
      <c r="W28" s="774">
        <f t="shared" si="14"/>
        <v>100</v>
      </c>
      <c r="X28" s="1815"/>
      <c r="Y28" s="3183"/>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3"/>
      <c r="Q29" s="1812" t="str">
        <f t="shared" si="11"/>
        <v>有无电梯</v>
      </c>
      <c r="R29" s="773" t="s">
        <v>17</v>
      </c>
      <c r="S29" s="774">
        <f t="shared" si="12"/>
        <v>100</v>
      </c>
      <c r="T29" s="773" t="s">
        <v>17</v>
      </c>
      <c r="U29" s="774">
        <f t="shared" si="13"/>
        <v>100</v>
      </c>
      <c r="V29" s="773" t="s">
        <v>17</v>
      </c>
      <c r="W29" s="774">
        <f t="shared" si="14"/>
        <v>100</v>
      </c>
      <c r="X29" s="1815"/>
      <c r="Y29" s="3183"/>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3"/>
      <c r="Q30" s="1812" t="str">
        <f t="shared" si="11"/>
        <v>建筑面积</v>
      </c>
      <c r="R30" s="773" t="s">
        <v>17</v>
      </c>
      <c r="S30" s="774" t="e">
        <f t="shared" si="12"/>
        <v>#N/A</v>
      </c>
      <c r="T30" s="773" t="s">
        <v>17</v>
      </c>
      <c r="U30" s="774" t="e">
        <f t="shared" si="13"/>
        <v>#N/A</v>
      </c>
      <c r="V30" s="773" t="s">
        <v>17</v>
      </c>
      <c r="W30" s="774" t="e">
        <f t="shared" si="14"/>
        <v>#N/A</v>
      </c>
      <c r="X30" s="1815"/>
      <c r="Y30" s="3183"/>
      <c r="Z30" s="1816" t="str">
        <f t="shared" si="15"/>
        <v>建筑面积</v>
      </c>
      <c r="AA30" s="1813" t="e">
        <f t="shared" si="3"/>
        <v>#N/A</v>
      </c>
      <c r="AB30" s="1813" t="e">
        <f t="shared" si="4"/>
        <v>#N/A</v>
      </c>
      <c r="AC30" s="1813" t="e">
        <f t="shared" si="5"/>
        <v>#N/A</v>
      </c>
    </row>
    <row r="31" spans="1:29" s="117"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3"/>
      <c r="Q31" s="1797" t="str">
        <f t="shared" si="11"/>
        <v>是否封闭</v>
      </c>
      <c r="R31" s="769" t="s">
        <v>17</v>
      </c>
      <c r="S31" s="770">
        <f t="shared" si="12"/>
        <v>100</v>
      </c>
      <c r="T31" s="769" t="s">
        <v>17</v>
      </c>
      <c r="U31" s="770">
        <f t="shared" si="13"/>
        <v>100</v>
      </c>
      <c r="V31" s="769" t="s">
        <v>17</v>
      </c>
      <c r="W31" s="770">
        <f t="shared" si="14"/>
        <v>100</v>
      </c>
      <c r="X31" s="771"/>
      <c r="Y31" s="3183"/>
      <c r="Z31" s="55" t="str">
        <f t="shared" si="15"/>
        <v>是否封闭</v>
      </c>
      <c r="AA31" s="772">
        <f t="shared" si="3"/>
        <v>1</v>
      </c>
      <c r="AB31" s="772">
        <f t="shared" si="4"/>
        <v>1</v>
      </c>
      <c r="AC31" s="772">
        <f t="shared" si="5"/>
        <v>1</v>
      </c>
    </row>
    <row r="32" spans="1:29" ht="15">
      <c r="A32" s="471"/>
      <c r="B32" s="2606">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3" t="s">
        <v>2569</v>
      </c>
      <c r="Q32" s="1812">
        <f t="shared" si="11"/>
        <v>111</v>
      </c>
      <c r="R32" s="773" t="s">
        <v>17</v>
      </c>
      <c r="S32" s="774">
        <f t="shared" si="12"/>
        <v>100</v>
      </c>
      <c r="T32" s="773" t="s">
        <v>17</v>
      </c>
      <c r="U32" s="774">
        <f t="shared" si="13"/>
        <v>100</v>
      </c>
      <c r="V32" s="773" t="s">
        <v>17</v>
      </c>
      <c r="W32" s="774">
        <f t="shared" si="14"/>
        <v>100</v>
      </c>
      <c r="X32" s="1815"/>
      <c r="Y32" s="3183" t="s">
        <v>2569</v>
      </c>
      <c r="Z32" s="1816">
        <f t="shared" si="15"/>
        <v>111</v>
      </c>
      <c r="AA32" s="1813">
        <f t="shared" si="3"/>
        <v>1</v>
      </c>
      <c r="AB32" s="1813">
        <f t="shared" si="4"/>
        <v>1</v>
      </c>
      <c r="AC32" s="1813">
        <f t="shared" si="5"/>
        <v>1</v>
      </c>
    </row>
    <row r="33" spans="1:29" ht="15">
      <c r="A33" s="471"/>
      <c r="B33" s="2606">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3"/>
      <c r="Q33" s="1812">
        <f t="shared" si="11"/>
        <v>111</v>
      </c>
      <c r="R33" s="773" t="s">
        <v>17</v>
      </c>
      <c r="S33" s="774">
        <f t="shared" si="12"/>
        <v>100</v>
      </c>
      <c r="T33" s="773" t="s">
        <v>17</v>
      </c>
      <c r="U33" s="774">
        <f t="shared" si="13"/>
        <v>100</v>
      </c>
      <c r="V33" s="773" t="s">
        <v>17</v>
      </c>
      <c r="W33" s="774">
        <f t="shared" si="14"/>
        <v>100</v>
      </c>
      <c r="X33" s="1815"/>
      <c r="Y33" s="3183"/>
      <c r="Z33" s="1816">
        <f t="shared" si="15"/>
        <v>111</v>
      </c>
      <c r="AA33" s="1813">
        <f t="shared" si="3"/>
        <v>1</v>
      </c>
      <c r="AB33" s="1813">
        <f t="shared" si="4"/>
        <v>1</v>
      </c>
      <c r="AC33" s="1813">
        <f t="shared" si="5"/>
        <v>1</v>
      </c>
    </row>
    <row r="34" spans="1:29" ht="15.75" thickBot="1">
      <c r="A34" s="477"/>
      <c r="B34" s="2608">
        <v>111</v>
      </c>
      <c r="C34" s="436"/>
      <c r="D34" s="437">
        <v>100</v>
      </c>
      <c r="E34" s="2703"/>
      <c r="F34" s="438">
        <f>SUMIF(95:95,E34,96:96)-SUMIF(95:95,C34,96:96)+100</f>
        <v>100</v>
      </c>
      <c r="G34" s="2703"/>
      <c r="H34" s="437">
        <f>SUMIF(95:95,G34,96:96)-SUMIF(95:95,C34,96:96)+100</f>
        <v>100</v>
      </c>
      <c r="I34" s="2703"/>
      <c r="J34" s="437">
        <f>SUMIF(95:95,I34,96:96)-SUMIF(95:95,C34,96:96)+100</f>
        <v>100</v>
      </c>
      <c r="K34" s="612"/>
      <c r="L34" s="1142"/>
      <c r="M34" s="1133"/>
      <c r="N34" s="1133"/>
      <c r="O34" s="1141"/>
      <c r="P34" s="3183"/>
      <c r="Q34" s="1812">
        <f t="shared" si="11"/>
        <v>111</v>
      </c>
      <c r="R34" s="773" t="s">
        <v>17</v>
      </c>
      <c r="S34" s="774">
        <f t="shared" si="12"/>
        <v>100</v>
      </c>
      <c r="T34" s="773" t="s">
        <v>17</v>
      </c>
      <c r="U34" s="774">
        <f t="shared" si="13"/>
        <v>100</v>
      </c>
      <c r="V34" s="773" t="s">
        <v>17</v>
      </c>
      <c r="W34" s="774">
        <f t="shared" si="14"/>
        <v>100</v>
      </c>
      <c r="X34" s="1815"/>
      <c r="Y34" s="3183"/>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176" t="str">
        <f>A35</f>
        <v>成交单价（元/平方米）</v>
      </c>
      <c r="Q35" s="3176"/>
      <c r="R35" s="3177">
        <f>E35</f>
        <v>0</v>
      </c>
      <c r="S35" s="3177"/>
      <c r="T35" s="3177">
        <f>G35</f>
        <v>0</v>
      </c>
      <c r="U35" s="3177"/>
      <c r="V35" s="3177">
        <f>I35</f>
        <v>0</v>
      </c>
      <c r="W35" s="3177"/>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173" t="str">
        <f>A37</f>
        <v>估价对象XX用房的比较价值（楼面单价，元/平方米）</v>
      </c>
      <c r="Q37" s="3174"/>
      <c r="R37" s="3175" t="e">
        <f>IF(F1="售价",ROUND(AVERAGE(R36:V36),0),ROUND(AVERAGE(R36:V36),1))</f>
        <v>#DIV/0!</v>
      </c>
      <c r="S37" s="3175"/>
      <c r="T37" s="3175"/>
      <c r="U37" s="3175"/>
      <c r="V37" s="3175"/>
      <c r="W37" s="317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2018-9</v>
      </c>
      <c r="D46" s="1577">
        <f>EDATE(C46,-1)</f>
        <v>43313</v>
      </c>
      <c r="E46" s="1577">
        <f t="shared" ref="E46:O46" si="16">EDATE(D46,-1)</f>
        <v>43282</v>
      </c>
      <c r="F46" s="1577">
        <f t="shared" si="16"/>
        <v>43252</v>
      </c>
      <c r="G46" s="1577">
        <f t="shared" si="16"/>
        <v>43221</v>
      </c>
      <c r="H46" s="1577">
        <f t="shared" si="16"/>
        <v>43191</v>
      </c>
      <c r="I46" s="1577">
        <f t="shared" si="16"/>
        <v>43160</v>
      </c>
      <c r="J46" s="1577">
        <f t="shared" si="16"/>
        <v>43132</v>
      </c>
      <c r="K46" s="1577">
        <f t="shared" si="16"/>
        <v>43101</v>
      </c>
      <c r="L46" s="1577">
        <f t="shared" si="16"/>
        <v>43070</v>
      </c>
      <c r="M46" s="1577">
        <f t="shared" si="16"/>
        <v>43040</v>
      </c>
      <c r="N46" s="1577">
        <f t="shared" si="16"/>
        <v>43009</v>
      </c>
      <c r="O46" s="1577">
        <f t="shared" si="16"/>
        <v>42979</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191" t="s">
        <v>2650</v>
      </c>
      <c r="D4" s="3192"/>
      <c r="E4" s="3193" t="s">
        <v>2651</v>
      </c>
      <c r="F4" s="3194"/>
      <c r="G4" s="3191" t="s">
        <v>2652</v>
      </c>
      <c r="H4" s="3192"/>
      <c r="I4" s="3191" t="s">
        <v>2653</v>
      </c>
      <c r="J4" s="3192"/>
      <c r="K4" s="609" t="s">
        <v>2654</v>
      </c>
      <c r="L4" s="1132"/>
      <c r="M4" s="1133"/>
      <c r="N4" s="1133"/>
      <c r="O4" s="1133"/>
      <c r="P4" s="3195" t="s">
        <v>2655</v>
      </c>
      <c r="Q4" s="3196"/>
      <c r="R4" s="3201" t="s">
        <v>2651</v>
      </c>
      <c r="S4" s="3202"/>
      <c r="T4" s="3201" t="s">
        <v>2652</v>
      </c>
      <c r="U4" s="3202"/>
      <c r="V4" s="3207" t="s">
        <v>2653</v>
      </c>
      <c r="W4" s="3207"/>
      <c r="X4" s="1815"/>
      <c r="Y4" s="3201" t="s">
        <v>2655</v>
      </c>
      <c r="Z4" s="3202"/>
      <c r="AA4" s="3188" t="s">
        <v>2651</v>
      </c>
      <c r="AB4" s="3189" t="s">
        <v>2652</v>
      </c>
      <c r="AC4" s="3188" t="s">
        <v>2653</v>
      </c>
    </row>
    <row r="5" spans="1:30" ht="15">
      <c r="A5" s="403"/>
      <c r="B5" s="404"/>
      <c r="C5" s="3210" t="s">
        <v>2546</v>
      </c>
      <c r="D5" s="3211"/>
      <c r="E5" s="3217" t="s">
        <v>2547</v>
      </c>
      <c r="F5" s="3218"/>
      <c r="G5" s="3210" t="s">
        <v>2548</v>
      </c>
      <c r="H5" s="3211"/>
      <c r="I5" s="3210" t="s">
        <v>2549</v>
      </c>
      <c r="J5" s="3211"/>
      <c r="K5" s="609"/>
      <c r="L5" s="1132"/>
      <c r="M5" s="1133"/>
      <c r="N5" s="1133"/>
      <c r="O5" s="1133"/>
      <c r="P5" s="3197"/>
      <c r="Q5" s="3198"/>
      <c r="R5" s="3203"/>
      <c r="S5" s="3204"/>
      <c r="T5" s="3203"/>
      <c r="U5" s="3204"/>
      <c r="V5" s="3207"/>
      <c r="W5" s="3207"/>
      <c r="X5" s="1815"/>
      <c r="Y5" s="3203"/>
      <c r="Z5" s="3204"/>
      <c r="AA5" s="3189"/>
      <c r="AB5" s="3189"/>
      <c r="AC5" s="3189"/>
    </row>
    <row r="6" spans="1:30" ht="15.75" thickBot="1">
      <c r="A6" s="405"/>
      <c r="B6" s="406"/>
      <c r="C6" s="3208" t="s">
        <v>2550</v>
      </c>
      <c r="D6" s="3209"/>
      <c r="E6" s="3215" t="s">
        <v>2550</v>
      </c>
      <c r="F6" s="3216"/>
      <c r="G6" s="3208" t="s">
        <v>2550</v>
      </c>
      <c r="H6" s="3209"/>
      <c r="I6" s="3208" t="s">
        <v>2550</v>
      </c>
      <c r="J6" s="3209"/>
      <c r="K6" s="609" t="s">
        <v>2551</v>
      </c>
      <c r="L6" s="1132"/>
      <c r="M6" s="1133"/>
      <c r="N6" s="1133"/>
      <c r="O6" s="1133"/>
      <c r="P6" s="3199"/>
      <c r="Q6" s="3200"/>
      <c r="R6" s="3203"/>
      <c r="S6" s="3204"/>
      <c r="T6" s="3205"/>
      <c r="U6" s="3206"/>
      <c r="V6" s="3207"/>
      <c r="W6" s="3207"/>
      <c r="X6" s="1815"/>
      <c r="Y6" s="3205"/>
      <c r="Z6" s="3206"/>
      <c r="AA6" s="3190"/>
      <c r="AB6" s="3190"/>
      <c r="AC6" s="3190"/>
    </row>
    <row r="7" spans="1:30" s="117" customFormat="1" ht="15.75" thickBot="1">
      <c r="A7" s="407" t="s">
        <v>2552</v>
      </c>
      <c r="B7" s="408"/>
      <c r="C7" s="409">
        <f>'数据-取费表'!B2</f>
        <v>43355</v>
      </c>
      <c r="D7" s="410">
        <v>100</v>
      </c>
      <c r="E7" s="411">
        <v>42309</v>
      </c>
      <c r="F7" s="412">
        <f>SUMIF(70:70,YEAR(E7)&amp;"-"&amp;INT((MONTH(E7)+2)/3),71:71)</f>
        <v>0</v>
      </c>
      <c r="G7" s="2702">
        <v>42309</v>
      </c>
      <c r="H7" s="410">
        <f>SUMIF(70:70,YEAR(G7)&amp;"-"&amp;INT((MONTH(G7)+2)/3),71:71)</f>
        <v>0</v>
      </c>
      <c r="I7" s="2702">
        <v>42036</v>
      </c>
      <c r="J7" s="410">
        <f>SUMIF(70:70,YEAR(I7)&amp;"-"&amp;INT((MONTH(I7)+2)/3),71:71)</f>
        <v>0</v>
      </c>
      <c r="K7" s="610"/>
      <c r="L7" s="1134"/>
      <c r="M7" s="1135"/>
      <c r="N7" s="1135"/>
      <c r="O7" s="1135"/>
      <c r="P7" s="3212" t="s">
        <v>2553</v>
      </c>
      <c r="Q7" s="3214"/>
      <c r="R7" s="769" t="s">
        <v>17</v>
      </c>
      <c r="S7" s="770">
        <f t="shared" ref="S7:S15" si="0">F7</f>
        <v>0</v>
      </c>
      <c r="T7" s="769" t="s">
        <v>17</v>
      </c>
      <c r="U7" s="770">
        <f t="shared" ref="U7:U15" si="1">H7</f>
        <v>0</v>
      </c>
      <c r="V7" s="769" t="s">
        <v>17</v>
      </c>
      <c r="W7" s="770">
        <f t="shared" ref="W7:W15" si="2">J7</f>
        <v>0</v>
      </c>
      <c r="X7" s="771"/>
      <c r="Y7" s="3212" t="s">
        <v>2553</v>
      </c>
      <c r="Z7" s="3213"/>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12" t="s">
        <v>2556</v>
      </c>
      <c r="Q8" s="3213"/>
      <c r="R8" s="769" t="s">
        <v>17</v>
      </c>
      <c r="S8" s="770">
        <f t="shared" si="0"/>
        <v>0</v>
      </c>
      <c r="T8" s="769" t="s">
        <v>17</v>
      </c>
      <c r="U8" s="770">
        <f t="shared" si="1"/>
        <v>0</v>
      </c>
      <c r="V8" s="769" t="s">
        <v>17</v>
      </c>
      <c r="W8" s="770">
        <f t="shared" si="2"/>
        <v>0</v>
      </c>
      <c r="X8" s="771"/>
      <c r="Y8" s="3212" t="s">
        <v>2556</v>
      </c>
      <c r="Z8" s="3213"/>
      <c r="AA8" s="772" t="e">
        <f t="shared" ref="AA8:AA45" si="3">D8/F8</f>
        <v>#DIV/0!</v>
      </c>
      <c r="AB8" s="772" t="e">
        <f t="shared" ref="AB8:AB45" si="4">D8/H8</f>
        <v>#DIV/0!</v>
      </c>
      <c r="AC8" s="772" t="e">
        <f t="shared" ref="AC8:AC45" si="5">D8/J8</f>
        <v>#DIV/0!</v>
      </c>
    </row>
    <row r="9" spans="1:30" s="117" customFormat="1">
      <c r="A9" s="414" t="s">
        <v>2557</v>
      </c>
      <c r="B9" s="71" t="s">
        <v>2558</v>
      </c>
      <c r="C9" s="2705"/>
      <c r="D9" s="134">
        <v>100</v>
      </c>
      <c r="E9" s="2705"/>
      <c r="F9" s="134">
        <f>SUMIF(75:75,E9,76:76)-SUMIF(75:75,C9,76:76)+100</f>
        <v>100</v>
      </c>
      <c r="G9" s="2705"/>
      <c r="H9" s="134">
        <f>SUMIF(75:75,G9,76:76)-SUMIF(75:75,C9,76:76)+100</f>
        <v>100</v>
      </c>
      <c r="I9" s="2705"/>
      <c r="J9" s="134">
        <f>SUMIF(75:75,I9,76:76)-SUMIF(75:75,C9,76:76)+100</f>
        <v>100</v>
      </c>
      <c r="K9" s="610"/>
      <c r="L9" s="1134"/>
      <c r="M9" s="1135"/>
      <c r="N9" s="1135"/>
      <c r="O9" s="1136"/>
      <c r="P9" s="3176" t="s">
        <v>2559</v>
      </c>
      <c r="Q9" s="1797" t="str">
        <f t="shared" ref="Q9:Q15" si="6">B9</f>
        <v>用途</v>
      </c>
      <c r="R9" s="769" t="s">
        <v>17</v>
      </c>
      <c r="S9" s="770">
        <f t="shared" si="0"/>
        <v>100</v>
      </c>
      <c r="T9" s="769" t="s">
        <v>17</v>
      </c>
      <c r="U9" s="770">
        <f t="shared" si="1"/>
        <v>100</v>
      </c>
      <c r="V9" s="769" t="s">
        <v>17</v>
      </c>
      <c r="W9" s="770">
        <f t="shared" si="2"/>
        <v>100</v>
      </c>
      <c r="X9" s="771"/>
      <c r="Y9" s="3001"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176"/>
      <c r="Q10" s="1797" t="str">
        <f t="shared" si="6"/>
        <v>土地使用年限（年）</v>
      </c>
      <c r="R10" s="769" t="s">
        <v>17</v>
      </c>
      <c r="S10" s="770">
        <f t="shared" si="0"/>
        <v>106</v>
      </c>
      <c r="T10" s="769" t="s">
        <v>17</v>
      </c>
      <c r="U10" s="770">
        <f t="shared" si="1"/>
        <v>106</v>
      </c>
      <c r="V10" s="769" t="s">
        <v>17</v>
      </c>
      <c r="W10" s="770">
        <f t="shared" si="2"/>
        <v>106</v>
      </c>
      <c r="X10" s="771"/>
      <c r="Y10" s="3001"/>
      <c r="Z10" s="55" t="str">
        <f t="shared" si="7"/>
        <v>土地使用年限（年）</v>
      </c>
      <c r="AA10" s="772">
        <f t="shared" si="3"/>
        <v>0.94339622641509435</v>
      </c>
      <c r="AB10" s="772">
        <f t="shared" si="4"/>
        <v>0.94339622641509435</v>
      </c>
      <c r="AC10" s="772">
        <f t="shared" si="5"/>
        <v>0.94339622641509435</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76"/>
      <c r="Q11" s="1797" t="str">
        <f t="shared" si="6"/>
        <v>容积率</v>
      </c>
      <c r="R11" s="769" t="s">
        <v>17</v>
      </c>
      <c r="S11" s="770" t="e">
        <f t="shared" si="0"/>
        <v>#N/A</v>
      </c>
      <c r="T11" s="769" t="s">
        <v>17</v>
      </c>
      <c r="U11" s="770" t="e">
        <f t="shared" si="1"/>
        <v>#N/A</v>
      </c>
      <c r="V11" s="769" t="s">
        <v>17</v>
      </c>
      <c r="W11" s="770" t="e">
        <f t="shared" si="2"/>
        <v>#N/A</v>
      </c>
      <c r="X11" s="771"/>
      <c r="Y11" s="3001"/>
      <c r="Z11" s="55" t="str">
        <f t="shared" si="7"/>
        <v>容积率</v>
      </c>
      <c r="AA11" s="772" t="e">
        <f t="shared" si="3"/>
        <v>#N/A</v>
      </c>
      <c r="AB11" s="772" t="e">
        <f t="shared" si="4"/>
        <v>#N/A</v>
      </c>
      <c r="AC11" s="772" t="e">
        <f t="shared" si="5"/>
        <v>#N/A</v>
      </c>
    </row>
    <row r="12" spans="1:30" s="117" customFormat="1" ht="15">
      <c r="A12" s="430"/>
      <c r="B12" s="2606"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6"/>
      <c r="Q12" s="1797" t="str">
        <f t="shared" si="6"/>
        <v>配建</v>
      </c>
      <c r="R12" s="769" t="s">
        <v>17</v>
      </c>
      <c r="S12" s="770">
        <f t="shared" si="0"/>
        <v>100</v>
      </c>
      <c r="T12" s="769" t="s">
        <v>17</v>
      </c>
      <c r="U12" s="770">
        <f t="shared" si="1"/>
        <v>100</v>
      </c>
      <c r="V12" s="769" t="s">
        <v>17</v>
      </c>
      <c r="W12" s="770">
        <f t="shared" si="2"/>
        <v>100</v>
      </c>
      <c r="X12" s="771"/>
      <c r="Y12" s="3001"/>
      <c r="Z12" s="55" t="str">
        <f t="shared" si="7"/>
        <v>配建</v>
      </c>
      <c r="AA12" s="772">
        <f>D12/F12</f>
        <v>1</v>
      </c>
      <c r="AB12" s="772">
        <f>D12/H12</f>
        <v>1</v>
      </c>
      <c r="AC12" s="772">
        <f>D12/J12</f>
        <v>1</v>
      </c>
    </row>
    <row r="13" spans="1:30" ht="15">
      <c r="A13" s="427"/>
      <c r="B13" s="2606">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01"/>
      <c r="Z13" s="55">
        <f t="shared" si="7"/>
        <v>111</v>
      </c>
      <c r="AA13" s="772">
        <f>D13/F13</f>
        <v>1</v>
      </c>
      <c r="AB13" s="772">
        <f>D13/H13</f>
        <v>1</v>
      </c>
      <c r="AC13" s="772">
        <f>D13/J13</f>
        <v>1</v>
      </c>
    </row>
    <row r="14" spans="1:30" ht="15.75" thickBot="1">
      <c r="A14" s="435"/>
      <c r="B14" s="2608">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6"/>
      <c r="Q14" s="1797">
        <f t="shared" si="6"/>
        <v>111</v>
      </c>
      <c r="R14" s="769" t="s">
        <v>17</v>
      </c>
      <c r="S14" s="770">
        <f t="shared" si="0"/>
        <v>100</v>
      </c>
      <c r="T14" s="769" t="s">
        <v>17</v>
      </c>
      <c r="U14" s="770">
        <f t="shared" si="1"/>
        <v>100</v>
      </c>
      <c r="V14" s="769" t="s">
        <v>17</v>
      </c>
      <c r="W14" s="770">
        <f t="shared" si="2"/>
        <v>100</v>
      </c>
      <c r="X14" s="771"/>
      <c r="Y14" s="3001"/>
      <c r="Z14" s="55">
        <f t="shared" si="7"/>
        <v>111</v>
      </c>
      <c r="AA14" s="772">
        <f>D14/F14</f>
        <v>1</v>
      </c>
      <c r="AB14" s="772">
        <f>D14/H14</f>
        <v>1</v>
      </c>
      <c r="AC14" s="772">
        <f>D14/J14</f>
        <v>1</v>
      </c>
    </row>
    <row r="15" spans="1:30" ht="99.75">
      <c r="A15" s="439" t="s">
        <v>2563</v>
      </c>
      <c r="B15" s="69" t="s">
        <v>2089</v>
      </c>
      <c r="C15" s="260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78" t="s">
        <v>2564</v>
      </c>
      <c r="Q15" s="1812" t="str">
        <f t="shared" si="6"/>
        <v>居住社区成熟度</v>
      </c>
      <c r="R15" s="773" t="s">
        <v>17</v>
      </c>
      <c r="S15" s="774">
        <f t="shared" si="0"/>
        <v>100</v>
      </c>
      <c r="T15" s="773" t="s">
        <v>17</v>
      </c>
      <c r="U15" s="774">
        <f t="shared" si="1"/>
        <v>100</v>
      </c>
      <c r="V15" s="773" t="s">
        <v>17</v>
      </c>
      <c r="W15" s="774">
        <f t="shared" si="2"/>
        <v>100</v>
      </c>
      <c r="X15" s="1815"/>
      <c r="Y15" s="3178" t="s">
        <v>2564</v>
      </c>
      <c r="Z15" s="1816" t="str">
        <f t="shared" si="7"/>
        <v>居住社区成熟度</v>
      </c>
      <c r="AA15" s="1813">
        <f t="shared" si="3"/>
        <v>1</v>
      </c>
      <c r="AB15" s="1813">
        <f t="shared" si="4"/>
        <v>1</v>
      </c>
      <c r="AC15" s="1813">
        <f t="shared" si="5"/>
        <v>1</v>
      </c>
    </row>
    <row r="16" spans="1:30" ht="15">
      <c r="A16" s="427"/>
      <c r="B16" s="445"/>
      <c r="C16" s="446"/>
      <c r="D16" s="447"/>
      <c r="E16" s="2611"/>
      <c r="F16" s="447"/>
      <c r="G16" s="2611"/>
      <c r="H16" s="449"/>
      <c r="I16" s="2610"/>
      <c r="J16" s="447"/>
      <c r="K16" s="671"/>
      <c r="L16" s="1142"/>
      <c r="M16" s="1133"/>
      <c r="N16" s="1133"/>
      <c r="O16" s="1141"/>
      <c r="P16" s="3179"/>
      <c r="Q16" s="1812"/>
      <c r="R16" s="773"/>
      <c r="S16" s="774"/>
      <c r="T16" s="773"/>
      <c r="U16" s="774"/>
      <c r="V16" s="773"/>
      <c r="W16" s="774"/>
      <c r="X16" s="1815"/>
      <c r="Y16" s="3179"/>
      <c r="Z16" s="1816"/>
      <c r="AA16" s="1813">
        <v>1</v>
      </c>
      <c r="AB16" s="1813">
        <v>1</v>
      </c>
      <c r="AC16" s="1813">
        <v>1</v>
      </c>
    </row>
    <row r="17" spans="1:29" ht="71.25">
      <c r="A17" s="427"/>
      <c r="B17" s="450" t="s">
        <v>2657</v>
      </c>
      <c r="C17" s="267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79"/>
      <c r="Q17" s="1812" t="str">
        <f>B17</f>
        <v>商业繁华度</v>
      </c>
      <c r="R17" s="773" t="s">
        <v>17</v>
      </c>
      <c r="S17" s="774">
        <f>F17</f>
        <v>100</v>
      </c>
      <c r="T17" s="773" t="s">
        <v>17</v>
      </c>
      <c r="U17" s="774">
        <f>H17</f>
        <v>100</v>
      </c>
      <c r="V17" s="773" t="s">
        <v>17</v>
      </c>
      <c r="W17" s="774">
        <f>J17</f>
        <v>100</v>
      </c>
      <c r="X17" s="1815"/>
      <c r="Y17" s="3179"/>
      <c r="Z17" s="1816" t="str">
        <f>Q17</f>
        <v>商业繁华度</v>
      </c>
      <c r="AA17" s="1813">
        <f t="shared" si="3"/>
        <v>1</v>
      </c>
      <c r="AB17" s="1813">
        <f t="shared" si="4"/>
        <v>1</v>
      </c>
      <c r="AC17" s="1813">
        <f t="shared" si="5"/>
        <v>1</v>
      </c>
    </row>
    <row r="18" spans="1:29" ht="15">
      <c r="A18" s="427"/>
      <c r="B18" s="455"/>
      <c r="C18" s="2614"/>
      <c r="D18" s="449"/>
      <c r="E18" s="2616"/>
      <c r="F18" s="449"/>
      <c r="G18" s="2616"/>
      <c r="H18" s="447"/>
      <c r="I18" s="2615"/>
      <c r="J18" s="447"/>
      <c r="K18" s="671"/>
      <c r="L18" s="1142"/>
      <c r="M18" s="1133"/>
      <c r="N18" s="1133"/>
      <c r="O18" s="1141"/>
      <c r="P18" s="3179"/>
      <c r="Q18" s="1812"/>
      <c r="R18" s="773"/>
      <c r="S18" s="774"/>
      <c r="T18" s="773"/>
      <c r="U18" s="774"/>
      <c r="V18" s="773"/>
      <c r="W18" s="774"/>
      <c r="X18" s="1815"/>
      <c r="Y18" s="3179"/>
      <c r="Z18" s="1816"/>
      <c r="AA18" s="1813">
        <v>1</v>
      </c>
      <c r="AB18" s="1813">
        <v>1</v>
      </c>
      <c r="AC18" s="1813">
        <v>1</v>
      </c>
    </row>
    <row r="19" spans="1:29" ht="71.25">
      <c r="A19" s="427"/>
      <c r="B19" s="450" t="s">
        <v>2691</v>
      </c>
      <c r="C19" s="267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79"/>
      <c r="Q19" s="1812" t="str">
        <f>B19</f>
        <v>办公集聚程度</v>
      </c>
      <c r="R19" s="773" t="s">
        <v>17</v>
      </c>
      <c r="S19" s="774">
        <f>F19</f>
        <v>100</v>
      </c>
      <c r="T19" s="773" t="s">
        <v>17</v>
      </c>
      <c r="U19" s="774">
        <f>H19</f>
        <v>100</v>
      </c>
      <c r="V19" s="773" t="s">
        <v>17</v>
      </c>
      <c r="W19" s="774">
        <f>J19</f>
        <v>100</v>
      </c>
      <c r="X19" s="1815"/>
      <c r="Y19" s="3179"/>
      <c r="Z19" s="1816" t="str">
        <f>Q19</f>
        <v>办公集聚程度</v>
      </c>
      <c r="AA19" s="1813">
        <f t="shared" si="3"/>
        <v>1</v>
      </c>
      <c r="AB19" s="1813">
        <f t="shared" si="4"/>
        <v>1</v>
      </c>
      <c r="AC19" s="1813">
        <f t="shared" si="5"/>
        <v>1</v>
      </c>
    </row>
    <row r="20" spans="1:29" ht="15">
      <c r="A20" s="427"/>
      <c r="B20" s="455"/>
      <c r="C20" s="446"/>
      <c r="D20" s="447"/>
      <c r="E20" s="2611"/>
      <c r="F20" s="447"/>
      <c r="G20" s="2611"/>
      <c r="H20" s="447"/>
      <c r="I20" s="2610"/>
      <c r="J20" s="447"/>
      <c r="K20" s="671"/>
      <c r="L20" s="1142"/>
      <c r="M20" s="1133"/>
      <c r="N20" s="1133"/>
      <c r="O20" s="1141"/>
      <c r="P20" s="3179"/>
      <c r="Q20" s="1812"/>
      <c r="R20" s="773"/>
      <c r="S20" s="774"/>
      <c r="T20" s="773"/>
      <c r="U20" s="774"/>
      <c r="V20" s="773"/>
      <c r="W20" s="774"/>
      <c r="X20" s="1815"/>
      <c r="Y20" s="3179"/>
      <c r="Z20" s="1816"/>
      <c r="AA20" s="1813">
        <v>1</v>
      </c>
      <c r="AB20" s="1813">
        <v>1</v>
      </c>
      <c r="AC20" s="1813">
        <v>1</v>
      </c>
    </row>
    <row r="21" spans="1:29" ht="85.5">
      <c r="A21" s="427"/>
      <c r="B21" s="450" t="s">
        <v>2713</v>
      </c>
      <c r="C21" s="261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79"/>
      <c r="Q21" s="1812" t="str">
        <f>B21</f>
        <v>交通便捷度</v>
      </c>
      <c r="R21" s="773" t="s">
        <v>17</v>
      </c>
      <c r="S21" s="774">
        <f>F21</f>
        <v>100</v>
      </c>
      <c r="T21" s="773" t="s">
        <v>17</v>
      </c>
      <c r="U21" s="774">
        <f>H21</f>
        <v>100</v>
      </c>
      <c r="V21" s="773" t="s">
        <v>17</v>
      </c>
      <c r="W21" s="774">
        <f>J21</f>
        <v>100</v>
      </c>
      <c r="X21" s="1815"/>
      <c r="Y21" s="3179"/>
      <c r="Z21" s="1816" t="str">
        <f>Q21</f>
        <v>交通便捷度</v>
      </c>
      <c r="AA21" s="1813">
        <f t="shared" si="3"/>
        <v>1</v>
      </c>
      <c r="AB21" s="1813">
        <f t="shared" si="4"/>
        <v>1</v>
      </c>
      <c r="AC21" s="1813">
        <f t="shared" si="5"/>
        <v>1</v>
      </c>
    </row>
    <row r="22" spans="1:29" ht="15">
      <c r="A22" s="427"/>
      <c r="B22" s="1386"/>
      <c r="C22" s="446"/>
      <c r="D22" s="449"/>
      <c r="E22" s="2611"/>
      <c r="F22" s="447"/>
      <c r="G22" s="2611"/>
      <c r="H22" s="447"/>
      <c r="I22" s="2610"/>
      <c r="J22" s="447"/>
      <c r="K22" s="671"/>
      <c r="L22" s="1142"/>
      <c r="M22" s="1133"/>
      <c r="N22" s="1133"/>
      <c r="O22" s="1141"/>
      <c r="P22" s="3179"/>
      <c r="Q22" s="1812"/>
      <c r="R22" s="773"/>
      <c r="S22" s="774"/>
      <c r="T22" s="773"/>
      <c r="U22" s="774"/>
      <c r="V22" s="773"/>
      <c r="W22" s="774"/>
      <c r="X22" s="1815"/>
      <c r="Y22" s="3179"/>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79"/>
      <c r="Q23" s="1812" t="str">
        <f t="shared" ref="Q23:Q37" si="8">B23</f>
        <v>区域土地利用方向</v>
      </c>
      <c r="R23" s="773" t="s">
        <v>17</v>
      </c>
      <c r="S23" s="774">
        <f>F23</f>
        <v>100</v>
      </c>
      <c r="T23" s="773" t="s">
        <v>17</v>
      </c>
      <c r="U23" s="774">
        <f>H23</f>
        <v>100</v>
      </c>
      <c r="V23" s="773" t="s">
        <v>17</v>
      </c>
      <c r="W23" s="774">
        <f>J23</f>
        <v>100</v>
      </c>
      <c r="X23" s="1815"/>
      <c r="Y23" s="3179"/>
      <c r="Z23" s="1816" t="str">
        <f>Q23</f>
        <v>区域土地利用方向</v>
      </c>
      <c r="AA23" s="1813">
        <f t="shared" si="3"/>
        <v>1</v>
      </c>
      <c r="AB23" s="1813">
        <f t="shared" si="4"/>
        <v>1</v>
      </c>
      <c r="AC23" s="1813">
        <f t="shared" si="5"/>
        <v>1</v>
      </c>
    </row>
    <row r="24" spans="1:29" ht="15">
      <c r="A24" s="403"/>
      <c r="B24" s="455"/>
      <c r="C24" s="615"/>
      <c r="D24" s="447"/>
      <c r="E24" s="2611"/>
      <c r="F24" s="447"/>
      <c r="G24" s="2610"/>
      <c r="H24" s="447"/>
      <c r="I24" s="2610"/>
      <c r="J24" s="447"/>
      <c r="K24" s="811"/>
      <c r="L24" s="1142"/>
      <c r="M24" s="1133"/>
      <c r="N24" s="1133"/>
      <c r="O24" s="1141"/>
      <c r="P24" s="3179"/>
      <c r="Q24" s="1812"/>
      <c r="R24" s="773"/>
      <c r="S24" s="774"/>
      <c r="T24" s="773"/>
      <c r="U24" s="774"/>
      <c r="V24" s="773"/>
      <c r="W24" s="774"/>
      <c r="X24" s="1815"/>
      <c r="Y24" s="3179"/>
      <c r="Z24" s="1816"/>
      <c r="AA24" s="1813"/>
      <c r="AB24" s="1813"/>
      <c r="AC24" s="1813"/>
    </row>
    <row r="25" spans="1:29" ht="57">
      <c r="A25" s="403"/>
      <c r="B25" s="1386" t="s">
        <v>2753</v>
      </c>
      <c r="C25" s="267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79"/>
      <c r="Q25" s="1812" t="str">
        <f t="shared" si="8"/>
        <v>自然及人文环境状况</v>
      </c>
      <c r="R25" s="773" t="s">
        <v>17</v>
      </c>
      <c r="S25" s="774">
        <f>F25</f>
        <v>100</v>
      </c>
      <c r="T25" s="773" t="s">
        <v>17</v>
      </c>
      <c r="U25" s="774">
        <f>H25</f>
        <v>100</v>
      </c>
      <c r="V25" s="773" t="s">
        <v>17</v>
      </c>
      <c r="W25" s="774">
        <f>J25</f>
        <v>100</v>
      </c>
      <c r="X25" s="1815"/>
      <c r="Y25" s="3179"/>
      <c r="Z25" s="1816" t="str">
        <f>Q25</f>
        <v>自然及人文环境状况</v>
      </c>
      <c r="AA25" s="1813">
        <f t="shared" si="3"/>
        <v>1</v>
      </c>
      <c r="AB25" s="1813">
        <f t="shared" si="4"/>
        <v>1</v>
      </c>
      <c r="AC25" s="1813">
        <f t="shared" si="5"/>
        <v>1</v>
      </c>
    </row>
    <row r="26" spans="1:29" ht="15">
      <c r="A26" s="403"/>
      <c r="B26" s="455"/>
      <c r="C26" s="446"/>
      <c r="D26" s="447"/>
      <c r="E26" s="2617"/>
      <c r="F26" s="447"/>
      <c r="G26" s="2617"/>
      <c r="H26" s="447"/>
      <c r="I26" s="446"/>
      <c r="J26" s="447"/>
      <c r="K26" s="671"/>
      <c r="L26" s="1142"/>
      <c r="M26" s="1133"/>
      <c r="N26" s="1133"/>
      <c r="O26" s="1141"/>
      <c r="P26" s="3179"/>
      <c r="Q26" s="1812"/>
      <c r="R26" s="773"/>
      <c r="S26" s="774"/>
      <c r="T26" s="773"/>
      <c r="U26" s="774"/>
      <c r="V26" s="773"/>
      <c r="W26" s="774"/>
      <c r="X26" s="1815"/>
      <c r="Y26" s="3179"/>
      <c r="Z26" s="1816"/>
      <c r="AA26" s="1813">
        <v>1</v>
      </c>
      <c r="AB26" s="1813">
        <v>1</v>
      </c>
      <c r="AC26" s="1813">
        <v>1</v>
      </c>
    </row>
    <row r="27" spans="1:29" s="117" customFormat="1" ht="42.75">
      <c r="A27" s="648"/>
      <c r="B27" s="1386" t="s">
        <v>2658</v>
      </c>
      <c r="C27" s="261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79"/>
      <c r="Q27" s="1797" t="str">
        <f t="shared" si="8"/>
        <v>公共配套设施</v>
      </c>
      <c r="R27" s="769" t="s">
        <v>17</v>
      </c>
      <c r="S27" s="770">
        <f>F27</f>
        <v>100</v>
      </c>
      <c r="T27" s="769" t="s">
        <v>17</v>
      </c>
      <c r="U27" s="770">
        <f>H27</f>
        <v>100</v>
      </c>
      <c r="V27" s="769" t="s">
        <v>17</v>
      </c>
      <c r="W27" s="770">
        <f>J27</f>
        <v>100</v>
      </c>
      <c r="X27" s="771"/>
      <c r="Y27" s="3179"/>
      <c r="Z27" s="55" t="str">
        <f>Q27</f>
        <v>公共配套设施</v>
      </c>
      <c r="AA27" s="1813">
        <f>D27/F27</f>
        <v>1</v>
      </c>
      <c r="AB27" s="1813">
        <f>D27/H27</f>
        <v>1</v>
      </c>
      <c r="AC27" s="1813">
        <f>D27/J27</f>
        <v>1</v>
      </c>
    </row>
    <row r="28" spans="1:29" s="117" customFormat="1" ht="15">
      <c r="A28" s="648"/>
      <c r="B28" s="455"/>
      <c r="C28" s="2706"/>
      <c r="D28" s="447"/>
      <c r="E28" s="2617"/>
      <c r="F28" s="447"/>
      <c r="G28" s="2617"/>
      <c r="H28" s="447"/>
      <c r="I28" s="446"/>
      <c r="J28" s="447"/>
      <c r="K28" s="671"/>
      <c r="L28" s="1134"/>
      <c r="M28" s="1135"/>
      <c r="N28" s="1135"/>
      <c r="O28" s="1136"/>
      <c r="P28" s="3179"/>
      <c r="Q28" s="1797"/>
      <c r="R28" s="769"/>
      <c r="S28" s="770"/>
      <c r="T28" s="769"/>
      <c r="U28" s="770"/>
      <c r="V28" s="769"/>
      <c r="W28" s="770"/>
      <c r="X28" s="771"/>
      <c r="Y28" s="3179"/>
      <c r="Z28" s="55"/>
      <c r="AA28" s="1813">
        <v>1</v>
      </c>
      <c r="AB28" s="1813">
        <v>1</v>
      </c>
      <c r="AC28" s="1813">
        <v>1</v>
      </c>
    </row>
    <row r="29" spans="1:29" s="117" customFormat="1" ht="28.5">
      <c r="A29" s="648"/>
      <c r="B29" s="1386" t="s">
        <v>2659</v>
      </c>
      <c r="C29" s="261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79"/>
      <c r="Q29" s="1797" t="str">
        <f t="shared" ref="Q29" si="9">B29</f>
        <v>基础设施水平</v>
      </c>
      <c r="R29" s="769" t="s">
        <v>17</v>
      </c>
      <c r="S29" s="770">
        <f>F29</f>
        <v>100</v>
      </c>
      <c r="T29" s="769" t="s">
        <v>17</v>
      </c>
      <c r="U29" s="770">
        <f>H29</f>
        <v>100</v>
      </c>
      <c r="V29" s="769" t="s">
        <v>17</v>
      </c>
      <c r="W29" s="770">
        <f>J29</f>
        <v>100</v>
      </c>
      <c r="X29" s="771"/>
      <c r="Y29" s="3179"/>
      <c r="Z29" s="55" t="str">
        <f>Q29</f>
        <v>基础设施水平</v>
      </c>
      <c r="AA29" s="1813">
        <f>D29/F29</f>
        <v>1</v>
      </c>
      <c r="AB29" s="1813">
        <f>D29/H29</f>
        <v>1</v>
      </c>
      <c r="AC29" s="1813">
        <f>D29/J29</f>
        <v>1</v>
      </c>
    </row>
    <row r="30" spans="1:29" s="117" customFormat="1" ht="15">
      <c r="A30" s="648"/>
      <c r="B30" s="455"/>
      <c r="C30" s="2706"/>
      <c r="D30" s="447"/>
      <c r="E30" s="2707"/>
      <c r="F30" s="447"/>
      <c r="G30" s="2707"/>
      <c r="H30" s="447"/>
      <c r="I30" s="2707"/>
      <c r="J30" s="447"/>
      <c r="K30" s="671"/>
      <c r="L30" s="1134"/>
      <c r="M30" s="1135"/>
      <c r="N30" s="1135"/>
      <c r="O30" s="1136"/>
      <c r="P30" s="3179"/>
      <c r="Q30" s="1797"/>
      <c r="R30" s="769"/>
      <c r="S30" s="770"/>
      <c r="T30" s="769"/>
      <c r="U30" s="770"/>
      <c r="V30" s="769"/>
      <c r="W30" s="770"/>
      <c r="X30" s="771"/>
      <c r="Y30" s="3179"/>
      <c r="Z30" s="55"/>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79"/>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79"/>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79"/>
      <c r="Q32" s="1812" t="str">
        <f t="shared" si="8"/>
        <v>毗邻道路的类型与等级</v>
      </c>
      <c r="R32" s="773" t="s">
        <v>17</v>
      </c>
      <c r="S32" s="774">
        <f t="shared" si="10"/>
        <v>100</v>
      </c>
      <c r="T32" s="773" t="s">
        <v>17</v>
      </c>
      <c r="U32" s="774">
        <f t="shared" si="11"/>
        <v>100</v>
      </c>
      <c r="V32" s="773" t="s">
        <v>17</v>
      </c>
      <c r="W32" s="774">
        <f t="shared" si="12"/>
        <v>100</v>
      </c>
      <c r="X32" s="1815"/>
      <c r="Y32" s="3179"/>
      <c r="Z32" s="1816" t="str">
        <f t="shared" si="13"/>
        <v>毗邻道路的类型与等级</v>
      </c>
      <c r="AA32" s="1813">
        <f t="shared" si="3"/>
        <v>1</v>
      </c>
      <c r="AB32" s="1813">
        <f t="shared" si="4"/>
        <v>1</v>
      </c>
      <c r="AC32" s="1813">
        <f t="shared" si="5"/>
        <v>1</v>
      </c>
    </row>
    <row r="33" spans="1:29" ht="15">
      <c r="A33" s="427"/>
      <c r="B33" s="455"/>
      <c r="C33" s="446"/>
      <c r="D33" s="447"/>
      <c r="E33" s="2617"/>
      <c r="F33" s="447"/>
      <c r="G33" s="2617"/>
      <c r="H33" s="447"/>
      <c r="I33" s="446"/>
      <c r="J33" s="447"/>
      <c r="K33" s="612"/>
      <c r="L33" s="1142"/>
      <c r="M33" s="1133"/>
      <c r="N33" s="1133"/>
      <c r="O33" s="1141"/>
      <c r="P33" s="3179"/>
      <c r="Q33" s="1812"/>
      <c r="R33" s="773"/>
      <c r="S33" s="774"/>
      <c r="T33" s="773"/>
      <c r="U33" s="774"/>
      <c r="V33" s="773"/>
      <c r="W33" s="774"/>
      <c r="X33" s="1815"/>
      <c r="Y33" s="3179"/>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79"/>
      <c r="Q34" s="1812" t="str">
        <f t="shared" si="8"/>
        <v>土地级别</v>
      </c>
      <c r="R34" s="773" t="s">
        <v>17</v>
      </c>
      <c r="S34" s="774">
        <f t="shared" si="10"/>
        <v>100</v>
      </c>
      <c r="T34" s="773" t="s">
        <v>17</v>
      </c>
      <c r="U34" s="774">
        <f t="shared" si="11"/>
        <v>100</v>
      </c>
      <c r="V34" s="773" t="s">
        <v>17</v>
      </c>
      <c r="W34" s="774">
        <f t="shared" si="12"/>
        <v>100</v>
      </c>
      <c r="X34" s="1815"/>
      <c r="Y34" s="3179"/>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79"/>
      <c r="Q35" s="1812">
        <f t="shared" si="8"/>
        <v>111</v>
      </c>
      <c r="R35" s="773" t="s">
        <v>17</v>
      </c>
      <c r="S35" s="774">
        <f t="shared" si="10"/>
        <v>100</v>
      </c>
      <c r="T35" s="773" t="s">
        <v>17</v>
      </c>
      <c r="U35" s="774">
        <f t="shared" si="11"/>
        <v>100</v>
      </c>
      <c r="V35" s="773" t="s">
        <v>17</v>
      </c>
      <c r="W35" s="774">
        <f t="shared" si="12"/>
        <v>100</v>
      </c>
      <c r="X35" s="1815"/>
      <c r="Y35" s="3179"/>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34" t="s">
        <v>2569</v>
      </c>
      <c r="Q36" s="1812">
        <f t="shared" si="8"/>
        <v>111</v>
      </c>
      <c r="R36" s="773" t="s">
        <v>17</v>
      </c>
      <c r="S36" s="774">
        <f t="shared" si="10"/>
        <v>100</v>
      </c>
      <c r="T36" s="773" t="s">
        <v>17</v>
      </c>
      <c r="U36" s="774">
        <f t="shared" si="11"/>
        <v>100</v>
      </c>
      <c r="V36" s="773" t="s">
        <v>17</v>
      </c>
      <c r="W36" s="774">
        <f t="shared" si="12"/>
        <v>100</v>
      </c>
      <c r="X36" s="1815"/>
      <c r="Y36" s="3183"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3"/>
      <c r="Q37" s="1812">
        <f t="shared" si="8"/>
        <v>111</v>
      </c>
      <c r="R37" s="776" t="s">
        <v>17</v>
      </c>
      <c r="S37" s="777">
        <f t="shared" si="10"/>
        <v>100</v>
      </c>
      <c r="T37" s="776" t="s">
        <v>17</v>
      </c>
      <c r="U37" s="777">
        <f t="shared" si="11"/>
        <v>100</v>
      </c>
      <c r="V37" s="776" t="s">
        <v>17</v>
      </c>
      <c r="W37" s="777">
        <f t="shared" si="12"/>
        <v>100</v>
      </c>
      <c r="X37" s="778"/>
      <c r="Y37" s="3183"/>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3"/>
      <c r="Q38" s="1812" t="str">
        <f>B38</f>
        <v>宗地面积</v>
      </c>
      <c r="R38" s="773" t="s">
        <v>17</v>
      </c>
      <c r="S38" s="774" t="e">
        <f t="shared" si="10"/>
        <v>#N/A</v>
      </c>
      <c r="T38" s="773" t="s">
        <v>17</v>
      </c>
      <c r="U38" s="774" t="e">
        <f t="shared" si="11"/>
        <v>#N/A</v>
      </c>
      <c r="V38" s="773" t="s">
        <v>17</v>
      </c>
      <c r="W38" s="774" t="e">
        <f t="shared" si="12"/>
        <v>#N/A</v>
      </c>
      <c r="X38" s="1815"/>
      <c r="Y38" s="3183"/>
      <c r="Z38" s="1816" t="str">
        <f t="shared" si="13"/>
        <v>宗地面积</v>
      </c>
      <c r="AA38" s="1813" t="e">
        <f t="shared" si="3"/>
        <v>#N/A</v>
      </c>
      <c r="AB38" s="1813" t="e">
        <f t="shared" si="4"/>
        <v>#N/A</v>
      </c>
      <c r="AC38" s="1813" t="e">
        <f t="shared" si="5"/>
        <v>#N/A</v>
      </c>
    </row>
    <row r="39" spans="1:29" ht="15">
      <c r="A39" s="471"/>
      <c r="B39" s="421" t="s">
        <v>2756</v>
      </c>
      <c r="C39" s="2619"/>
      <c r="D39" s="434">
        <v>100</v>
      </c>
      <c r="E39" s="2619"/>
      <c r="F39" s="434">
        <f>SUMIF(119:119,E39,120:120)-SUMIF(119:119,C39,120:120)+100</f>
        <v>100</v>
      </c>
      <c r="G39" s="2619"/>
      <c r="H39" s="434">
        <f>SUMIF(119:119,G39,120:120)-SUMIF(119:119,C39,120:120)+100</f>
        <v>100</v>
      </c>
      <c r="I39" s="2619"/>
      <c r="J39" s="434">
        <f>SUMIF(119:119,I39,120:120)-SUMIF(119:119,C39,120:120)+100</f>
        <v>100</v>
      </c>
      <c r="K39" s="611"/>
      <c r="L39" s="1142"/>
      <c r="M39" s="1133"/>
      <c r="N39" s="1133"/>
      <c r="O39" s="1141"/>
      <c r="P39" s="3183"/>
      <c r="Q39" s="1812" t="str">
        <f t="shared" ref="Q39:Q45" si="14">B39</f>
        <v>宗地形状</v>
      </c>
      <c r="R39" s="773" t="s">
        <v>17</v>
      </c>
      <c r="S39" s="774">
        <f t="shared" si="10"/>
        <v>100</v>
      </c>
      <c r="T39" s="773" t="s">
        <v>17</v>
      </c>
      <c r="U39" s="774">
        <f t="shared" si="11"/>
        <v>100</v>
      </c>
      <c r="V39" s="773" t="s">
        <v>17</v>
      </c>
      <c r="W39" s="774">
        <f t="shared" si="12"/>
        <v>100</v>
      </c>
      <c r="X39" s="1815"/>
      <c r="Y39" s="3183"/>
      <c r="Z39" s="1816" t="str">
        <f t="shared" si="13"/>
        <v>宗地形状</v>
      </c>
      <c r="AA39" s="1813">
        <f t="shared" si="3"/>
        <v>1</v>
      </c>
      <c r="AB39" s="1813">
        <f t="shared" si="4"/>
        <v>1</v>
      </c>
      <c r="AC39" s="1813">
        <f t="shared" si="5"/>
        <v>1</v>
      </c>
    </row>
    <row r="40" spans="1:29" ht="15">
      <c r="A40" s="471"/>
      <c r="B40" s="421" t="s">
        <v>2757</v>
      </c>
      <c r="C40" s="2619"/>
      <c r="D40" s="434">
        <v>100</v>
      </c>
      <c r="E40" s="2619"/>
      <c r="F40" s="434">
        <f>SUMIF(121:121,E40,122:122)-SUMIF(121:121,C40,122:122)+100</f>
        <v>100</v>
      </c>
      <c r="G40" s="2619"/>
      <c r="H40" s="434">
        <f>SUMIF(121:121,G40,122:122)-SUMIF(121:121,C40,122:122)+100</f>
        <v>100</v>
      </c>
      <c r="I40" s="2619"/>
      <c r="J40" s="434">
        <f>SUMIF(121:121,I40,122:122)-SUMIF(121:121,C40,122:122)+100</f>
        <v>100</v>
      </c>
      <c r="K40" s="611"/>
      <c r="L40" s="1142"/>
      <c r="M40" s="1133"/>
      <c r="N40" s="1133"/>
      <c r="O40" s="1141"/>
      <c r="P40" s="3183"/>
      <c r="Q40" s="1812" t="str">
        <f t="shared" si="14"/>
        <v>临街宽度及深度</v>
      </c>
      <c r="R40" s="773" t="s">
        <v>17</v>
      </c>
      <c r="S40" s="774">
        <f t="shared" si="10"/>
        <v>100</v>
      </c>
      <c r="T40" s="773" t="s">
        <v>17</v>
      </c>
      <c r="U40" s="774">
        <f t="shared" si="11"/>
        <v>100</v>
      </c>
      <c r="V40" s="773" t="s">
        <v>17</v>
      </c>
      <c r="W40" s="774">
        <f t="shared" si="12"/>
        <v>100</v>
      </c>
      <c r="X40" s="1815"/>
      <c r="Y40" s="3183"/>
      <c r="Z40" s="1816" t="str">
        <f t="shared" si="13"/>
        <v>临街宽度及深度</v>
      </c>
      <c r="AA40" s="1813">
        <f t="shared" si="3"/>
        <v>1</v>
      </c>
      <c r="AB40" s="1813">
        <f t="shared" si="4"/>
        <v>1</v>
      </c>
      <c r="AC40" s="1813">
        <f t="shared" si="5"/>
        <v>1</v>
      </c>
    </row>
    <row r="41" spans="1:29" s="117" customFormat="1" ht="15">
      <c r="A41" s="472"/>
      <c r="B41" s="421" t="s">
        <v>2758</v>
      </c>
      <c r="C41" s="2708"/>
      <c r="D41" s="135">
        <v>100</v>
      </c>
      <c r="E41" s="2708"/>
      <c r="F41" s="434">
        <f>SUMIF(123:123,E41,124:124)-SUMIF(123:123,C41,124:124)+100</f>
        <v>100</v>
      </c>
      <c r="G41" s="2708"/>
      <c r="H41" s="434">
        <f>SUMIF(123:123,G41,124:124)-SUMIF(123:123,C41,124:124)+100</f>
        <v>100</v>
      </c>
      <c r="I41" s="2708"/>
      <c r="J41" s="434">
        <f>SUMIF(123:123,I41,124:124)-SUMIF(123:123,C41,124:124)+100</f>
        <v>100</v>
      </c>
      <c r="K41" s="611"/>
      <c r="L41" s="1134"/>
      <c r="M41" s="1135"/>
      <c r="N41" s="1135"/>
      <c r="O41" s="1136"/>
      <c r="P41" s="3183"/>
      <c r="Q41" s="1812" t="str">
        <f t="shared" si="14"/>
        <v>宗地开发程度</v>
      </c>
      <c r="R41" s="769" t="s">
        <v>17</v>
      </c>
      <c r="S41" s="770">
        <f t="shared" si="10"/>
        <v>100</v>
      </c>
      <c r="T41" s="769" t="s">
        <v>17</v>
      </c>
      <c r="U41" s="770">
        <f t="shared" si="11"/>
        <v>100</v>
      </c>
      <c r="V41" s="769" t="s">
        <v>17</v>
      </c>
      <c r="W41" s="770">
        <f t="shared" si="12"/>
        <v>100</v>
      </c>
      <c r="X41" s="771"/>
      <c r="Y41" s="3183"/>
      <c r="Z41" s="55" t="str">
        <f t="shared" si="13"/>
        <v>宗地开发程度</v>
      </c>
      <c r="AA41" s="772">
        <f t="shared" si="3"/>
        <v>1</v>
      </c>
      <c r="AB41" s="772">
        <f t="shared" si="4"/>
        <v>1</v>
      </c>
      <c r="AC41" s="772">
        <f t="shared" si="5"/>
        <v>1</v>
      </c>
    </row>
    <row r="42" spans="1:29" ht="15">
      <c r="A42" s="471"/>
      <c r="B42" s="421" t="s">
        <v>2759</v>
      </c>
      <c r="C42" s="2619"/>
      <c r="D42" s="434">
        <v>100</v>
      </c>
      <c r="E42" s="2619"/>
      <c r="F42" s="434">
        <f>SUMIF(125:125,E42,126:126)-SUMIF(125:125,C42,126:126)+100</f>
        <v>100</v>
      </c>
      <c r="G42" s="2619"/>
      <c r="H42" s="434">
        <f>SUMIF(125:125,G42,126:126)-SUMIF(125:125,C42,126:126)+100</f>
        <v>100</v>
      </c>
      <c r="I42" s="2619"/>
      <c r="J42" s="434">
        <f>SUMIF(125:125,I42,126:126)-SUMIF(125:125,C42,126:126)+100</f>
        <v>100</v>
      </c>
      <c r="K42" s="611"/>
      <c r="L42" s="1142"/>
      <c r="M42" s="1133"/>
      <c r="N42" s="1133"/>
      <c r="O42" s="1141"/>
      <c r="P42" s="3183" t="s">
        <v>2569</v>
      </c>
      <c r="Q42" s="1812" t="str">
        <f t="shared" si="14"/>
        <v>工程地质条件</v>
      </c>
      <c r="R42" s="773" t="s">
        <v>17</v>
      </c>
      <c r="S42" s="774">
        <f t="shared" si="10"/>
        <v>100</v>
      </c>
      <c r="T42" s="773" t="s">
        <v>17</v>
      </c>
      <c r="U42" s="774">
        <f t="shared" si="11"/>
        <v>100</v>
      </c>
      <c r="V42" s="773" t="s">
        <v>17</v>
      </c>
      <c r="W42" s="774">
        <f t="shared" si="12"/>
        <v>100</v>
      </c>
      <c r="X42" s="1815"/>
      <c r="Y42" s="3183"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3"/>
      <c r="Q43" s="1812">
        <f t="shared" si="14"/>
        <v>111</v>
      </c>
      <c r="R43" s="773" t="s">
        <v>17</v>
      </c>
      <c r="S43" s="774">
        <f t="shared" si="10"/>
        <v>100</v>
      </c>
      <c r="T43" s="773" t="s">
        <v>17</v>
      </c>
      <c r="U43" s="774">
        <f t="shared" si="11"/>
        <v>100</v>
      </c>
      <c r="V43" s="773" t="s">
        <v>17</v>
      </c>
      <c r="W43" s="774">
        <f t="shared" si="12"/>
        <v>100</v>
      </c>
      <c r="X43" s="1815"/>
      <c r="Y43" s="3183"/>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3"/>
      <c r="Q44" s="1812">
        <f t="shared" si="14"/>
        <v>111</v>
      </c>
      <c r="R44" s="773" t="s">
        <v>17</v>
      </c>
      <c r="S44" s="774">
        <f t="shared" si="10"/>
        <v>100</v>
      </c>
      <c r="T44" s="773" t="s">
        <v>17</v>
      </c>
      <c r="U44" s="774">
        <f t="shared" si="11"/>
        <v>100</v>
      </c>
      <c r="V44" s="773" t="s">
        <v>17</v>
      </c>
      <c r="W44" s="774">
        <f t="shared" si="12"/>
        <v>100</v>
      </c>
      <c r="X44" s="1815"/>
      <c r="Y44" s="3183"/>
      <c r="Z44" s="1816">
        <f t="shared" si="13"/>
        <v>111</v>
      </c>
      <c r="AA44" s="1813">
        <f t="shared" si="3"/>
        <v>1</v>
      </c>
      <c r="AB44" s="1813">
        <f t="shared" si="4"/>
        <v>1</v>
      </c>
      <c r="AC44" s="1813">
        <f t="shared" si="5"/>
        <v>1</v>
      </c>
    </row>
    <row r="45" spans="1:29" s="470" customFormat="1" ht="15.75" thickBot="1">
      <c r="A45" s="467"/>
      <c r="B45" s="1389">
        <v>111</v>
      </c>
      <c r="C45" s="2709"/>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3"/>
      <c r="Q45" s="1812">
        <f t="shared" si="14"/>
        <v>111</v>
      </c>
      <c r="R45" s="776" t="s">
        <v>17</v>
      </c>
      <c r="S45" s="777">
        <f t="shared" si="10"/>
        <v>100</v>
      </c>
      <c r="T45" s="776" t="s">
        <v>17</v>
      </c>
      <c r="U45" s="777">
        <f t="shared" si="11"/>
        <v>100</v>
      </c>
      <c r="V45" s="776" t="s">
        <v>17</v>
      </c>
      <c r="W45" s="777">
        <f t="shared" si="12"/>
        <v>100</v>
      </c>
      <c r="X45" s="778"/>
      <c r="Y45" s="3183"/>
      <c r="Z45" s="779">
        <f t="shared" si="13"/>
        <v>111</v>
      </c>
      <c r="AA45" s="1813">
        <f t="shared" si="3"/>
        <v>1</v>
      </c>
      <c r="AB45" s="1813">
        <f t="shared" si="4"/>
        <v>1</v>
      </c>
      <c r="AC45" s="1813">
        <f t="shared" si="5"/>
        <v>1</v>
      </c>
    </row>
    <row r="46" spans="1:29" ht="15">
      <c r="A46" s="478" t="s">
        <v>2724</v>
      </c>
      <c r="B46" s="2710" t="s">
        <v>2760</v>
      </c>
      <c r="C46" s="681" t="s">
        <v>1</v>
      </c>
      <c r="D46" s="480"/>
      <c r="E46" s="481"/>
      <c r="F46" s="482"/>
      <c r="G46" s="483"/>
      <c r="H46" s="484"/>
      <c r="I46" s="481"/>
      <c r="J46" s="484"/>
      <c r="K46" s="782"/>
      <c r="L46" s="1145"/>
      <c r="M46" s="1146"/>
      <c r="N46" s="1133"/>
      <c r="O46" s="1146"/>
      <c r="P46" s="3176" t="str">
        <f>A46</f>
        <v>成交单价</v>
      </c>
      <c r="Q46" s="3176"/>
      <c r="R46" s="3207">
        <f>E46</f>
        <v>0</v>
      </c>
      <c r="S46" s="3207"/>
      <c r="T46" s="3207">
        <f>G46</f>
        <v>0</v>
      </c>
      <c r="U46" s="3207"/>
      <c r="V46" s="3207">
        <f>I46</f>
        <v>0</v>
      </c>
      <c r="W46" s="3207"/>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176" t="str">
        <f>A47</f>
        <v>比较价值（元/平方米）</v>
      </c>
      <c r="Q47" s="3176"/>
      <c r="R47" s="3235" t="e">
        <f>ROUND(PRODUCT(R46,AA7:AA45),0)</f>
        <v>#DIV/0!</v>
      </c>
      <c r="S47" s="3235"/>
      <c r="T47" s="3235" t="e">
        <f>ROUND(PRODUCT(T46,AB7:AB45),0)</f>
        <v>#DIV/0!</v>
      </c>
      <c r="U47" s="3235"/>
      <c r="V47" s="3235" t="e">
        <f>ROUND(PRODUCT(V46,AC7:AC45),0)</f>
        <v>#DIV/0!</v>
      </c>
      <c r="W47" s="3235"/>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173" t="str">
        <f>A48</f>
        <v>估价对象XX用房的比较价值（楼面单价，元/平方米）</v>
      </c>
      <c r="Q48" s="3174"/>
      <c r="R48" s="3236" t="e">
        <f>ROUND(AVERAGE(R47:V47),0)</f>
        <v>#DIV/0!</v>
      </c>
      <c r="S48" s="3236"/>
      <c r="T48" s="3236"/>
      <c r="U48" s="3236"/>
      <c r="V48" s="3236"/>
      <c r="W48" s="323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11" t="s">
        <v>2764</v>
      </c>
      <c r="D55" s="2712" t="s">
        <v>2765</v>
      </c>
      <c r="E55" s="685" t="s">
        <v>2766</v>
      </c>
      <c r="F55" s="1109" t="s">
        <v>2767</v>
      </c>
      <c r="G55" s="3191" t="s">
        <v>2768</v>
      </c>
      <c r="H55" s="3237"/>
      <c r="I55" s="143" t="s">
        <v>2769</v>
      </c>
      <c r="J55" s="2713">
        <f>项目基本情况!F35</f>
        <v>0</v>
      </c>
      <c r="K55" s="2714" t="s">
        <v>2770</v>
      </c>
      <c r="L55" s="1108"/>
      <c r="M55" s="1146"/>
      <c r="N55" s="1146"/>
      <c r="O55" s="1146"/>
    </row>
    <row r="56" spans="1:15" s="691" customFormat="1">
      <c r="A56" s="687" t="s">
        <v>2771</v>
      </c>
      <c r="B56" s="688" t="e">
        <f>C48</f>
        <v>#DIV/0!</v>
      </c>
      <c r="C56" s="689">
        <v>1</v>
      </c>
      <c r="D56" s="1165">
        <v>1</v>
      </c>
      <c r="E56" s="689">
        <f>'数据-汇总表'!E8+'数据-汇总表'!E9</f>
        <v>589.49</v>
      </c>
      <c r="F56" s="1105" t="e">
        <f t="shared" ref="F56:F65" si="15">ROUND(B56*E56/10000,0)</f>
        <v>#DIV/0!</v>
      </c>
      <c r="G56" s="3187"/>
      <c r="H56" s="3176"/>
      <c r="I56" s="1110">
        <v>1</v>
      </c>
      <c r="J56" s="1113">
        <v>1</v>
      </c>
      <c r="K56" s="1147"/>
      <c r="L56" s="943"/>
      <c r="M56" s="943"/>
      <c r="N56" s="943"/>
      <c r="O56" s="943"/>
    </row>
    <row r="57" spans="1:15" s="691" customFormat="1">
      <c r="A57" s="692" t="s">
        <v>2772</v>
      </c>
      <c r="B57" s="261" t="e">
        <f>ROUND($C$48*C57*D57,0)</f>
        <v>#DIV/0!</v>
      </c>
      <c r="C57" s="199">
        <f t="shared" ref="C57:C65" si="16">IF($C$55="北京市系数",I57,J57)</f>
        <v>0.7</v>
      </c>
      <c r="D57" s="1166">
        <v>0.25</v>
      </c>
      <c r="E57" s="693"/>
      <c r="F57" s="1105" t="e">
        <f t="shared" si="15"/>
        <v>#DIV/0!</v>
      </c>
      <c r="G57" s="3238" t="s">
        <v>2773</v>
      </c>
      <c r="H57" s="1106" t="str">
        <f>项目基本情况!B37</f>
        <v>六级</v>
      </c>
      <c r="I57" s="1110">
        <f>SUMIF(修正!A45:A56,H57,修正!B45:B56)</f>
        <v>0.7</v>
      </c>
      <c r="J57" s="1114"/>
      <c r="K57" s="1146"/>
      <c r="L57" s="943"/>
      <c r="M57" s="943"/>
      <c r="N57" s="943"/>
      <c r="O57" s="943"/>
    </row>
    <row r="58" spans="1:15" s="691" customFormat="1">
      <c r="A58" s="692" t="s">
        <v>2774</v>
      </c>
      <c r="B58" s="261" t="e">
        <f t="shared" ref="B58:B65" si="17">ROUND($C$48*C58*D58,0)</f>
        <v>#DIV/0!</v>
      </c>
      <c r="C58" s="199">
        <f t="shared" si="16"/>
        <v>0.4</v>
      </c>
      <c r="D58" s="1166">
        <v>0.25</v>
      </c>
      <c r="E58" s="693"/>
      <c r="F58" s="1105" t="e">
        <f t="shared" si="15"/>
        <v>#DIV/0!</v>
      </c>
      <c r="G58" s="3238"/>
      <c r="H58" s="1106" t="str">
        <f>项目基本情况!B37</f>
        <v>六级</v>
      </c>
      <c r="I58" s="1110">
        <f>SUMIF(修正!A45:A56,H58,修正!C45:C56)</f>
        <v>0.4</v>
      </c>
      <c r="J58" s="1114"/>
      <c r="K58" s="1147"/>
      <c r="L58" s="943"/>
      <c r="M58" s="943"/>
      <c r="N58" s="943"/>
      <c r="O58" s="943"/>
    </row>
    <row r="59" spans="1:15" s="691" customFormat="1">
      <c r="A59" s="692" t="s">
        <v>2775</v>
      </c>
      <c r="B59" s="261" t="e">
        <f t="shared" si="17"/>
        <v>#DIV/0!</v>
      </c>
      <c r="C59" s="199">
        <f t="shared" si="16"/>
        <v>0.28000000000000003</v>
      </c>
      <c r="D59" s="1166">
        <v>0.25</v>
      </c>
      <c r="E59" s="693"/>
      <c r="F59" s="1105" t="e">
        <f t="shared" si="15"/>
        <v>#DIV/0!</v>
      </c>
      <c r="G59" s="3238"/>
      <c r="H59" s="1106" t="str">
        <f>项目基本情况!B37</f>
        <v>六级</v>
      </c>
      <c r="I59" s="1110">
        <f>SUMIF(修正!A45:A56,H59,修正!D45:D56)</f>
        <v>0.28000000000000003</v>
      </c>
      <c r="J59" s="1114"/>
      <c r="K59" s="1146"/>
      <c r="L59" s="943"/>
      <c r="M59" s="943"/>
      <c r="N59" s="943"/>
      <c r="O59" s="943"/>
    </row>
    <row r="60" spans="1:15" s="691" customFormat="1">
      <c r="A60" s="692" t="s">
        <v>2776</v>
      </c>
      <c r="B60" s="261" t="e">
        <f t="shared" si="17"/>
        <v>#DIV/0!</v>
      </c>
      <c r="C60" s="199">
        <f t="shared" si="16"/>
        <v>0.25</v>
      </c>
      <c r="D60" s="1166">
        <v>0.25</v>
      </c>
      <c r="E60" s="693"/>
      <c r="F60" s="1105" t="e">
        <f t="shared" si="15"/>
        <v>#DIV/0!</v>
      </c>
      <c r="G60" s="3238"/>
      <c r="H60" s="1106" t="str">
        <f>项目基本情况!B37</f>
        <v>六级</v>
      </c>
      <c r="I60" s="1110">
        <f>SUMIF(修正!A45:A56,H60,修正!E45:E56)</f>
        <v>0.25</v>
      </c>
      <c r="J60" s="1114"/>
      <c r="K60" s="1147"/>
      <c r="L60" s="943"/>
      <c r="M60" s="943"/>
      <c r="N60" s="943"/>
      <c r="O60" s="943"/>
    </row>
    <row r="61" spans="1:15" s="691" customFormat="1">
      <c r="A61" s="692" t="s">
        <v>2777</v>
      </c>
      <c r="B61" s="261" t="e">
        <f t="shared" si="17"/>
        <v>#DIV/0!</v>
      </c>
      <c r="C61" s="199">
        <f t="shared" si="16"/>
        <v>0.25</v>
      </c>
      <c r="D61" s="1166">
        <v>0.25</v>
      </c>
      <c r="E61" s="260">
        <f>'数据-汇总表'!E11</f>
        <v>0</v>
      </c>
      <c r="F61" s="1105" t="e">
        <f t="shared" si="15"/>
        <v>#DIV/0!</v>
      </c>
      <c r="G61" s="2715" t="s">
        <v>2778</v>
      </c>
      <c r="H61" s="1106" t="str">
        <f>项目基本情况!C37</f>
        <v>六级</v>
      </c>
      <c r="I61" s="1110">
        <f>SUMIF(修正!A45:A56,H61,修正!F45:F56)</f>
        <v>0.25</v>
      </c>
      <c r="J61" s="1114"/>
      <c r="K61" s="1146"/>
      <c r="L61" s="943"/>
      <c r="M61" s="943"/>
      <c r="N61" s="943"/>
      <c r="O61" s="943"/>
    </row>
    <row r="62" spans="1:15" s="691" customFormat="1">
      <c r="A62" s="692" t="s">
        <v>2779</v>
      </c>
      <c r="B62" s="261" t="e">
        <f t="shared" si="17"/>
        <v>#DIV/0!</v>
      </c>
      <c r="C62" s="199">
        <f t="shared" si="16"/>
        <v>0.25</v>
      </c>
      <c r="D62" s="1166">
        <v>0.25</v>
      </c>
      <c r="E62" s="260">
        <f>'数据-汇总表'!E12</f>
        <v>0</v>
      </c>
      <c r="F62" s="1105" t="e">
        <f t="shared" si="15"/>
        <v>#DIV/0!</v>
      </c>
      <c r="G62" s="1111" t="s">
        <v>2780</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0.2</v>
      </c>
      <c r="D64" s="1166">
        <v>0.25</v>
      </c>
      <c r="E64" s="260">
        <f>'数据-汇总表'!E14</f>
        <v>0</v>
      </c>
      <c r="F64" s="1105" t="e">
        <f t="shared" si="15"/>
        <v>#DIV/0!</v>
      </c>
      <c r="G64" s="2715" t="s">
        <v>2773</v>
      </c>
      <c r="H64" s="1106" t="str">
        <f>项目基本情况!B37</f>
        <v>六级</v>
      </c>
      <c r="I64" s="1110">
        <f>SUMIF(修正!A45:A56,H64,修正!H45:H56)</f>
        <v>0.2</v>
      </c>
      <c r="J64" s="1114"/>
      <c r="K64" s="1147"/>
      <c r="L64" s="943"/>
      <c r="M64" s="943"/>
      <c r="N64" s="943"/>
      <c r="O64" s="943"/>
    </row>
    <row r="65" spans="1:17" s="691" customFormat="1" ht="15" thickBot="1">
      <c r="A65" s="692" t="s">
        <v>2784</v>
      </c>
      <c r="B65" s="261" t="e">
        <f t="shared" si="17"/>
        <v>#DIV/0!</v>
      </c>
      <c r="C65" s="199">
        <f t="shared" si="16"/>
        <v>0.2</v>
      </c>
      <c r="D65" s="1166">
        <v>0.25</v>
      </c>
      <c r="E65" s="260">
        <f>'数据-汇总表'!E15</f>
        <v>0</v>
      </c>
      <c r="F65" s="1105" t="e">
        <f t="shared" si="15"/>
        <v>#DIV/0!</v>
      </c>
      <c r="G65" s="2716" t="s">
        <v>2778</v>
      </c>
      <c r="H65" s="1116" t="str">
        <f>项目基本情况!C37</f>
        <v>六级</v>
      </c>
      <c r="I65" s="1112">
        <f>SUMIF(修正!A45:A56,H65,修正!H45:H56)</f>
        <v>0.2</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589.49</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2018-9-1</v>
      </c>
      <c r="D68" s="760">
        <f>EDATE(C68,-3)</f>
        <v>43252</v>
      </c>
      <c r="E68" s="760">
        <f>EDATE(D68,-3)</f>
        <v>43160</v>
      </c>
      <c r="F68" s="760">
        <f t="shared" ref="F68:O68" si="18">EDATE(E68,-3)</f>
        <v>43070</v>
      </c>
      <c r="G68" s="760">
        <f t="shared" si="18"/>
        <v>42979</v>
      </c>
      <c r="H68" s="760">
        <f t="shared" si="18"/>
        <v>42887</v>
      </c>
      <c r="I68" s="760">
        <f t="shared" si="18"/>
        <v>42795</v>
      </c>
      <c r="J68" s="760">
        <f t="shared" si="18"/>
        <v>42705</v>
      </c>
      <c r="K68" s="760">
        <f t="shared" si="18"/>
        <v>42614</v>
      </c>
      <c r="L68" s="760">
        <f t="shared" si="18"/>
        <v>42522</v>
      </c>
      <c r="M68" s="760">
        <f t="shared" si="18"/>
        <v>42430</v>
      </c>
      <c r="N68" s="760">
        <f t="shared" si="18"/>
        <v>42339</v>
      </c>
      <c r="O68" s="760">
        <f t="shared" si="18"/>
        <v>42248</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7" t="s">
        <v>2786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7" customFormat="1" ht="30" customHeight="1">
      <c r="A71" s="2718" t="s">
        <v>2787</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9"/>
      <c r="N71" s="594"/>
      <c r="O71" s="1570"/>
      <c r="P71" s="503"/>
    </row>
    <row r="72" spans="1:17" s="117" customFormat="1" ht="15.75" thickBot="1">
      <c r="A72" s="514" t="s">
        <v>2589</v>
      </c>
      <c r="B72" s="515"/>
      <c r="C72" s="516"/>
      <c r="D72" s="517"/>
      <c r="E72" s="517"/>
      <c r="F72" s="517"/>
      <c r="G72" s="517"/>
      <c r="H72" s="517"/>
      <c r="I72" s="517"/>
      <c r="J72" s="517"/>
      <c r="K72" s="517"/>
      <c r="L72" s="517"/>
      <c r="M72" s="518"/>
      <c r="N72" s="517"/>
      <c r="O72" s="1164"/>
      <c r="P72" s="503"/>
      <c r="Q72" s="503"/>
    </row>
    <row r="73" spans="1:17" s="117" customFormat="1" ht="15">
      <c r="A73" s="520" t="s">
        <v>2554</v>
      </c>
      <c r="B73" s="509"/>
      <c r="C73" s="521" t="s">
        <v>2656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191" t="s">
        <v>2650</v>
      </c>
      <c r="D4" s="3192"/>
      <c r="E4" s="3193" t="s">
        <v>2651</v>
      </c>
      <c r="F4" s="3194"/>
      <c r="G4" s="3191" t="s">
        <v>2652</v>
      </c>
      <c r="H4" s="3192"/>
      <c r="I4" s="3191" t="s">
        <v>2653</v>
      </c>
      <c r="J4" s="3192"/>
      <c r="K4" s="609" t="s">
        <v>2654</v>
      </c>
      <c r="L4" s="1132"/>
      <c r="M4" s="1133"/>
      <c r="N4" s="1133"/>
      <c r="O4" s="1133"/>
      <c r="P4" s="3195" t="s">
        <v>2655</v>
      </c>
      <c r="Q4" s="3196"/>
      <c r="R4" s="3201" t="s">
        <v>2651</v>
      </c>
      <c r="S4" s="3202"/>
      <c r="T4" s="3201" t="s">
        <v>2652</v>
      </c>
      <c r="U4" s="3202"/>
      <c r="V4" s="3207" t="s">
        <v>2653</v>
      </c>
      <c r="W4" s="3207"/>
      <c r="X4" s="1815"/>
      <c r="Y4" s="3201" t="s">
        <v>2655</v>
      </c>
      <c r="Z4" s="3202"/>
      <c r="AA4" s="3188" t="s">
        <v>2651</v>
      </c>
      <c r="AB4" s="3189" t="s">
        <v>2652</v>
      </c>
      <c r="AC4" s="3188" t="s">
        <v>2653</v>
      </c>
    </row>
    <row r="5" spans="1:29" ht="15">
      <c r="A5" s="403"/>
      <c r="B5" s="404"/>
      <c r="C5" s="3210" t="s">
        <v>2546</v>
      </c>
      <c r="D5" s="3211"/>
      <c r="E5" s="3217" t="s">
        <v>2547</v>
      </c>
      <c r="F5" s="3218"/>
      <c r="G5" s="3210" t="s">
        <v>2548</v>
      </c>
      <c r="H5" s="3211"/>
      <c r="I5" s="3210" t="s">
        <v>2549</v>
      </c>
      <c r="J5" s="3211"/>
      <c r="K5" s="609"/>
      <c r="L5" s="1132"/>
      <c r="M5" s="1133"/>
      <c r="N5" s="1133"/>
      <c r="O5" s="1133"/>
      <c r="P5" s="3197"/>
      <c r="Q5" s="3198"/>
      <c r="R5" s="3203"/>
      <c r="S5" s="3204"/>
      <c r="T5" s="3203"/>
      <c r="U5" s="3204"/>
      <c r="V5" s="3207"/>
      <c r="W5" s="3207"/>
      <c r="X5" s="1815"/>
      <c r="Y5" s="3203"/>
      <c r="Z5" s="3204"/>
      <c r="AA5" s="3189"/>
      <c r="AB5" s="3189"/>
      <c r="AC5" s="3189"/>
    </row>
    <row r="6" spans="1:29" ht="15.75" thickBot="1">
      <c r="A6" s="405"/>
      <c r="B6" s="406"/>
      <c r="C6" s="3239" t="s">
        <v>2801</v>
      </c>
      <c r="D6" s="3240"/>
      <c r="E6" s="3241" t="s">
        <v>2801</v>
      </c>
      <c r="F6" s="3242"/>
      <c r="G6" s="3239" t="s">
        <v>2801</v>
      </c>
      <c r="H6" s="3240"/>
      <c r="I6" s="3239" t="s">
        <v>2801</v>
      </c>
      <c r="J6" s="3240"/>
      <c r="K6" s="609" t="s">
        <v>2551</v>
      </c>
      <c r="L6" s="1132"/>
      <c r="M6" s="1133"/>
      <c r="N6" s="1133"/>
      <c r="O6" s="1133"/>
      <c r="P6" s="3199"/>
      <c r="Q6" s="3200"/>
      <c r="R6" s="3203"/>
      <c r="S6" s="3204"/>
      <c r="T6" s="3205"/>
      <c r="U6" s="3206"/>
      <c r="V6" s="3207"/>
      <c r="W6" s="3207"/>
      <c r="X6" s="1815"/>
      <c r="Y6" s="3205"/>
      <c r="Z6" s="3206"/>
      <c r="AA6" s="3190"/>
      <c r="AB6" s="3190"/>
      <c r="AC6" s="3190"/>
    </row>
    <row r="7" spans="1:29" s="117" customFormat="1" ht="15.75" thickBot="1">
      <c r="A7" s="407" t="s">
        <v>2552</v>
      </c>
      <c r="B7" s="408"/>
      <c r="C7" s="409">
        <f>'数据-取费表'!B2</f>
        <v>43355</v>
      </c>
      <c r="D7" s="410">
        <v>100</v>
      </c>
      <c r="E7" s="411"/>
      <c r="F7" s="412">
        <f>SUMIF(65:65,YEAR(E7)&amp;"-"&amp;INT((MONTH(E7)+2)/3),66:66)</f>
        <v>0</v>
      </c>
      <c r="G7" s="2702"/>
      <c r="H7" s="410">
        <f>SUMIF(65:65,YEAR(G7)&amp;"-"&amp;INT((MONTH(G7)+2)/3),66:66)</f>
        <v>0</v>
      </c>
      <c r="I7" s="2702"/>
      <c r="J7" s="410">
        <f>SUMIF(65:65,YEAR(I7)&amp;"-"&amp;INT((MONTH(I7)+2)/3),66:66)</f>
        <v>0</v>
      </c>
      <c r="K7" s="610"/>
      <c r="L7" s="1134"/>
      <c r="M7" s="1135"/>
      <c r="N7" s="1135"/>
      <c r="O7" s="1135"/>
      <c r="P7" s="3212" t="s">
        <v>2553</v>
      </c>
      <c r="Q7" s="3214"/>
      <c r="R7" s="769" t="s">
        <v>17</v>
      </c>
      <c r="S7" s="770">
        <f t="shared" ref="S7:S15" si="0">F7</f>
        <v>0</v>
      </c>
      <c r="T7" s="769" t="s">
        <v>17</v>
      </c>
      <c r="U7" s="770">
        <f t="shared" ref="U7:U15" si="1">H7</f>
        <v>0</v>
      </c>
      <c r="V7" s="769" t="s">
        <v>17</v>
      </c>
      <c r="W7" s="770">
        <f t="shared" ref="W7:W15" si="2">J7</f>
        <v>0</v>
      </c>
      <c r="X7" s="771"/>
      <c r="Y7" s="3212" t="s">
        <v>2553</v>
      </c>
      <c r="Z7" s="3213"/>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12" t="s">
        <v>2556</v>
      </c>
      <c r="Q8" s="3213"/>
      <c r="R8" s="769" t="s">
        <v>17</v>
      </c>
      <c r="S8" s="770">
        <f t="shared" si="0"/>
        <v>0</v>
      </c>
      <c r="T8" s="769" t="s">
        <v>17</v>
      </c>
      <c r="U8" s="770">
        <f t="shared" si="1"/>
        <v>0</v>
      </c>
      <c r="V8" s="769" t="s">
        <v>17</v>
      </c>
      <c r="W8" s="770">
        <f t="shared" si="2"/>
        <v>0</v>
      </c>
      <c r="X8" s="771"/>
      <c r="Y8" s="3212" t="s">
        <v>2556</v>
      </c>
      <c r="Z8" s="3213"/>
      <c r="AA8" s="772" t="e">
        <f t="shared" ref="AA8:AA40" si="3">D8/F8</f>
        <v>#DIV/0!</v>
      </c>
      <c r="AB8" s="772" t="e">
        <f t="shared" ref="AB8:AB40" si="4">D8/H8</f>
        <v>#DIV/0!</v>
      </c>
      <c r="AC8" s="772" t="e">
        <f t="shared" ref="AC8:AC40" si="5">D8/J8</f>
        <v>#DIV/0!</v>
      </c>
    </row>
    <row r="9" spans="1:29" s="117" customFormat="1">
      <c r="A9" s="414" t="s">
        <v>2557</v>
      </c>
      <c r="B9" s="71" t="s">
        <v>2558</v>
      </c>
      <c r="C9" s="2705"/>
      <c r="D9" s="134">
        <v>100</v>
      </c>
      <c r="E9" s="2705"/>
      <c r="F9" s="134">
        <f>SUMIF(70:70,E9,71:71)-SUMIF(70:70,C9,71:71)+100</f>
        <v>100</v>
      </c>
      <c r="G9" s="2705"/>
      <c r="H9" s="134">
        <f>SUMIF(70:70,G9,71:71)-SUMIF(70:70,C9,71:71)+100</f>
        <v>100</v>
      </c>
      <c r="I9" s="2705"/>
      <c r="J9" s="134">
        <f>SUMIF(70:70,I9,71:71)-SUMIF(70:70,C9,71:71)+100</f>
        <v>100</v>
      </c>
      <c r="K9" s="610"/>
      <c r="L9" s="1134"/>
      <c r="M9" s="1135"/>
      <c r="N9" s="1135"/>
      <c r="O9" s="1136"/>
      <c r="P9" s="3176" t="s">
        <v>2559</v>
      </c>
      <c r="Q9" s="1797" t="str">
        <f t="shared" ref="Q9:Q15" si="6">B9</f>
        <v>用途</v>
      </c>
      <c r="R9" s="769" t="s">
        <v>17</v>
      </c>
      <c r="S9" s="770">
        <f t="shared" si="0"/>
        <v>100</v>
      </c>
      <c r="T9" s="769" t="s">
        <v>17</v>
      </c>
      <c r="U9" s="770">
        <f t="shared" si="1"/>
        <v>100</v>
      </c>
      <c r="V9" s="769" t="s">
        <v>17</v>
      </c>
      <c r="W9" s="770">
        <f t="shared" si="2"/>
        <v>100</v>
      </c>
      <c r="X9" s="771"/>
      <c r="Y9" s="3001"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176"/>
      <c r="Q10" s="1797" t="str">
        <f t="shared" si="6"/>
        <v>土地使用年限（年）</v>
      </c>
      <c r="R10" s="769" t="s">
        <v>17</v>
      </c>
      <c r="S10" s="770">
        <f t="shared" si="0"/>
        <v>106</v>
      </c>
      <c r="T10" s="769" t="s">
        <v>17</v>
      </c>
      <c r="U10" s="770">
        <f t="shared" si="1"/>
        <v>106</v>
      </c>
      <c r="V10" s="769" t="s">
        <v>17</v>
      </c>
      <c r="W10" s="770">
        <f t="shared" si="2"/>
        <v>106</v>
      </c>
      <c r="X10" s="771"/>
      <c r="Y10" s="3001"/>
      <c r="Z10" s="55" t="str">
        <f t="shared" si="7"/>
        <v>土地使用年限（年）</v>
      </c>
      <c r="AA10" s="772">
        <f t="shared" si="3"/>
        <v>0.94339622641509435</v>
      </c>
      <c r="AB10" s="772">
        <f t="shared" si="4"/>
        <v>0.94339622641509435</v>
      </c>
      <c r="AC10" s="772">
        <f t="shared" si="5"/>
        <v>0.94339622641509435</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6"/>
      <c r="Q11" s="1797" t="str">
        <f t="shared" si="6"/>
        <v>容积率</v>
      </c>
      <c r="R11" s="769" t="s">
        <v>17</v>
      </c>
      <c r="S11" s="770" t="e">
        <f t="shared" si="0"/>
        <v>#N/A</v>
      </c>
      <c r="T11" s="769" t="s">
        <v>17</v>
      </c>
      <c r="U11" s="770" t="e">
        <f t="shared" si="1"/>
        <v>#N/A</v>
      </c>
      <c r="V11" s="769" t="s">
        <v>17</v>
      </c>
      <c r="W11" s="770" t="e">
        <f t="shared" si="2"/>
        <v>#N/A</v>
      </c>
      <c r="X11" s="771"/>
      <c r="Y11" s="3001"/>
      <c r="Z11" s="55" t="str">
        <f t="shared" si="7"/>
        <v>容积率</v>
      </c>
      <c r="AA11" s="772" t="e">
        <f t="shared" si="3"/>
        <v>#N/A</v>
      </c>
      <c r="AB11" s="772" t="e">
        <f t="shared" si="4"/>
        <v>#N/A</v>
      </c>
      <c r="AC11" s="772" t="e">
        <f t="shared" si="5"/>
        <v>#N/A</v>
      </c>
    </row>
    <row r="12" spans="1:29" s="117" customFormat="1" ht="15">
      <c r="A12" s="430"/>
      <c r="B12" s="2606">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6"/>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772">
        <f>D12/J12</f>
        <v>1</v>
      </c>
    </row>
    <row r="13" spans="1:29" ht="15">
      <c r="A13" s="427"/>
      <c r="B13" s="2606">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772">
        <f t="shared" si="5"/>
        <v>1</v>
      </c>
    </row>
    <row r="14" spans="1:29" ht="15.75" thickBot="1">
      <c r="A14" s="435"/>
      <c r="B14" s="2608">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6"/>
      <c r="Q14" s="1797">
        <f t="shared" si="6"/>
        <v>111</v>
      </c>
      <c r="R14" s="769" t="s">
        <v>17</v>
      </c>
      <c r="S14" s="770">
        <f t="shared" si="0"/>
        <v>100</v>
      </c>
      <c r="T14" s="769" t="s">
        <v>17</v>
      </c>
      <c r="U14" s="770">
        <f t="shared" si="1"/>
        <v>100</v>
      </c>
      <c r="V14" s="769" t="s">
        <v>17</v>
      </c>
      <c r="W14" s="770">
        <f t="shared" si="2"/>
        <v>100</v>
      </c>
      <c r="X14" s="771"/>
      <c r="Y14" s="3001"/>
      <c r="Z14" s="55">
        <f t="shared" si="7"/>
        <v>111</v>
      </c>
      <c r="AA14" s="772">
        <f t="shared" si="3"/>
        <v>1</v>
      </c>
      <c r="AB14" s="772">
        <f t="shared" si="4"/>
        <v>1</v>
      </c>
      <c r="AC14" s="772">
        <f t="shared" si="5"/>
        <v>1</v>
      </c>
    </row>
    <row r="15" spans="1:29" ht="57">
      <c r="A15" s="439" t="s">
        <v>2563</v>
      </c>
      <c r="B15" s="628" t="s">
        <v>2802</v>
      </c>
      <c r="C15" s="269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78" t="s">
        <v>2564</v>
      </c>
      <c r="Q15" s="1812" t="str">
        <f t="shared" si="6"/>
        <v>产业集聚程度</v>
      </c>
      <c r="R15" s="773" t="s">
        <v>17</v>
      </c>
      <c r="S15" s="774">
        <f t="shared" si="0"/>
        <v>100</v>
      </c>
      <c r="T15" s="773" t="s">
        <v>17</v>
      </c>
      <c r="U15" s="774">
        <f t="shared" si="1"/>
        <v>100</v>
      </c>
      <c r="V15" s="773" t="s">
        <v>17</v>
      </c>
      <c r="W15" s="774">
        <f t="shared" si="2"/>
        <v>100</v>
      </c>
      <c r="X15" s="1815"/>
      <c r="Y15" s="3178" t="s">
        <v>2564</v>
      </c>
      <c r="Z15" s="1816" t="str">
        <f t="shared" si="7"/>
        <v>产业集聚程度</v>
      </c>
      <c r="AA15" s="1813">
        <f t="shared" si="3"/>
        <v>1</v>
      </c>
      <c r="AB15" s="1813">
        <f t="shared" si="4"/>
        <v>1</v>
      </c>
      <c r="AC15" s="1813">
        <f t="shared" si="5"/>
        <v>1</v>
      </c>
    </row>
    <row r="16" spans="1:29" ht="15">
      <c r="A16" s="427"/>
      <c r="B16" s="629"/>
      <c r="C16" s="446"/>
      <c r="D16" s="447"/>
      <c r="E16" s="2617"/>
      <c r="F16" s="447"/>
      <c r="G16" s="2617"/>
      <c r="H16" s="449"/>
      <c r="I16" s="2617"/>
      <c r="J16" s="447"/>
      <c r="K16" s="671"/>
      <c r="L16" s="1142"/>
      <c r="M16" s="1133"/>
      <c r="N16" s="1133"/>
      <c r="O16" s="1141"/>
      <c r="P16" s="3179"/>
      <c r="Q16" s="1812"/>
      <c r="R16" s="773"/>
      <c r="S16" s="774"/>
      <c r="T16" s="773"/>
      <c r="U16" s="774"/>
      <c r="V16" s="773"/>
      <c r="W16" s="774"/>
      <c r="X16" s="1815"/>
      <c r="Y16" s="3179"/>
      <c r="Z16" s="1816"/>
      <c r="AA16" s="1813">
        <v>1</v>
      </c>
      <c r="AB16" s="1813">
        <v>1</v>
      </c>
      <c r="AC16" s="1813">
        <v>1</v>
      </c>
    </row>
    <row r="17" spans="1:29" ht="85.5">
      <c r="A17" s="427"/>
      <c r="B17" s="630" t="s">
        <v>2713</v>
      </c>
      <c r="C17" s="261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79"/>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7"/>
      <c r="B18" s="631"/>
      <c r="C18" s="446"/>
      <c r="D18" s="447"/>
      <c r="E18" s="2611"/>
      <c r="F18" s="447"/>
      <c r="G18" s="2611"/>
      <c r="H18" s="447"/>
      <c r="I18" s="2610"/>
      <c r="J18" s="447"/>
      <c r="K18" s="671"/>
      <c r="L18" s="1142"/>
      <c r="M18" s="1133"/>
      <c r="N18" s="1133"/>
      <c r="O18" s="1141"/>
      <c r="P18" s="3179"/>
      <c r="Q18" s="1812"/>
      <c r="R18" s="773"/>
      <c r="S18" s="774"/>
      <c r="T18" s="773"/>
      <c r="U18" s="774"/>
      <c r="V18" s="773"/>
      <c r="W18" s="774"/>
      <c r="X18" s="1815"/>
      <c r="Y18" s="3179"/>
      <c r="Z18" s="1816"/>
      <c r="AA18" s="1813">
        <v>1</v>
      </c>
      <c r="AB18" s="1813">
        <v>1</v>
      </c>
      <c r="AC18" s="1813">
        <v>1</v>
      </c>
    </row>
    <row r="19" spans="1:29" ht="15">
      <c r="A19" s="427"/>
      <c r="B19" s="630" t="s">
        <v>2752</v>
      </c>
      <c r="C19" s="261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79"/>
      <c r="Q19" s="1812" t="str">
        <f t="shared" ref="Q19:Q33" si="8">B19</f>
        <v>区域土地利用方向</v>
      </c>
      <c r="R19" s="773" t="s">
        <v>17</v>
      </c>
      <c r="S19" s="774">
        <f>F19</f>
        <v>100</v>
      </c>
      <c r="T19" s="773" t="s">
        <v>17</v>
      </c>
      <c r="U19" s="774">
        <f>H19</f>
        <v>100</v>
      </c>
      <c r="V19" s="773" t="s">
        <v>17</v>
      </c>
      <c r="W19" s="774">
        <f>J19</f>
        <v>100</v>
      </c>
      <c r="X19" s="1815"/>
      <c r="Y19" s="3179"/>
      <c r="Z19" s="1816" t="str">
        <f>Q19</f>
        <v>区域土地利用方向</v>
      </c>
      <c r="AA19" s="1813">
        <f t="shared" si="3"/>
        <v>1</v>
      </c>
      <c r="AB19" s="1813">
        <f t="shared" si="4"/>
        <v>1</v>
      </c>
      <c r="AC19" s="1813">
        <f t="shared" si="5"/>
        <v>1</v>
      </c>
    </row>
    <row r="20" spans="1:29" ht="15">
      <c r="A20" s="403"/>
      <c r="B20" s="631"/>
      <c r="C20" s="446"/>
      <c r="D20" s="447"/>
      <c r="E20" s="2611"/>
      <c r="F20" s="447"/>
      <c r="G20" s="2611"/>
      <c r="H20" s="447"/>
      <c r="I20" s="2611"/>
      <c r="J20" s="447"/>
      <c r="K20" s="811"/>
      <c r="L20" s="1142"/>
      <c r="M20" s="1133"/>
      <c r="N20" s="1133"/>
      <c r="O20" s="1141"/>
      <c r="P20" s="3179"/>
      <c r="Q20" s="1812"/>
      <c r="R20" s="773"/>
      <c r="S20" s="774"/>
      <c r="T20" s="773"/>
      <c r="U20" s="774"/>
      <c r="V20" s="773"/>
      <c r="W20" s="774"/>
      <c r="X20" s="1815"/>
      <c r="Y20" s="3179"/>
      <c r="Z20" s="1816"/>
      <c r="AA20" s="1813"/>
      <c r="AB20" s="1813"/>
      <c r="AC20" s="1813"/>
    </row>
    <row r="21" spans="1:29" ht="71.25">
      <c r="A21" s="403"/>
      <c r="B21" s="630" t="s">
        <v>2803</v>
      </c>
      <c r="C21" s="261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79"/>
      <c r="Q21" s="1812" t="str">
        <f t="shared" si="8"/>
        <v>环境状况</v>
      </c>
      <c r="R21" s="773" t="s">
        <v>17</v>
      </c>
      <c r="S21" s="774">
        <f>F21</f>
        <v>100</v>
      </c>
      <c r="T21" s="773" t="s">
        <v>17</v>
      </c>
      <c r="U21" s="774">
        <f>H21</f>
        <v>100</v>
      </c>
      <c r="V21" s="773" t="s">
        <v>17</v>
      </c>
      <c r="W21" s="774">
        <f>J21</f>
        <v>100</v>
      </c>
      <c r="X21" s="1815"/>
      <c r="Y21" s="3179"/>
      <c r="Z21" s="1816" t="str">
        <f>Q21</f>
        <v>环境状况</v>
      </c>
      <c r="AA21" s="1813">
        <f t="shared" si="3"/>
        <v>1</v>
      </c>
      <c r="AB21" s="1813">
        <f t="shared" si="4"/>
        <v>1</v>
      </c>
      <c r="AC21" s="1813">
        <f t="shared" si="5"/>
        <v>1</v>
      </c>
    </row>
    <row r="22" spans="1:29" ht="15">
      <c r="A22" s="403"/>
      <c r="B22" s="631"/>
      <c r="C22" s="446"/>
      <c r="D22" s="447"/>
      <c r="E22" s="2617"/>
      <c r="F22" s="447"/>
      <c r="G22" s="2617"/>
      <c r="H22" s="447"/>
      <c r="I22" s="446"/>
      <c r="J22" s="447"/>
      <c r="K22" s="671"/>
      <c r="L22" s="1142"/>
      <c r="M22" s="1133"/>
      <c r="N22" s="1133"/>
      <c r="O22" s="1141"/>
      <c r="P22" s="3179"/>
      <c r="Q22" s="1812"/>
      <c r="R22" s="773"/>
      <c r="S22" s="774"/>
      <c r="T22" s="773"/>
      <c r="U22" s="774"/>
      <c r="V22" s="773"/>
      <c r="W22" s="774"/>
      <c r="X22" s="1815"/>
      <c r="Y22" s="3179"/>
      <c r="Z22" s="1816"/>
      <c r="AA22" s="1813">
        <v>1</v>
      </c>
      <c r="AB22" s="1813">
        <v>1</v>
      </c>
      <c r="AC22" s="1813">
        <v>1</v>
      </c>
    </row>
    <row r="23" spans="1:29" s="117" customFormat="1" ht="42.75">
      <c r="A23" s="648"/>
      <c r="B23" s="632" t="s">
        <v>2658</v>
      </c>
      <c r="C23" s="261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79"/>
      <c r="Q23" s="1797" t="str">
        <f t="shared" si="8"/>
        <v>公共配套设施</v>
      </c>
      <c r="R23" s="769" t="s">
        <v>17</v>
      </c>
      <c r="S23" s="770">
        <f>F23</f>
        <v>100</v>
      </c>
      <c r="T23" s="769" t="s">
        <v>17</v>
      </c>
      <c r="U23" s="770">
        <f>H23</f>
        <v>100</v>
      </c>
      <c r="V23" s="769" t="s">
        <v>17</v>
      </c>
      <c r="W23" s="770">
        <f>J23</f>
        <v>100</v>
      </c>
      <c r="X23" s="771"/>
      <c r="Y23" s="3179"/>
      <c r="Z23" s="55" t="str">
        <f>Q23</f>
        <v>公共配套设施</v>
      </c>
      <c r="AA23" s="1813">
        <f>D23/F23</f>
        <v>1</v>
      </c>
      <c r="AB23" s="1813">
        <f>D23/H23</f>
        <v>1</v>
      </c>
      <c r="AC23" s="1813">
        <f>D23/J23</f>
        <v>1</v>
      </c>
    </row>
    <row r="24" spans="1:29" s="117" customFormat="1" ht="15">
      <c r="A24" s="648"/>
      <c r="B24" s="631"/>
      <c r="C24" s="2706"/>
      <c r="D24" s="447"/>
      <c r="E24" s="2617"/>
      <c r="F24" s="447"/>
      <c r="G24" s="2617"/>
      <c r="H24" s="447"/>
      <c r="I24" s="446"/>
      <c r="J24" s="447"/>
      <c r="K24" s="671"/>
      <c r="L24" s="1134"/>
      <c r="M24" s="1135"/>
      <c r="N24" s="1135"/>
      <c r="O24" s="1136"/>
      <c r="P24" s="3179"/>
      <c r="Q24" s="1797"/>
      <c r="R24" s="769"/>
      <c r="S24" s="770"/>
      <c r="T24" s="769"/>
      <c r="U24" s="770"/>
      <c r="V24" s="769"/>
      <c r="W24" s="770"/>
      <c r="X24" s="771"/>
      <c r="Y24" s="3179"/>
      <c r="Z24" s="55"/>
      <c r="AA24" s="772">
        <v>1</v>
      </c>
      <c r="AB24" s="772">
        <v>1</v>
      </c>
      <c r="AC24" s="772">
        <v>1</v>
      </c>
    </row>
    <row r="25" spans="1:29" s="117" customFormat="1" ht="28.5">
      <c r="A25" s="648"/>
      <c r="B25" s="632" t="s">
        <v>2659</v>
      </c>
      <c r="C25" s="261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79"/>
      <c r="Q25" s="1797" t="str">
        <f t="shared" ref="Q25" si="9">B25</f>
        <v>基础设施水平</v>
      </c>
      <c r="R25" s="769" t="s">
        <v>17</v>
      </c>
      <c r="S25" s="770">
        <f>F25</f>
        <v>100</v>
      </c>
      <c r="T25" s="769" t="s">
        <v>17</v>
      </c>
      <c r="U25" s="770">
        <f>H25</f>
        <v>100</v>
      </c>
      <c r="V25" s="769" t="s">
        <v>17</v>
      </c>
      <c r="W25" s="770">
        <f>J25</f>
        <v>100</v>
      </c>
      <c r="X25" s="771"/>
      <c r="Y25" s="3179"/>
      <c r="Z25" s="55" t="str">
        <f>Q25</f>
        <v>基础设施水平</v>
      </c>
      <c r="AA25" s="1813">
        <f>D25/F25</f>
        <v>1</v>
      </c>
      <c r="AB25" s="1813">
        <f>D25/H25</f>
        <v>1</v>
      </c>
      <c r="AC25" s="1813">
        <f>D25/J25</f>
        <v>1</v>
      </c>
    </row>
    <row r="26" spans="1:29" s="117" customFormat="1" ht="15">
      <c r="A26" s="648"/>
      <c r="B26" s="631"/>
      <c r="C26" s="2706"/>
      <c r="D26" s="447"/>
      <c r="E26" s="2707"/>
      <c r="F26" s="447"/>
      <c r="G26" s="2707"/>
      <c r="H26" s="447"/>
      <c r="I26" s="2707"/>
      <c r="J26" s="447"/>
      <c r="K26" s="671"/>
      <c r="L26" s="1134"/>
      <c r="M26" s="1135"/>
      <c r="N26" s="1135"/>
      <c r="O26" s="1136"/>
      <c r="P26" s="3179"/>
      <c r="Q26" s="1797"/>
      <c r="R26" s="769"/>
      <c r="S26" s="770"/>
      <c r="T26" s="769"/>
      <c r="U26" s="770"/>
      <c r="V26" s="769"/>
      <c r="W26" s="770"/>
      <c r="X26" s="771"/>
      <c r="Y26" s="3179"/>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79"/>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79"/>
      <c r="Z27" s="1816" t="str">
        <f t="shared" ref="Z27:Z40" si="13">Q27</f>
        <v>临街状况</v>
      </c>
      <c r="AA27" s="1813">
        <f t="shared" si="3"/>
        <v>1</v>
      </c>
      <c r="AB27" s="1813">
        <f t="shared" si="4"/>
        <v>1</v>
      </c>
      <c r="AC27" s="1813">
        <f t="shared" si="5"/>
        <v>1</v>
      </c>
    </row>
    <row r="28" spans="1:29" ht="27">
      <c r="A28" s="427"/>
      <c r="B28" s="632" t="s">
        <v>2695</v>
      </c>
      <c r="C28" s="271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79"/>
      <c r="Q28" s="1812" t="str">
        <f t="shared" si="8"/>
        <v>毗邻道路的类型与等级</v>
      </c>
      <c r="R28" s="773" t="s">
        <v>17</v>
      </c>
      <c r="S28" s="774">
        <f t="shared" si="10"/>
        <v>100</v>
      </c>
      <c r="T28" s="773" t="s">
        <v>17</v>
      </c>
      <c r="U28" s="774">
        <f t="shared" si="11"/>
        <v>100</v>
      </c>
      <c r="V28" s="773" t="s">
        <v>17</v>
      </c>
      <c r="W28" s="774">
        <f t="shared" si="12"/>
        <v>100</v>
      </c>
      <c r="X28" s="1815"/>
      <c r="Y28" s="3179"/>
      <c r="Z28" s="1816" t="str">
        <f t="shared" si="13"/>
        <v>毗邻道路的类型与等级</v>
      </c>
      <c r="AA28" s="1813">
        <f t="shared" si="3"/>
        <v>1</v>
      </c>
      <c r="AB28" s="1813">
        <f t="shared" si="4"/>
        <v>1</v>
      </c>
      <c r="AC28" s="1813">
        <f t="shared" si="5"/>
        <v>1</v>
      </c>
    </row>
    <row r="29" spans="1:29" ht="15">
      <c r="A29" s="427"/>
      <c r="B29" s="631"/>
      <c r="C29" s="446"/>
      <c r="D29" s="447"/>
      <c r="E29" s="2617"/>
      <c r="F29" s="447"/>
      <c r="G29" s="2617"/>
      <c r="H29" s="447"/>
      <c r="I29" s="2617"/>
      <c r="J29" s="447"/>
      <c r="K29" s="612"/>
      <c r="L29" s="1142"/>
      <c r="M29" s="1133"/>
      <c r="N29" s="1133"/>
      <c r="O29" s="1141"/>
      <c r="P29" s="3179"/>
      <c r="Q29" s="1812"/>
      <c r="R29" s="773"/>
      <c r="S29" s="774"/>
      <c r="T29" s="773"/>
      <c r="U29" s="774"/>
      <c r="V29" s="773"/>
      <c r="W29" s="774"/>
      <c r="X29" s="1815"/>
      <c r="Y29" s="3179"/>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79"/>
      <c r="Q30" s="1812" t="str">
        <f t="shared" si="8"/>
        <v>土地级别</v>
      </c>
      <c r="R30" s="773" t="s">
        <v>17</v>
      </c>
      <c r="S30" s="774">
        <f t="shared" si="10"/>
        <v>100</v>
      </c>
      <c r="T30" s="773" t="s">
        <v>17</v>
      </c>
      <c r="U30" s="774">
        <f t="shared" si="11"/>
        <v>100</v>
      </c>
      <c r="V30" s="773" t="s">
        <v>17</v>
      </c>
      <c r="W30" s="774">
        <f t="shared" si="12"/>
        <v>100</v>
      </c>
      <c r="X30" s="1815"/>
      <c r="Y30" s="3179"/>
      <c r="Z30" s="1816" t="str">
        <f t="shared" si="13"/>
        <v>土地级别</v>
      </c>
      <c r="AA30" s="1813">
        <f t="shared" si="3"/>
        <v>1</v>
      </c>
      <c r="AB30" s="1813">
        <f t="shared" si="4"/>
        <v>1</v>
      </c>
      <c r="AC30" s="1813">
        <f t="shared" si="5"/>
        <v>1</v>
      </c>
    </row>
    <row r="31" spans="1:29" ht="15">
      <c r="A31" s="403"/>
      <c r="B31" s="268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79"/>
      <c r="Q31" s="1812">
        <f t="shared" si="8"/>
        <v>111</v>
      </c>
      <c r="R31" s="773" t="s">
        <v>17</v>
      </c>
      <c r="S31" s="774">
        <f t="shared" si="10"/>
        <v>100</v>
      </c>
      <c r="T31" s="773" t="s">
        <v>17</v>
      </c>
      <c r="U31" s="774">
        <f t="shared" si="11"/>
        <v>100</v>
      </c>
      <c r="V31" s="773" t="s">
        <v>17</v>
      </c>
      <c r="W31" s="774">
        <f t="shared" si="12"/>
        <v>100</v>
      </c>
      <c r="X31" s="1815"/>
      <c r="Y31" s="3179"/>
      <c r="Z31" s="1816">
        <f t="shared" si="13"/>
        <v>111</v>
      </c>
      <c r="AA31" s="1813">
        <f t="shared" si="3"/>
        <v>1</v>
      </c>
      <c r="AB31" s="1813">
        <f t="shared" si="4"/>
        <v>1</v>
      </c>
      <c r="AC31" s="1813">
        <f t="shared" si="5"/>
        <v>1</v>
      </c>
    </row>
    <row r="32" spans="1:29" ht="15">
      <c r="A32" s="674"/>
      <c r="B32" s="272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34" t="s">
        <v>2569</v>
      </c>
      <c r="Q32" s="1812">
        <f t="shared" si="8"/>
        <v>111</v>
      </c>
      <c r="R32" s="773" t="s">
        <v>17</v>
      </c>
      <c r="S32" s="774">
        <f t="shared" si="10"/>
        <v>100</v>
      </c>
      <c r="T32" s="773" t="s">
        <v>17</v>
      </c>
      <c r="U32" s="774">
        <f t="shared" si="11"/>
        <v>100</v>
      </c>
      <c r="V32" s="773" t="s">
        <v>17</v>
      </c>
      <c r="W32" s="774">
        <f t="shared" si="12"/>
        <v>100</v>
      </c>
      <c r="X32" s="1815"/>
      <c r="Y32" s="3183" t="s">
        <v>2569</v>
      </c>
      <c r="Z32" s="1816">
        <f t="shared" si="13"/>
        <v>111</v>
      </c>
      <c r="AA32" s="1813">
        <f t="shared" si="3"/>
        <v>1</v>
      </c>
      <c r="AB32" s="1813">
        <f t="shared" si="4"/>
        <v>1</v>
      </c>
      <c r="AC32" s="1813">
        <f t="shared" si="5"/>
        <v>1</v>
      </c>
    </row>
    <row r="33" spans="1:29" s="470" customFormat="1" ht="15.75" thickBot="1">
      <c r="A33" s="675"/>
      <c r="B33" s="272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3"/>
      <c r="Q33" s="1812">
        <f t="shared" si="8"/>
        <v>111</v>
      </c>
      <c r="R33" s="776" t="s">
        <v>17</v>
      </c>
      <c r="S33" s="777">
        <f t="shared" si="10"/>
        <v>100</v>
      </c>
      <c r="T33" s="776" t="s">
        <v>17</v>
      </c>
      <c r="U33" s="777">
        <f t="shared" si="11"/>
        <v>100</v>
      </c>
      <c r="V33" s="776" t="s">
        <v>17</v>
      </c>
      <c r="W33" s="777">
        <f t="shared" si="12"/>
        <v>100</v>
      </c>
      <c r="X33" s="778"/>
      <c r="Y33" s="3183"/>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3"/>
      <c r="Q34" s="1812" t="str">
        <f>B34</f>
        <v>宗地面积</v>
      </c>
      <c r="R34" s="773" t="s">
        <v>17</v>
      </c>
      <c r="S34" s="774" t="e">
        <f t="shared" si="10"/>
        <v>#N/A</v>
      </c>
      <c r="T34" s="773" t="s">
        <v>17</v>
      </c>
      <c r="U34" s="774" t="e">
        <f t="shared" si="11"/>
        <v>#N/A</v>
      </c>
      <c r="V34" s="773" t="s">
        <v>17</v>
      </c>
      <c r="W34" s="774" t="e">
        <f t="shared" si="12"/>
        <v>#N/A</v>
      </c>
      <c r="X34" s="1815"/>
      <c r="Y34" s="3183"/>
      <c r="Z34" s="1816" t="str">
        <f t="shared" si="13"/>
        <v>宗地面积</v>
      </c>
      <c r="AA34" s="1813" t="e">
        <f t="shared" si="3"/>
        <v>#N/A</v>
      </c>
      <c r="AB34" s="1813" t="e">
        <f t="shared" si="4"/>
        <v>#N/A</v>
      </c>
      <c r="AC34" s="1813" t="e">
        <f t="shared" si="5"/>
        <v>#N/A</v>
      </c>
    </row>
    <row r="35" spans="1:29" ht="15">
      <c r="A35" s="471"/>
      <c r="B35" s="421" t="s">
        <v>2756</v>
      </c>
      <c r="C35" s="2619"/>
      <c r="D35" s="434">
        <v>100</v>
      </c>
      <c r="E35" s="2619"/>
      <c r="F35" s="434">
        <f>SUMIF(110:110,E35,111:111)-SUMIF(110:110,C35,111:111)+100</f>
        <v>100</v>
      </c>
      <c r="G35" s="2619"/>
      <c r="H35" s="434">
        <f>SUMIF(110:110,G35,111:111)-SUMIF(110:110,C35,111:111)+100</f>
        <v>100</v>
      </c>
      <c r="I35" s="2619"/>
      <c r="J35" s="434">
        <f>SUMIF(110:110,I35,111:111)-SUMIF(110:110,C35,111:111)+100</f>
        <v>100</v>
      </c>
      <c r="K35" s="611"/>
      <c r="L35" s="1142"/>
      <c r="M35" s="1133"/>
      <c r="N35" s="1133"/>
      <c r="O35" s="1141"/>
      <c r="P35" s="3183"/>
      <c r="Q35" s="1812" t="str">
        <f t="shared" ref="Q35:Q40" si="14">B35</f>
        <v>宗地形状</v>
      </c>
      <c r="R35" s="773" t="s">
        <v>17</v>
      </c>
      <c r="S35" s="774">
        <f t="shared" si="10"/>
        <v>100</v>
      </c>
      <c r="T35" s="773" t="s">
        <v>17</v>
      </c>
      <c r="U35" s="774">
        <f t="shared" si="11"/>
        <v>100</v>
      </c>
      <c r="V35" s="773" t="s">
        <v>17</v>
      </c>
      <c r="W35" s="774">
        <f t="shared" si="12"/>
        <v>100</v>
      </c>
      <c r="X35" s="1815"/>
      <c r="Y35" s="3183"/>
      <c r="Z35" s="1816" t="str">
        <f t="shared" si="13"/>
        <v>宗地形状</v>
      </c>
      <c r="AA35" s="1813">
        <f t="shared" si="3"/>
        <v>1</v>
      </c>
      <c r="AB35" s="1813">
        <f t="shared" si="4"/>
        <v>1</v>
      </c>
      <c r="AC35" s="1813">
        <f t="shared" si="5"/>
        <v>1</v>
      </c>
    </row>
    <row r="36" spans="1:29" s="117" customFormat="1" ht="15">
      <c r="A36" s="472"/>
      <c r="B36" s="421" t="s">
        <v>2758</v>
      </c>
      <c r="C36" s="2708"/>
      <c r="D36" s="135">
        <v>100</v>
      </c>
      <c r="E36" s="2708"/>
      <c r="F36" s="434">
        <f>SUMIF(112:112,E36,113:113)-SUMIF(112:112,C36,113:113)+100</f>
        <v>100</v>
      </c>
      <c r="G36" s="2708"/>
      <c r="H36" s="434">
        <f>SUMIF(112:112,G36,113:113)-SUMIF(112:112,C36,113:113)+100</f>
        <v>100</v>
      </c>
      <c r="I36" s="2708"/>
      <c r="J36" s="434">
        <f>SUMIF(112:112,I36,113:113)-SUMIF(112:112,C36,113:113)+100</f>
        <v>100</v>
      </c>
      <c r="K36" s="611"/>
      <c r="L36" s="1134"/>
      <c r="M36" s="1135"/>
      <c r="N36" s="1135"/>
      <c r="O36" s="1136"/>
      <c r="P36" s="3183"/>
      <c r="Q36" s="1812" t="str">
        <f t="shared" si="14"/>
        <v>宗地开发程度</v>
      </c>
      <c r="R36" s="769" t="s">
        <v>17</v>
      </c>
      <c r="S36" s="770">
        <f t="shared" si="10"/>
        <v>100</v>
      </c>
      <c r="T36" s="769" t="s">
        <v>17</v>
      </c>
      <c r="U36" s="770">
        <f t="shared" si="11"/>
        <v>100</v>
      </c>
      <c r="V36" s="769" t="s">
        <v>17</v>
      </c>
      <c r="W36" s="770">
        <f t="shared" si="12"/>
        <v>100</v>
      </c>
      <c r="X36" s="771"/>
      <c r="Y36" s="3183"/>
      <c r="Z36" s="55" t="str">
        <f t="shared" si="13"/>
        <v>宗地开发程度</v>
      </c>
      <c r="AA36" s="772">
        <f t="shared" si="3"/>
        <v>1</v>
      </c>
      <c r="AB36" s="772">
        <f t="shared" si="4"/>
        <v>1</v>
      </c>
      <c r="AC36" s="772">
        <f t="shared" si="5"/>
        <v>1</v>
      </c>
    </row>
    <row r="37" spans="1:29" ht="15">
      <c r="A37" s="471"/>
      <c r="B37" s="421" t="s">
        <v>2759</v>
      </c>
      <c r="C37" s="2619"/>
      <c r="D37" s="434">
        <v>100</v>
      </c>
      <c r="E37" s="2619"/>
      <c r="F37" s="434">
        <f>SUMIF(114:114,E37,115:115)-SUMIF(114:114,C37,115:115)+100</f>
        <v>100</v>
      </c>
      <c r="G37" s="2619"/>
      <c r="H37" s="434">
        <f>SUMIF(114:114,G37,115:115)-SUMIF(114:114,C37,115:115)+100</f>
        <v>100</v>
      </c>
      <c r="I37" s="2619"/>
      <c r="J37" s="434">
        <f>SUMIF(114:114,I37,115:115)-SUMIF(114:114,C37,115:115)+100</f>
        <v>100</v>
      </c>
      <c r="K37" s="611"/>
      <c r="L37" s="1142"/>
      <c r="M37" s="1133"/>
      <c r="N37" s="1133"/>
      <c r="O37" s="1141"/>
      <c r="P37" s="3183" t="s">
        <v>2569</v>
      </c>
      <c r="Q37" s="1812" t="str">
        <f t="shared" si="14"/>
        <v>工程地质条件</v>
      </c>
      <c r="R37" s="773" t="s">
        <v>17</v>
      </c>
      <c r="S37" s="774">
        <f t="shared" si="10"/>
        <v>100</v>
      </c>
      <c r="T37" s="773" t="s">
        <v>17</v>
      </c>
      <c r="U37" s="774">
        <f t="shared" si="11"/>
        <v>100</v>
      </c>
      <c r="V37" s="773" t="s">
        <v>17</v>
      </c>
      <c r="W37" s="774">
        <f t="shared" si="12"/>
        <v>100</v>
      </c>
      <c r="X37" s="1815"/>
      <c r="Y37" s="3183"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3"/>
      <c r="Q38" s="1812">
        <f t="shared" si="14"/>
        <v>111</v>
      </c>
      <c r="R38" s="773" t="s">
        <v>17</v>
      </c>
      <c r="S38" s="774">
        <f t="shared" si="10"/>
        <v>100</v>
      </c>
      <c r="T38" s="773" t="s">
        <v>17</v>
      </c>
      <c r="U38" s="774">
        <f t="shared" si="11"/>
        <v>100</v>
      </c>
      <c r="V38" s="773" t="s">
        <v>17</v>
      </c>
      <c r="W38" s="774">
        <f t="shared" si="12"/>
        <v>100</v>
      </c>
      <c r="X38" s="1815"/>
      <c r="Y38" s="3183"/>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3"/>
      <c r="Q39" s="1812">
        <f t="shared" si="14"/>
        <v>111</v>
      </c>
      <c r="R39" s="773" t="s">
        <v>17</v>
      </c>
      <c r="S39" s="774">
        <f t="shared" si="10"/>
        <v>100</v>
      </c>
      <c r="T39" s="773" t="s">
        <v>17</v>
      </c>
      <c r="U39" s="774">
        <f t="shared" si="11"/>
        <v>100</v>
      </c>
      <c r="V39" s="773" t="s">
        <v>17</v>
      </c>
      <c r="W39" s="774">
        <f t="shared" si="12"/>
        <v>100</v>
      </c>
      <c r="X39" s="1815"/>
      <c r="Y39" s="3183"/>
      <c r="Z39" s="1816">
        <f t="shared" si="13"/>
        <v>111</v>
      </c>
      <c r="AA39" s="1813">
        <f t="shared" si="3"/>
        <v>1</v>
      </c>
      <c r="AB39" s="1813">
        <f t="shared" si="4"/>
        <v>1</v>
      </c>
      <c r="AC39" s="1813">
        <f t="shared" si="5"/>
        <v>1</v>
      </c>
    </row>
    <row r="40" spans="1:29" s="470" customFormat="1" ht="15.75" thickBot="1">
      <c r="A40" s="467"/>
      <c r="B40" s="1389">
        <v>111</v>
      </c>
      <c r="C40" s="2709"/>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3"/>
      <c r="Q40" s="1812">
        <f t="shared" si="14"/>
        <v>111</v>
      </c>
      <c r="R40" s="776" t="s">
        <v>17</v>
      </c>
      <c r="S40" s="777">
        <f t="shared" si="10"/>
        <v>100</v>
      </c>
      <c r="T40" s="776" t="s">
        <v>17</v>
      </c>
      <c r="U40" s="777">
        <f t="shared" si="11"/>
        <v>100</v>
      </c>
      <c r="V40" s="776" t="s">
        <v>17</v>
      </c>
      <c r="W40" s="777">
        <f t="shared" si="12"/>
        <v>100</v>
      </c>
      <c r="X40" s="778"/>
      <c r="Y40" s="3183"/>
      <c r="Z40" s="779">
        <f t="shared" si="13"/>
        <v>111</v>
      </c>
      <c r="AA40" s="1813">
        <f t="shared" si="3"/>
        <v>1</v>
      </c>
      <c r="AB40" s="1813">
        <f t="shared" si="4"/>
        <v>1</v>
      </c>
      <c r="AC40" s="1813">
        <f t="shared" si="5"/>
        <v>1</v>
      </c>
    </row>
    <row r="41" spans="1:29" ht="15">
      <c r="A41" s="478" t="s">
        <v>2724</v>
      </c>
      <c r="B41" s="2710" t="s">
        <v>2804</v>
      </c>
      <c r="C41" s="681" t="s">
        <v>1</v>
      </c>
      <c r="D41" s="480"/>
      <c r="E41" s="481"/>
      <c r="F41" s="482"/>
      <c r="G41" s="483"/>
      <c r="H41" s="484"/>
      <c r="I41" s="481"/>
      <c r="J41" s="484"/>
      <c r="K41" s="782"/>
      <c r="L41" s="1145"/>
      <c r="M41" s="1133"/>
      <c r="N41" s="1133"/>
      <c r="O41" s="1146"/>
      <c r="P41" s="3176" t="str">
        <f>A41</f>
        <v>成交单价</v>
      </c>
      <c r="Q41" s="3176"/>
      <c r="R41" s="3207">
        <f>E41</f>
        <v>0</v>
      </c>
      <c r="S41" s="3207"/>
      <c r="T41" s="3207">
        <f>G41</f>
        <v>0</v>
      </c>
      <c r="U41" s="3207"/>
      <c r="V41" s="3207">
        <f>I41</f>
        <v>0</v>
      </c>
      <c r="W41" s="3207"/>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176" t="str">
        <f>A42</f>
        <v>比较价值（元/平方米）</v>
      </c>
      <c r="Q42" s="3176"/>
      <c r="R42" s="3235" t="e">
        <f>ROUND(PRODUCT(R41,AA7:AA40),0)</f>
        <v>#DIV/0!</v>
      </c>
      <c r="S42" s="3235"/>
      <c r="T42" s="3235" t="e">
        <f>ROUND(PRODUCT(T41,AB7:AB40),0)</f>
        <v>#DIV/0!</v>
      </c>
      <c r="U42" s="3235"/>
      <c r="V42" s="3235" t="e">
        <f>ROUND(PRODUCT(V41,AC7:AC40),0)</f>
        <v>#DIV/0!</v>
      </c>
      <c r="W42" s="3235"/>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173" t="str">
        <f>A43</f>
        <v>估价对象XX用房的比较价值（楼面单价，元/平方米）</v>
      </c>
      <c r="Q43" s="3174"/>
      <c r="R43" s="3236" t="e">
        <f>ROUND(AVERAGE(R42:V42),0)</f>
        <v>#DIV/0!</v>
      </c>
      <c r="S43" s="3236"/>
      <c r="T43" s="3236"/>
      <c r="U43" s="3236"/>
      <c r="V43" s="3236"/>
      <c r="W43" s="323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11" t="s">
        <v>2764</v>
      </c>
      <c r="D50" s="2712" t="s">
        <v>2765</v>
      </c>
      <c r="E50" s="685" t="s">
        <v>2766</v>
      </c>
      <c r="F50" s="686" t="s">
        <v>2767</v>
      </c>
      <c r="G50" s="3191" t="s">
        <v>2768</v>
      </c>
      <c r="H50" s="3237"/>
      <c r="I50" s="1816" t="s">
        <v>2805</v>
      </c>
      <c r="J50" s="1816">
        <f>项目基本情况!F35</f>
        <v>0</v>
      </c>
      <c r="K50" s="2714" t="s">
        <v>2770</v>
      </c>
      <c r="L50" s="1108"/>
      <c r="M50" s="1146"/>
      <c r="N50" s="1146"/>
      <c r="O50" s="1146"/>
    </row>
    <row r="51" spans="1:17" s="691" customFormat="1">
      <c r="A51" s="687" t="s">
        <v>2771</v>
      </c>
      <c r="B51" s="688" t="e">
        <f>C43</f>
        <v>#DIV/0!</v>
      </c>
      <c r="C51" s="689">
        <v>1</v>
      </c>
      <c r="D51" s="1165">
        <v>1</v>
      </c>
      <c r="E51" s="689">
        <f>'数据-汇总表'!E8+'数据-汇总表'!E9</f>
        <v>589.49</v>
      </c>
      <c r="F51" s="690" t="e">
        <f t="shared" ref="F51:F60" si="15">ROUND(B51*E51/10000,0)</f>
        <v>#DIV/0!</v>
      </c>
      <c r="G51" s="3187"/>
      <c r="H51" s="3176"/>
      <c r="I51" s="944">
        <v>1</v>
      </c>
      <c r="J51" s="944">
        <v>1</v>
      </c>
      <c r="K51" s="1147"/>
      <c r="L51" s="943"/>
      <c r="M51" s="943"/>
      <c r="N51" s="943"/>
      <c r="O51" s="943"/>
    </row>
    <row r="52" spans="1:17" s="691" customFormat="1">
      <c r="A52" s="692" t="s">
        <v>2772</v>
      </c>
      <c r="B52" s="261" t="e">
        <f>ROUND($C$43*C52*D52,0)</f>
        <v>#DIV/0!</v>
      </c>
      <c r="C52" s="199">
        <f t="shared" ref="C52:C60" si="16">IF($C$50="北京市系数",I52,J52)</f>
        <v>0.7</v>
      </c>
      <c r="D52" s="1166">
        <v>0.25</v>
      </c>
      <c r="E52" s="693"/>
      <c r="F52" s="690" t="e">
        <f t="shared" si="15"/>
        <v>#DIV/0!</v>
      </c>
      <c r="G52" s="3238" t="s">
        <v>2773</v>
      </c>
      <c r="H52" s="1106" t="str">
        <f>项目基本情况!B37</f>
        <v>六级</v>
      </c>
      <c r="I52" s="944">
        <f>SUMIF(修正!A45:A56,H52,修正!B45:B56)</f>
        <v>0.7</v>
      </c>
      <c r="J52" s="945"/>
      <c r="K52" s="1146"/>
      <c r="L52" s="943"/>
      <c r="M52" s="943"/>
      <c r="N52" s="943"/>
      <c r="O52" s="943"/>
    </row>
    <row r="53" spans="1:17" s="691" customFormat="1">
      <c r="A53" s="692" t="s">
        <v>2774</v>
      </c>
      <c r="B53" s="261" t="e">
        <f t="shared" ref="B53:B60" si="17">ROUND($C$43*C53*D53,0)</f>
        <v>#DIV/0!</v>
      </c>
      <c r="C53" s="199">
        <f t="shared" si="16"/>
        <v>0.4</v>
      </c>
      <c r="D53" s="1166">
        <v>0.25</v>
      </c>
      <c r="E53" s="693"/>
      <c r="F53" s="690" t="e">
        <f t="shared" si="15"/>
        <v>#DIV/0!</v>
      </c>
      <c r="G53" s="3238"/>
      <c r="H53" s="1106" t="str">
        <f>项目基本情况!B37</f>
        <v>六级</v>
      </c>
      <c r="I53" s="944">
        <f>SUMIF(修正!A45:A56,H53,修正!C45:C56)</f>
        <v>0.4</v>
      </c>
      <c r="J53" s="945"/>
      <c r="K53" s="1147"/>
      <c r="L53" s="943"/>
      <c r="M53" s="943"/>
      <c r="N53" s="943"/>
      <c r="O53" s="943"/>
    </row>
    <row r="54" spans="1:17" s="691" customFormat="1">
      <c r="A54" s="692" t="s">
        <v>2775</v>
      </c>
      <c r="B54" s="261" t="e">
        <f t="shared" si="17"/>
        <v>#DIV/0!</v>
      </c>
      <c r="C54" s="199">
        <f t="shared" si="16"/>
        <v>0.28000000000000003</v>
      </c>
      <c r="D54" s="1166">
        <v>0.25</v>
      </c>
      <c r="E54" s="693"/>
      <c r="F54" s="690" t="e">
        <f t="shared" si="15"/>
        <v>#DIV/0!</v>
      </c>
      <c r="G54" s="3238"/>
      <c r="H54" s="1106" t="str">
        <f>项目基本情况!B37</f>
        <v>六级</v>
      </c>
      <c r="I54" s="944">
        <f>SUMIF(修正!A45:A56,H54,修正!D45:D56)</f>
        <v>0.28000000000000003</v>
      </c>
      <c r="J54" s="945"/>
      <c r="K54" s="1146"/>
      <c r="L54" s="943"/>
      <c r="M54" s="943"/>
      <c r="N54" s="943"/>
      <c r="O54" s="943"/>
    </row>
    <row r="55" spans="1:17" s="691" customFormat="1">
      <c r="A55" s="692" t="s">
        <v>2776</v>
      </c>
      <c r="B55" s="261" t="e">
        <f t="shared" si="17"/>
        <v>#DIV/0!</v>
      </c>
      <c r="C55" s="199">
        <f t="shared" si="16"/>
        <v>0.25</v>
      </c>
      <c r="D55" s="1166">
        <v>0.25</v>
      </c>
      <c r="E55" s="693"/>
      <c r="F55" s="690" t="e">
        <f t="shared" si="15"/>
        <v>#DIV/0!</v>
      </c>
      <c r="G55" s="3238"/>
      <c r="H55" s="1106" t="str">
        <f>项目基本情况!B37</f>
        <v>六级</v>
      </c>
      <c r="I55" s="944">
        <f>SUMIF(修正!A45:A56,H55,修正!E45:E56)</f>
        <v>0.25</v>
      </c>
      <c r="J55" s="945"/>
      <c r="K55" s="1147"/>
      <c r="L55" s="943"/>
      <c r="M55" s="943"/>
      <c r="N55" s="943"/>
      <c r="O55" s="943"/>
    </row>
    <row r="56" spans="1:17" s="691" customFormat="1">
      <c r="A56" s="692" t="s">
        <v>2777</v>
      </c>
      <c r="B56" s="261" t="e">
        <f t="shared" si="17"/>
        <v>#DIV/0!</v>
      </c>
      <c r="C56" s="199">
        <f t="shared" si="16"/>
        <v>0.25</v>
      </c>
      <c r="D56" s="1166">
        <v>0.25</v>
      </c>
      <c r="E56" s="260">
        <f>'数据-汇总表'!E11</f>
        <v>0</v>
      </c>
      <c r="F56" s="690" t="e">
        <f t="shared" si="15"/>
        <v>#DIV/0!</v>
      </c>
      <c r="G56" s="2715" t="s">
        <v>2778</v>
      </c>
      <c r="H56" s="1106" t="str">
        <f>项目基本情况!C37</f>
        <v>六级</v>
      </c>
      <c r="I56" s="944">
        <f>SUMIF(修正!A45:A56,H56,修正!F45:F56)</f>
        <v>0.25</v>
      </c>
      <c r="J56" s="945"/>
      <c r="K56" s="1146"/>
      <c r="L56" s="943"/>
      <c r="M56" s="943"/>
      <c r="N56" s="943"/>
      <c r="O56" s="943"/>
    </row>
    <row r="57" spans="1:17" s="691" customFormat="1">
      <c r="A57" s="692" t="s">
        <v>2779</v>
      </c>
      <c r="B57" s="261" t="e">
        <f t="shared" si="17"/>
        <v>#DIV/0!</v>
      </c>
      <c r="C57" s="199">
        <f t="shared" si="16"/>
        <v>0.25</v>
      </c>
      <c r="D57" s="1166">
        <v>0.25</v>
      </c>
      <c r="E57" s="260">
        <f>'数据-汇总表'!E12</f>
        <v>0</v>
      </c>
      <c r="F57" s="690" t="e">
        <f t="shared" si="15"/>
        <v>#DIV/0!</v>
      </c>
      <c r="G57" s="1111" t="s">
        <v>2780</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0.2</v>
      </c>
      <c r="D59" s="1166">
        <v>0.25</v>
      </c>
      <c r="E59" s="260">
        <f>'数据-汇总表'!E14</f>
        <v>0</v>
      </c>
      <c r="F59" s="690" t="e">
        <f t="shared" si="15"/>
        <v>#DIV/0!</v>
      </c>
      <c r="G59" s="2715" t="s">
        <v>2773</v>
      </c>
      <c r="H59" s="1106" t="str">
        <f>项目基本情况!B37</f>
        <v>六级</v>
      </c>
      <c r="I59" s="944">
        <f>SUMIF(修正!A45:A56,H59,修正!H45:H56)</f>
        <v>0.2</v>
      </c>
      <c r="J59" s="945"/>
      <c r="K59" s="1147"/>
      <c r="L59" s="943"/>
      <c r="M59" s="943"/>
      <c r="N59" s="943"/>
      <c r="O59" s="943"/>
    </row>
    <row r="60" spans="1:17" s="691" customFormat="1" ht="15" thickBot="1">
      <c r="A60" s="692" t="s">
        <v>2784</v>
      </c>
      <c r="B60" s="261" t="e">
        <f t="shared" si="17"/>
        <v>#DIV/0!</v>
      </c>
      <c r="C60" s="199">
        <f t="shared" si="16"/>
        <v>0.2</v>
      </c>
      <c r="D60" s="1166">
        <v>0.25</v>
      </c>
      <c r="E60" s="260">
        <f>'数据-汇总表'!E15</f>
        <v>0</v>
      </c>
      <c r="F60" s="690" t="e">
        <f t="shared" si="15"/>
        <v>#DIV/0!</v>
      </c>
      <c r="G60" s="2716" t="s">
        <v>2778</v>
      </c>
      <c r="H60" s="1116" t="str">
        <f>项目基本情况!C37</f>
        <v>六级</v>
      </c>
      <c r="I60" s="944">
        <f>SUMIF(修正!A45:A56,H60,修正!H45:H56)</f>
        <v>0.2</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2018-9-1</v>
      </c>
      <c r="D63" s="760">
        <f>EDATE(C63,-3)</f>
        <v>43252</v>
      </c>
      <c r="E63" s="760">
        <f>EDATE(D63,-3)</f>
        <v>43160</v>
      </c>
      <c r="F63" s="760">
        <f t="shared" ref="F63:O63" si="18">EDATE(E63,-3)</f>
        <v>43070</v>
      </c>
      <c r="G63" s="760">
        <f t="shared" si="18"/>
        <v>42979</v>
      </c>
      <c r="H63" s="760">
        <f t="shared" si="18"/>
        <v>42887</v>
      </c>
      <c r="I63" s="760">
        <f t="shared" si="18"/>
        <v>42795</v>
      </c>
      <c r="J63" s="760">
        <f t="shared" si="18"/>
        <v>42705</v>
      </c>
      <c r="K63" s="760">
        <f t="shared" si="18"/>
        <v>42614</v>
      </c>
      <c r="L63" s="760">
        <f t="shared" si="18"/>
        <v>42522</v>
      </c>
      <c r="M63" s="760">
        <f t="shared" si="18"/>
        <v>42430</v>
      </c>
      <c r="N63" s="760">
        <f t="shared" si="18"/>
        <v>42339</v>
      </c>
      <c r="O63" s="760">
        <f t="shared" si="18"/>
        <v>42248</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7" t="s">
        <v>2786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7" customFormat="1" ht="30.75" customHeight="1">
      <c r="A66" s="2722" t="s">
        <v>2806</v>
      </c>
      <c r="B66" s="331" t="str">
        <f>"北京市平均增长率"&amp;TEXT(基准地价修正!P24,"0.00%")</f>
        <v>北京市平均增长率1.41%</v>
      </c>
      <c r="C66" s="602">
        <v>100</v>
      </c>
      <c r="D66" s="594"/>
      <c r="E66" s="594"/>
      <c r="F66" s="594"/>
      <c r="G66" s="594"/>
      <c r="H66" s="594"/>
      <c r="I66" s="594"/>
      <c r="J66" s="594"/>
      <c r="K66" s="594"/>
      <c r="L66" s="594"/>
      <c r="M66" s="1569"/>
      <c r="N66" s="1569"/>
      <c r="O66" s="1571"/>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39" t="s">
        <v>2808</v>
      </c>
      <c r="B1" s="240"/>
      <c r="C1" s="244" t="s">
        <v>2809</v>
      </c>
      <c r="D1" s="387">
        <f>SUM(D29:D30,D33:D39)</f>
        <v>0</v>
      </c>
      <c r="E1" s="2723"/>
      <c r="F1" s="2723"/>
      <c r="G1" s="2723"/>
      <c r="H1" s="2723"/>
      <c r="I1" s="2723"/>
      <c r="J1" s="2723"/>
      <c r="K1" s="1372"/>
      <c r="L1" s="2724" t="s">
        <v>2810</v>
      </c>
      <c r="M1" s="1082">
        <f>SUMPRODUCT((区片价!B5:B9=I2)*(区片价!C3:F3=E2)*(区片价!C5:F9))</f>
        <v>0</v>
      </c>
      <c r="N1" s="1085">
        <f>SUMPRODUCT((因素修正幅度!B5:B9=I2)*(因素修正幅度!C3:F3=E2)*(因素修正幅度!C5:F9))</f>
        <v>0</v>
      </c>
      <c r="O1" s="2725"/>
      <c r="P1" s="2725"/>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7" t="s">
        <v>2817</v>
      </c>
      <c r="D2" s="2728" t="s">
        <v>2818</v>
      </c>
      <c r="E2" s="2729"/>
      <c r="F2" s="2728" t="s">
        <v>2819</v>
      </c>
      <c r="G2" s="2730">
        <f>IF(E2="商业",项目基本情况!B37,IF(E2="办公",项目基本情况!C37,IF(E2="住宅",项目基本情况!D37,项目基本情况!E37)))</f>
        <v>0</v>
      </c>
      <c r="H2" s="2728" t="s">
        <v>2820</v>
      </c>
      <c r="I2" s="2730">
        <f>IF(E2="商业",项目基本情况!B38,IF(E2="办公",项目基本情况!C38,IF(E2="住宅",项目基本情况!D38,项目基本情况!E38)))</f>
        <v>0</v>
      </c>
      <c r="J2" s="2731"/>
      <c r="K2" s="1372"/>
      <c r="L2" s="2732" t="s">
        <v>2821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7" t="s">
        <v>2823</v>
      </c>
      <c r="D3" s="2728" t="s">
        <v>2824</v>
      </c>
      <c r="E3" s="2733"/>
      <c r="F3" s="2734" t="s">
        <v>2825</v>
      </c>
      <c r="G3" s="915" t="e">
        <f>IF(F3="宗地容积率",'数据-汇总表'!I4,IF(F3="估价对象容积率",'数据-汇总表'!I6,'数据-汇总表'!I7))</f>
        <v>#DIV/0!</v>
      </c>
      <c r="H3" s="197" t="s">
        <v>2826</v>
      </c>
      <c r="I3" s="946"/>
      <c r="J3" s="2731" t="s">
        <v>2827</v>
      </c>
      <c r="K3" s="1372"/>
      <c r="L3" s="2732" t="s">
        <v>2828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46"/>
      <c r="B4" s="3247"/>
      <c r="C4" s="3247"/>
      <c r="D4" s="3248"/>
      <c r="E4" s="3248"/>
      <c r="F4" s="3248"/>
      <c r="G4" s="3248"/>
      <c r="H4" s="3248"/>
      <c r="I4" s="3248"/>
      <c r="J4" s="3249"/>
      <c r="K4" s="1372"/>
      <c r="L4" s="2732" t="s">
        <v>2829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2830</v>
      </c>
      <c r="C5" s="916" t="e">
        <f>ROUND(IF(E2="商业",IF(F16="增加",C6*C7+C16,C6*C7-C16),IF(E2="住宅",IF(F16="增加",C6*C12+C16,C6*C12-C16),IF(F16="增加",C6+C16,C6-C16))),0)</f>
        <v>#DIV/0!</v>
      </c>
      <c r="D5" s="1789">
        <f>ROUND(IF(E2="商业",IF(F16="增加",C6+C16,C6-C16)),0)</f>
        <v>0</v>
      </c>
      <c r="E5" s="2737"/>
      <c r="F5" s="2737"/>
      <c r="G5" s="2738"/>
      <c r="H5" s="2738"/>
      <c r="I5" s="2738"/>
      <c r="J5" s="2739"/>
      <c r="K5" s="2740"/>
      <c r="L5" s="2732" t="s">
        <v>2831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2832</v>
      </c>
      <c r="B6" s="2746" t="s">
        <v>2833</v>
      </c>
      <c r="C6" s="917">
        <f>SUMIF(L1:L12,G2,M1:M12)</f>
        <v>0</v>
      </c>
      <c r="D6" s="2747" t="s">
        <v>2834</v>
      </c>
      <c r="E6" s="2748"/>
      <c r="F6" s="2748"/>
      <c r="G6" s="2749"/>
      <c r="H6" s="2749"/>
      <c r="I6" s="2749"/>
      <c r="J6" s="2750"/>
      <c r="K6" s="1844"/>
      <c r="L6" s="2732" t="s">
        <v>2835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50" t="str">
        <f>IF(E2="商业",IF(C8="不临58条商业街","",2),"")</f>
        <v/>
      </c>
      <c r="B7" s="2751" t="s">
        <v>2836</v>
      </c>
      <c r="C7" s="918" t="e">
        <f>IF(C8="不临58条商业街",1,ROUND(1+(1.6*E8+1.2*E9+0.8*E10+0.4*E11)*C9,4))</f>
        <v>#DIV/0!</v>
      </c>
      <c r="D7" s="2752" t="s">
        <v>2837</v>
      </c>
      <c r="E7" s="947"/>
      <c r="F7" s="2753"/>
      <c r="G7" s="2754"/>
      <c r="H7" s="2754"/>
      <c r="I7" s="2754"/>
      <c r="J7" s="2755"/>
      <c r="K7" s="1844"/>
      <c r="L7" s="2732" t="s">
        <v>2838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251"/>
      <c r="B8" s="197" t="s">
        <v>2841</v>
      </c>
      <c r="C8" s="2756"/>
      <c r="D8" s="919" t="s">
        <v>139</v>
      </c>
      <c r="E8" s="920" t="e">
        <f>ROUND(C11/E7,4)</f>
        <v>#DIV/0!</v>
      </c>
      <c r="F8" s="2757" t="s">
        <v>2842</v>
      </c>
      <c r="G8" s="2758"/>
      <c r="H8" s="2758"/>
      <c r="I8" s="2758"/>
      <c r="J8" s="2759"/>
      <c r="K8" s="1372"/>
      <c r="L8" s="2732"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43" t="s">
        <v>2844</v>
      </c>
      <c r="X8" s="3244"/>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51"/>
      <c r="B9" s="197" t="s">
        <v>2857</v>
      </c>
      <c r="C9" s="921">
        <f>SUMIF(修正!C59:C119,C8,修正!E59:E119)</f>
        <v>0</v>
      </c>
      <c r="D9" s="199" t="s">
        <v>140</v>
      </c>
      <c r="E9" s="199" t="e">
        <f>ROUND(C11/E7,4)</f>
        <v>#DIV/0!</v>
      </c>
      <c r="F9" s="2757" t="s">
        <v>2858</v>
      </c>
      <c r="G9" s="2758"/>
      <c r="H9" s="2758"/>
      <c r="I9" s="2758"/>
      <c r="J9" s="2759"/>
      <c r="K9" s="1372"/>
      <c r="L9" s="2732"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45"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1"/>
      <c r="B10" s="197" t="s">
        <v>2862</v>
      </c>
      <c r="C10" s="199">
        <f>SUMIF(修正!C59:C119,C8,修正!F59:F119)</f>
        <v>0</v>
      </c>
      <c r="D10" s="199" t="s">
        <v>141</v>
      </c>
      <c r="E10" s="199" t="e">
        <f>ROUND(C11/E7,4)</f>
        <v>#DIV/0!</v>
      </c>
      <c r="F10" s="2757" t="s">
        <v>2863</v>
      </c>
      <c r="G10" s="2758"/>
      <c r="H10" s="2758"/>
      <c r="I10" s="2758"/>
      <c r="J10" s="2759"/>
      <c r="K10" s="1372"/>
      <c r="L10" s="2732"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4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1"/>
      <c r="B11" s="2760" t="s">
        <v>2865</v>
      </c>
      <c r="C11" s="922">
        <f>C10/4</f>
        <v>0</v>
      </c>
      <c r="D11" s="922" t="s">
        <v>142</v>
      </c>
      <c r="E11" s="922" t="e">
        <f>ROUND(C11/E7,4)</f>
        <v>#DIV/0!</v>
      </c>
      <c r="F11" s="2761" t="s">
        <v>2866</v>
      </c>
      <c r="G11" s="2762"/>
      <c r="H11" s="2762"/>
      <c r="I11" s="2762"/>
      <c r="J11" s="2763"/>
      <c r="K11" s="1372"/>
      <c r="L11" s="2732"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45"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50" t="s">
        <v>2870</v>
      </c>
      <c r="B12" s="2764" t="s">
        <v>2871</v>
      </c>
      <c r="C12" s="918">
        <f>ROUND(C15*D15*E15*F15*G15*H15*I15*J15,4)</f>
        <v>1</v>
      </c>
      <c r="D12" s="2765" t="s">
        <v>2872</v>
      </c>
      <c r="E12" s="2766"/>
      <c r="F12" s="2766"/>
      <c r="G12" s="2767"/>
      <c r="H12" s="2767"/>
      <c r="I12" s="2767"/>
      <c r="J12" s="2768"/>
      <c r="K12" s="1372"/>
      <c r="L12" s="2769"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45"/>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2"/>
      <c r="B13" s="2770" t="s">
        <v>2875</v>
      </c>
      <c r="C13" s="2771" t="s">
        <v>2876</v>
      </c>
      <c r="D13" s="1810" t="s">
        <v>2877</v>
      </c>
      <c r="E13" s="1810" t="s">
        <v>2878</v>
      </c>
      <c r="F13" s="30" t="s">
        <v>2879</v>
      </c>
      <c r="G13" s="2772" t="s">
        <v>2880</v>
      </c>
      <c r="H13" s="2772" t="s">
        <v>2880</v>
      </c>
      <c r="I13" s="2772" t="s">
        <v>2880</v>
      </c>
      <c r="J13" s="2773" t="s">
        <v>2880</v>
      </c>
      <c r="K13" s="1372"/>
      <c r="L13" s="1372"/>
      <c r="M13" s="1372"/>
      <c r="N13" s="1372"/>
      <c r="O13" s="1372"/>
      <c r="P13" s="1372"/>
      <c r="Q13" s="1372"/>
      <c r="R13" s="1604">
        <v>12</v>
      </c>
      <c r="S13" s="1605"/>
      <c r="T13" s="1604" t="e">
        <f t="shared" si="0"/>
        <v>#DIV/0!</v>
      </c>
      <c r="U13" s="1605"/>
      <c r="V13" s="1604" t="e">
        <f t="shared" si="1"/>
        <v>#DIV/0!</v>
      </c>
      <c r="W13" s="3245"/>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52"/>
      <c r="B14" s="2774"/>
      <c r="C14" s="2775"/>
      <c r="D14" s="2776"/>
      <c r="E14" s="2776"/>
      <c r="F14" s="2777"/>
      <c r="G14" s="2778" t="s">
        <v>2881</v>
      </c>
      <c r="H14" s="2779"/>
      <c r="I14" s="2780"/>
      <c r="J14" s="2781"/>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53"/>
      <c r="B15" s="2782" t="s">
        <v>2882</v>
      </c>
      <c r="C15" s="228">
        <f>IF(C14="有",1.1,1)</f>
        <v>1</v>
      </c>
      <c r="D15" s="228">
        <f>IF(D14="有",1.1,1)</f>
        <v>1</v>
      </c>
      <c r="E15" s="228">
        <f>IF(E14="有",1.1,1)</f>
        <v>1</v>
      </c>
      <c r="F15" s="228">
        <f>IF(F14="500米范围内",1.2,IF(F14="500-1000米",1.1,1))</f>
        <v>1</v>
      </c>
      <c r="G15" s="948">
        <v>1</v>
      </c>
      <c r="H15" s="948">
        <v>1</v>
      </c>
      <c r="I15" s="948">
        <v>1</v>
      </c>
      <c r="J15" s="949">
        <v>1</v>
      </c>
      <c r="K15" s="1372"/>
      <c r="L15" s="2783" t="s">
        <v>2818</v>
      </c>
      <c r="M15" s="919" t="s">
        <v>2883</v>
      </c>
      <c r="N15" s="919" t="s">
        <v>2884</v>
      </c>
      <c r="O15" s="919" t="s">
        <v>2885</v>
      </c>
      <c r="P15" s="2784"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0" t="s">
        <v>2887</v>
      </c>
      <c r="B16" s="2751" t="s">
        <v>2888</v>
      </c>
      <c r="C16" s="1803" t="e">
        <f>ROUND(SUM(G17:J17)/C17,0)</f>
        <v>#DIV/0!</v>
      </c>
      <c r="D16" s="2785" t="s">
        <v>2889</v>
      </c>
      <c r="E16" s="2786"/>
      <c r="F16" s="2787"/>
      <c r="G16" s="2788"/>
      <c r="H16" s="2788"/>
      <c r="I16" s="2788"/>
      <c r="J16" s="2789"/>
      <c r="K16" s="1372"/>
      <c r="L16" s="2790"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1"/>
      <c r="B17" s="2791" t="s">
        <v>2891</v>
      </c>
      <c r="C17" s="923">
        <f>SUMPRODUCT((修正!A2:A5=E2)*(修正!B1:M1=G2)*(修正!B2:M5))</f>
        <v>0</v>
      </c>
      <c r="D17" s="2792"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2895</v>
      </c>
      <c r="C18" s="925">
        <f>SUMIF(修正!C18:C39,E3,修正!E18:E39)</f>
        <v>0</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7.75" thickBot="1">
      <c r="A19" s="2795" t="s">
        <v>809</v>
      </c>
      <c r="B19" s="2796" t="s">
        <v>2896</v>
      </c>
      <c r="C19" s="926" t="e">
        <f>ROUND(IF(H19="按公示增长率计算",SUMPRODUCT((地价!A3:A23=YEAR(G19)&amp;"-"&amp;ROUNDUP(MONTH(G19)/3,0))*(地价!X2:AB2=E2)*(地价!X3:AB23)),IF(H19="地价指数",M20/M19,(1+I19)^O19)),4)</f>
        <v>#DIV/0!</v>
      </c>
      <c r="D19" s="2803" t="s">
        <v>2897</v>
      </c>
      <c r="E19" s="927">
        <v>41640</v>
      </c>
      <c r="F19" s="2803" t="s">
        <v>2898</v>
      </c>
      <c r="G19" s="928">
        <f>'数据-取费表'!B2</f>
        <v>43355</v>
      </c>
      <c r="H19" s="2804" t="s">
        <v>2899</v>
      </c>
      <c r="I19" s="929" t="str">
        <f>IF(H19="季度增幅（自定义）",SUMIF(N21:N24,E2,O21:O24),"")</f>
        <v/>
      </c>
      <c r="J19" s="2801"/>
      <c r="K19" s="1379"/>
      <c r="L19" s="2805" t="s">
        <v>2900</v>
      </c>
      <c r="M19" s="1736">
        <f>ROUND(SUMIF(地价!B2:F2,E2,地价!B23:F23),0)</f>
        <v>0</v>
      </c>
      <c r="N19" s="2806" t="s">
        <v>2901</v>
      </c>
      <c r="O19" s="930">
        <f>ROUNDDOWN(DATEDIF(E19,G19,"M")/3,0)</f>
        <v>18</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2902</v>
      </c>
      <c r="C20" s="931" t="e">
        <f>ROUND(POWER(1+G20,J20-I20)*(POWER(1+G20,I20)-1)/(POWER(1+G20,J20)-1),4)</f>
        <v>#DIV/0!</v>
      </c>
      <c r="D20" s="2812" t="s">
        <v>2903</v>
      </c>
      <c r="E20" s="1770">
        <f ca="1">存贷款利率!D4/100</f>
        <v>4.3499999999999997E-2</v>
      </c>
      <c r="F20" s="2812" t="s">
        <v>2894</v>
      </c>
      <c r="G20" s="936">
        <f>SUMIF(M15:P15,E2,M17:P17)</f>
        <v>0</v>
      </c>
      <c r="H20" s="2812" t="s">
        <v>2904</v>
      </c>
      <c r="I20" s="937" t="e">
        <f>SUMIF('数据-取费表'!C6:C15,E2,'数据-取费表'!F6:F15)/COUNTIF('数据-取费表'!C6:C15,E2)</f>
        <v>#DIV/0!</v>
      </c>
      <c r="J20" s="938">
        <f>IF(E2="住宅",70,IF(E2="商业",40,50))</f>
        <v>50</v>
      </c>
      <c r="K20" s="1379"/>
      <c r="L20" s="2813" t="s">
        <v>2905</v>
      </c>
      <c r="M20" s="1737">
        <f>ROUND(SUMPRODUCT((地价!A4:A23=YEAR(G19)&amp;"-"&amp;ROUNDUP(MONTH(G19)/3,0))*(地价!B2:F2=E2)*(地价!B4:F23)),0)</f>
        <v>0</v>
      </c>
      <c r="N20" s="2814" t="s">
        <v>2906</v>
      </c>
      <c r="O20" s="2815" t="s">
        <v>2907</v>
      </c>
      <c r="P20" s="2816" t="s">
        <v>2908</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2909</v>
      </c>
      <c r="C21" s="939" t="e">
        <f>IF(B21="容积率修正",IF(G3&lt;=10,D22,J22),C23)</f>
        <v>#DIV/0!</v>
      </c>
      <c r="D21" s="2819"/>
      <c r="E21" s="2819"/>
      <c r="F21" s="2819"/>
      <c r="G21" s="2819"/>
      <c r="H21" s="2819"/>
      <c r="I21" s="2819"/>
      <c r="J21" s="2820"/>
      <c r="K21" s="1379"/>
      <c r="N21" s="2821" t="s">
        <v>2910</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4" customFormat="1" ht="14.25">
      <c r="A22" s="2670" t="s">
        <v>2911</v>
      </c>
      <c r="B22" s="2822" t="s">
        <v>2912</v>
      </c>
      <c r="C22" s="1812" t="s">
        <v>2913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1" t="s">
        <v>2914</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70" t="s">
        <v>2915</v>
      </c>
      <c r="B23" s="2823" t="s">
        <v>2916</v>
      </c>
      <c r="C23" s="1015" t="e">
        <f>ROUND(IF(G3&gt;1,IF(I3&lt;7,SUMPRODUCT((B93:B98=I3)*(C92:N92=G2)*(C93:N98)),SUMIF(C92:N92,G2,C100:N100)),IF(I3&lt;7,SUMPRODUCT((B102:B107=I3)*(C92:N92=G2)*(C102:N107)),SUMIF(C92:N92,G2,C109:N109))),4)</f>
        <v>#DIV/0!</v>
      </c>
      <c r="D23" s="2779"/>
      <c r="E23" s="2779"/>
      <c r="F23" s="2824"/>
      <c r="G23" s="2825"/>
      <c r="H23" s="2826"/>
      <c r="I23" s="2827"/>
      <c r="J23" s="2828"/>
      <c r="K23" s="1372"/>
      <c r="N23" s="2821" t="s">
        <v>2917</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2918</v>
      </c>
      <c r="C24" s="926">
        <f>SUMIF(A45:A88,E2,B45:B88)</f>
        <v>0</v>
      </c>
      <c r="D24" s="2799"/>
      <c r="E24" s="2829"/>
      <c r="F24" s="2829"/>
      <c r="G24" s="2829"/>
      <c r="H24" s="2829"/>
      <c r="I24" s="2829"/>
      <c r="J24" s="2830"/>
      <c r="K24" s="1379"/>
      <c r="N24" s="2831" t="s">
        <v>2919</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2920</v>
      </c>
      <c r="C25" s="932"/>
      <c r="D25" s="2754"/>
      <c r="E25" s="2754"/>
      <c r="F25" s="2833"/>
      <c r="G25" s="2754"/>
      <c r="H25" s="2754"/>
      <c r="I25" s="2754"/>
      <c r="J25" s="2755"/>
      <c r="K25" s="1372"/>
      <c r="N25" s="2834" t="s">
        <v>2921</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5"/>
      <c r="B26" s="2822" t="s">
        <v>2922</v>
      </c>
      <c r="C26" s="205" t="e">
        <f>E29+SUM(E33:E39)</f>
        <v>#DIV/0!</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2923</v>
      </c>
      <c r="C27" s="933" t="e">
        <f>E30+SUM(I33:I39)</f>
        <v>#DIV/0!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2924</v>
      </c>
      <c r="C28" s="2846" t="s">
        <v>2925</v>
      </c>
      <c r="D28" s="2846" t="s">
        <v>2926</v>
      </c>
      <c r="E28" s="2847" t="s">
        <v>2927</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2928</v>
      </c>
      <c r="C29" s="205" t="e">
        <f>ROUND(C5*C18*C19*C20*C21*C24,0)</f>
        <v>#DIV/0!</v>
      </c>
      <c r="D29" s="2851"/>
      <c r="E29" s="944" t="e">
        <f>ROUND(C29*D29/10000,0)</f>
        <v>#DIV/0!</v>
      </c>
      <c r="F29" s="2852" t="s">
        <v>2929</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2930</v>
      </c>
      <c r="C30" s="228" t="e">
        <f>ROUND(IF(E2="工业",C29*M39,C29*M38),0)</f>
        <v>#DIV/0!</v>
      </c>
      <c r="D30" s="2857"/>
      <c r="E30" s="944" t="e">
        <f>ROUND(C30*D30/10000,0)</f>
        <v>#DIV/0!</v>
      </c>
      <c r="F30" s="2858" t="s">
        <v>2931</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0" t="s">
        <v>2925</v>
      </c>
      <c r="D32" s="497" t="s">
        <v>2926</v>
      </c>
      <c r="E32" s="497" t="s">
        <v>2927</v>
      </c>
      <c r="F32" s="387" t="s">
        <v>2935</v>
      </c>
      <c r="G32" s="2866" t="s">
        <v>2925</v>
      </c>
      <c r="H32" s="2866" t="s">
        <v>2926</v>
      </c>
      <c r="I32" s="2866"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260" t="s">
        <v>2936</v>
      </c>
      <c r="B33" s="2867" t="s">
        <v>2937</v>
      </c>
      <c r="C33" s="205" t="e">
        <f>ROUND(D5*C19*C20*C24*F33,0)</f>
        <v>#DIV/0!</v>
      </c>
      <c r="D33" s="2851"/>
      <c r="E33" s="199" t="e">
        <f>ROUND(C33*D33/10000,0)</f>
        <v>#DIV/0!</v>
      </c>
      <c r="F33" s="199">
        <f>SUMIF(修正!A45:A56,G2,修正!B45:B56)</f>
        <v>0</v>
      </c>
      <c r="G33" s="199" t="e">
        <f t="shared" ref="G33" si="6">ROUND(IF(E2="工业",C33*$M$39,C33*$M$38),0)</f>
        <v>#DIV/0!</v>
      </c>
      <c r="H33" s="199">
        <f>D33</f>
        <v>0</v>
      </c>
      <c r="I33" s="199" t="e">
        <f>ROUND(G33*H33/10000,0)</f>
        <v>#DIV/0!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1"/>
      <c r="B34" s="2771" t="s">
        <v>2938</v>
      </c>
      <c r="C34" s="205" t="e">
        <f>ROUND(D5*C19*C20*C24*F34,0)</f>
        <v>#DIV/0!</v>
      </c>
      <c r="D34" s="285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1"/>
      <c r="B35" s="2771" t="s">
        <v>2939</v>
      </c>
      <c r="C35" s="205" t="e">
        <f>ROUND(D5*C19*C20*C24*F35,0)</f>
        <v>#DIV/0!</v>
      </c>
      <c r="D35" s="2851"/>
      <c r="E35" s="199" t="e">
        <f t="shared" si="7"/>
        <v>#DIV/0!</v>
      </c>
      <c r="F35" s="199">
        <f>SUMIF(修正!A45:A56,G2,修正!D45:D56)</f>
        <v>0</v>
      </c>
      <c r="G35" s="199" t="e">
        <f>ROUND(IF(E2="工业",C35*$M$39,C35*$M$38),0)</f>
        <v>#DIV/0!</v>
      </c>
      <c r="H35" s="199">
        <f t="shared" si="8"/>
        <v>0</v>
      </c>
      <c r="I35" s="199" t="e">
        <f t="shared" si="9"/>
        <v>#DIV/0!</v>
      </c>
      <c r="J35" s="2868"/>
      <c r="K35" s="1372"/>
      <c r="L35" s="1372"/>
      <c r="M35" s="1372"/>
      <c r="N35" s="1372"/>
      <c r="O35" s="1372"/>
      <c r="P35" s="1372"/>
      <c r="Q35" s="1372"/>
      <c r="R35" s="1372"/>
      <c r="S35" s="1372"/>
      <c r="T35" s="1372"/>
      <c r="U35" s="1372"/>
      <c r="V35" s="1372"/>
      <c r="W35" s="1372"/>
      <c r="X35" s="1372"/>
      <c r="Y35" s="1372"/>
      <c r="Z35" s="1373"/>
    </row>
    <row r="36" spans="1:37" ht="13.5" thickBot="1">
      <c r="A36" s="3262"/>
      <c r="B36" s="2771" t="s">
        <v>2940</v>
      </c>
      <c r="C36" s="205" t="e">
        <f>ROUND(D5*C19*C20*C24*F36,0)</f>
        <v>#DIV/0!</v>
      </c>
      <c r="D36" s="2851"/>
      <c r="E36" s="199" t="e">
        <f t="shared" si="7"/>
        <v>#DIV/0!</v>
      </c>
      <c r="F36" s="199">
        <f>SUMIF(修正!A45:A56,G2,修正!E45:E56)</f>
        <v>0</v>
      </c>
      <c r="G36" s="199" t="e">
        <f>ROUND(IF(E2="工业",C36*$M$39,C36*$M$38),0)</f>
        <v>#DIV/0!</v>
      </c>
      <c r="H36" s="199">
        <f t="shared" si="8"/>
        <v>0</v>
      </c>
      <c r="I36" s="199" t="e">
        <f t="shared" si="9"/>
        <v>#DIV/0!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2941</v>
      </c>
      <c r="C37" s="199" t="e">
        <f>ROUND(C5*C19*C20*C24*F37,0)</f>
        <v>#DIV/0!</v>
      </c>
      <c r="D37" s="2851"/>
      <c r="E37" s="199" t="e">
        <f t="shared" si="7"/>
        <v>#DIV/0!</v>
      </c>
      <c r="F37" s="205">
        <f>SUMIF(修正!A45:A56,G2,修正!F45:F56)</f>
        <v>0</v>
      </c>
      <c r="G37" s="199" t="e">
        <f>ROUND(IF(E2="工业",C37*$M$39,C37*$M$38),0)</f>
        <v>#DIV/0!</v>
      </c>
      <c r="H37" s="199">
        <f t="shared" si="8"/>
        <v>0</v>
      </c>
      <c r="I37" s="199" t="e">
        <f t="shared" si="9"/>
        <v>#DIV/0!</v>
      </c>
      <c r="J37" s="2868"/>
      <c r="K37" s="1372"/>
      <c r="L37" s="2870" t="s">
        <v>2942</v>
      </c>
      <c r="M37" s="2871"/>
      <c r="N37" s="1372"/>
      <c r="O37" s="1372"/>
      <c r="P37" s="1372"/>
      <c r="Q37" s="1372"/>
      <c r="R37" s="1372"/>
      <c r="S37" s="1372"/>
      <c r="T37" s="1372"/>
      <c r="U37" s="1372"/>
      <c r="V37" s="1372"/>
      <c r="W37" s="1372"/>
      <c r="X37" s="1372"/>
      <c r="Y37" s="1372"/>
      <c r="Z37" s="1373"/>
    </row>
    <row r="38" spans="1:37">
      <c r="A38" s="2869"/>
      <c r="B38" s="2771" t="s">
        <v>2943</v>
      </c>
      <c r="C38" s="199" t="e">
        <f>ROUND(C5*C19*C20*C24*F38,0)</f>
        <v>#DIV/0!</v>
      </c>
      <c r="D38" s="2851"/>
      <c r="E38" s="199" t="e">
        <f t="shared" si="7"/>
        <v>#DIV/0!</v>
      </c>
      <c r="F38" s="205">
        <f>SUMIF(修正!A45:A56,G2,修正!G45:G56)</f>
        <v>0</v>
      </c>
      <c r="G38" s="199" t="e">
        <f>ROUND(IF(E2="工业",C38*$M$39,C38*$M$38),0)</f>
        <v>#DIV/0!</v>
      </c>
      <c r="H38" s="199">
        <f t="shared" si="8"/>
        <v>0</v>
      </c>
      <c r="I38" s="199" t="e">
        <f t="shared" si="9"/>
        <v>#DIV/0!</v>
      </c>
      <c r="J38" s="2868"/>
      <c r="K38" s="1372"/>
      <c r="L38" s="1889" t="s">
        <v>2944</v>
      </c>
      <c r="M38" s="2872">
        <v>0.25</v>
      </c>
      <c r="N38" s="1372"/>
      <c r="O38" s="1372"/>
      <c r="P38" s="1372"/>
      <c r="Q38" s="1372"/>
      <c r="R38" s="1372"/>
      <c r="S38" s="1372"/>
      <c r="T38" s="1372"/>
      <c r="U38" s="1372"/>
      <c r="V38" s="1372"/>
      <c r="W38" s="1372"/>
      <c r="X38" s="1372"/>
      <c r="Y38" s="1372"/>
      <c r="Z38" s="1373"/>
    </row>
    <row r="39" spans="1:37" ht="13.5" thickBot="1">
      <c r="A39" s="2855"/>
      <c r="B39" s="2873" t="s">
        <v>2945</v>
      </c>
      <c r="C39" s="228" t="e">
        <f>ROUND(C5*C19*C20*C24*F39,0)</f>
        <v>#DIV/0!</v>
      </c>
      <c r="D39" s="2857"/>
      <c r="E39" s="228" t="e">
        <f t="shared" si="7"/>
        <v>#DIV/0!</v>
      </c>
      <c r="F39" s="934">
        <f>SUMIF(修正!A45:A56,G2,修正!H45:H56)</f>
        <v>0</v>
      </c>
      <c r="G39" s="228" t="e">
        <f>ROUND(IF(E2="工业",C39*$M$39,C39*$M$38),0)</f>
        <v>#DIV/0!</v>
      </c>
      <c r="H39" s="228">
        <f t="shared" si="8"/>
        <v>0</v>
      </c>
      <c r="I39" s="228" t="e">
        <f t="shared" si="9"/>
        <v>#DIV/0!</v>
      </c>
      <c r="J39" s="2874"/>
      <c r="K39" s="1372"/>
      <c r="L39" s="2875" t="s">
        <v>2886</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2946</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2947</v>
      </c>
      <c r="B46" s="2881">
        <f>1+E48</f>
        <v>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2948</v>
      </c>
      <c r="B47" s="1811" t="s">
        <v>2949</v>
      </c>
      <c r="C47" s="1811" t="s">
        <v>2950</v>
      </c>
      <c r="D47" s="1811" t="s">
        <v>2951</v>
      </c>
      <c r="E47" s="818" t="s">
        <v>2952</v>
      </c>
      <c r="F47" s="2885" t="s">
        <v>2953</v>
      </c>
      <c r="G47" s="1811" t="s">
        <v>754</v>
      </c>
      <c r="H47" s="2886"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4" t="s">
        <v>2956</v>
      </c>
      <c r="B48" s="2887" t="str">
        <f>估价对象房地状况!C4</f>
        <v>估价对象位于XX商圈，周边商业氛围成熟，人流量大，商业繁华度好</v>
      </c>
      <c r="C48" s="2776"/>
      <c r="D48" s="1288">
        <f t="shared" ref="D48:D56" si="10">SUMIF($J$47:$N$47,C48,J48:N48)</f>
        <v>0</v>
      </c>
      <c r="E48" s="820">
        <f>ROUND(SUM(D48:D56),4)</f>
        <v>0</v>
      </c>
      <c r="F48" s="2507"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4" t="s">
        <v>2957</v>
      </c>
      <c r="B49" s="2888" t="str">
        <f>估价对象房地状况!C18</f>
        <v>估价对象周边道路状况、公共交通通达情况、停车便捷程度，综合评价交通便捷度较好</v>
      </c>
      <c r="C49" s="2776"/>
      <c r="D49" s="1288">
        <f t="shared" si="10"/>
        <v>0</v>
      </c>
      <c r="E49" s="821"/>
      <c r="F49" s="2507"/>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4" t="s">
        <v>2958</v>
      </c>
      <c r="B50" s="2888">
        <f>估价对象房地状况!C19</f>
        <v>0</v>
      </c>
      <c r="C50" s="2776"/>
      <c r="D50" s="1288">
        <f t="shared" si="10"/>
        <v>0</v>
      </c>
      <c r="E50" s="821"/>
      <c r="F50" s="2507"/>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4" t="s">
        <v>2959</v>
      </c>
      <c r="B51" s="2889" t="s">
        <v>2960</v>
      </c>
      <c r="C51" s="2776"/>
      <c r="D51" s="1288">
        <f t="shared" si="10"/>
        <v>0</v>
      </c>
      <c r="E51" s="821"/>
      <c r="F51" s="2507"/>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4" t="s">
        <v>2961</v>
      </c>
      <c r="B52" s="2888">
        <f>估价对象房地状况!C24</f>
        <v>0</v>
      </c>
      <c r="C52" s="2776"/>
      <c r="D52" s="1288">
        <f t="shared" si="10"/>
        <v>0</v>
      </c>
      <c r="E52" s="821"/>
      <c r="F52" s="2507"/>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4" t="s">
        <v>2962</v>
      </c>
      <c r="B53" s="2890" t="s">
        <v>2963</v>
      </c>
      <c r="C53" s="2776"/>
      <c r="D53" s="1288">
        <f t="shared" si="10"/>
        <v>0</v>
      </c>
      <c r="E53" s="821"/>
      <c r="F53" s="2507"/>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1" t="s">
        <v>2964</v>
      </c>
      <c r="B54" s="1727" t="str">
        <f>估价对象房地状况!C21</f>
        <v>估价对象所在区域公共配套设施齐备情况</v>
      </c>
      <c r="C54" s="2776"/>
      <c r="D54" s="1288">
        <f t="shared" si="10"/>
        <v>0</v>
      </c>
      <c r="E54" s="821"/>
      <c r="F54" s="2507"/>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1" t="s">
        <v>2965</v>
      </c>
      <c r="B55" s="2888" t="str">
        <f>估价对象房地状况!C22</f>
        <v>估价对象所在区域基础设施水平</v>
      </c>
      <c r="C55" s="2776"/>
      <c r="D55" s="1288">
        <f t="shared" si="10"/>
        <v>0</v>
      </c>
      <c r="E55" s="821"/>
      <c r="F55" s="2507"/>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2" t="s">
        <v>2966</v>
      </c>
      <c r="B56" s="2893" t="str">
        <f>估价对象房地状况!C20</f>
        <v>区域自然环境：；人文环境；综合评价环境状况一般</v>
      </c>
      <c r="C56" s="2776"/>
      <c r="D56" s="1288">
        <f t="shared" si="10"/>
        <v>0</v>
      </c>
      <c r="E56" s="824"/>
      <c r="F56" s="2507"/>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0" t="s">
        <v>2967</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2948</v>
      </c>
      <c r="B58" s="1811"/>
      <c r="C58" s="1811" t="s">
        <v>2950</v>
      </c>
      <c r="D58" s="1811" t="s">
        <v>2951</v>
      </c>
      <c r="E58" s="818" t="s">
        <v>2952</v>
      </c>
      <c r="F58" s="2885" t="s">
        <v>2968</v>
      </c>
      <c r="G58" s="1811" t="s">
        <v>754</v>
      </c>
      <c r="H58" s="2886"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4" t="s">
        <v>2969</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2957</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2958</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2959</v>
      </c>
      <c r="B62" s="2889" t="s">
        <v>2960</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2961</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2962</v>
      </c>
      <c r="B64" s="2890" t="s">
        <v>2963</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2964</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2965</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2966</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2970</v>
      </c>
      <c r="B68" s="2881">
        <f>1+E70</f>
        <v>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2948</v>
      </c>
      <c r="B69" s="1811"/>
      <c r="C69" s="1811" t="s">
        <v>2950</v>
      </c>
      <c r="D69" s="1811" t="s">
        <v>2951</v>
      </c>
      <c r="E69" s="818" t="s">
        <v>2952</v>
      </c>
      <c r="F69" s="2885" t="s">
        <v>2968</v>
      </c>
      <c r="G69" s="1811" t="s">
        <v>754</v>
      </c>
      <c r="H69" s="2886"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4" t="s">
        <v>2971</v>
      </c>
      <c r="B70" s="2887" t="str">
        <f>估价对象房地状况!C15</f>
        <v>估价对象周边居住用地比例、居住小区规模和社区发展完善程度，综合评价居住社区成熟度一般</v>
      </c>
      <c r="C70" s="2776"/>
      <c r="D70" s="1288">
        <f t="shared" ref="D70:D78" si="20">SUMIF($J$69:$N$69,C70,J70:N70)</f>
        <v>0</v>
      </c>
      <c r="E70" s="820">
        <f>ROUND(SUM(D70:D78),4)</f>
        <v>0</v>
      </c>
      <c r="F70" s="250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4" t="s">
        <v>2957</v>
      </c>
      <c r="B71" s="2888" t="str">
        <f>估价对象房地状况!C18</f>
        <v>估价对象周边道路状况、公共交通通达情况、停车便捷程度，综合评价交通便捷度较好</v>
      </c>
      <c r="C71" s="2776"/>
      <c r="D71" s="1288">
        <f t="shared" si="20"/>
        <v>0</v>
      </c>
      <c r="E71" s="825"/>
      <c r="F71" s="250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4" t="s">
        <v>2958</v>
      </c>
      <c r="B72" s="2888">
        <f>估价对象房地状况!C19</f>
        <v>0</v>
      </c>
      <c r="C72" s="2776"/>
      <c r="D72" s="1288">
        <f t="shared" si="20"/>
        <v>0</v>
      </c>
      <c r="E72" s="825"/>
      <c r="F72" s="250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4" t="s">
        <v>2972</v>
      </c>
      <c r="B73" s="2888">
        <f>估价对象房地状况!C24</f>
        <v>0</v>
      </c>
      <c r="C73" s="2776"/>
      <c r="D73" s="1288">
        <f t="shared" si="20"/>
        <v>0</v>
      </c>
      <c r="E73" s="825"/>
      <c r="F73" s="250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4" t="s">
        <v>2964</v>
      </c>
      <c r="B74" s="1727" t="str">
        <f>估价对象房地状况!C21</f>
        <v>估价对象所在区域公共配套设施齐备情况</v>
      </c>
      <c r="C74" s="2776"/>
      <c r="D74" s="1288">
        <f t="shared" si="20"/>
        <v>0</v>
      </c>
      <c r="E74" s="825"/>
      <c r="F74" s="250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4" t="s">
        <v>2965</v>
      </c>
      <c r="B75" s="1727" t="str">
        <f>估价对象房地状况!C22</f>
        <v>估价对象所在区域基础设施水平</v>
      </c>
      <c r="C75" s="2776"/>
      <c r="D75" s="1288">
        <f t="shared" si="20"/>
        <v>0</v>
      </c>
      <c r="E75" s="825"/>
      <c r="F75" s="250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5" customFormat="1" ht="24">
      <c r="A76" s="2884" t="s">
        <v>2962</v>
      </c>
      <c r="B76" s="2890" t="s">
        <v>2963</v>
      </c>
      <c r="C76" s="2776"/>
      <c r="D76" s="1288">
        <f t="shared" si="20"/>
        <v>0</v>
      </c>
      <c r="E76" s="825"/>
      <c r="F76" s="2507"/>
      <c r="G76" s="1286"/>
      <c r="H76" s="1290" t="str">
        <f t="shared" si="21"/>
        <v>——</v>
      </c>
      <c r="I76" s="819">
        <v>0.05</v>
      </c>
      <c r="J76" s="1287">
        <f t="shared" si="22"/>
        <v>0</v>
      </c>
      <c r="K76" s="1287">
        <f t="shared" si="23"/>
        <v>0</v>
      </c>
      <c r="L76" s="1287">
        <v>0</v>
      </c>
      <c r="M76" s="1287">
        <f t="shared" si="24"/>
        <v>0</v>
      </c>
      <c r="N76" s="1287">
        <f t="shared" si="24"/>
        <v>0</v>
      </c>
      <c r="AA76" s="2895"/>
      <c r="AB76" s="1373"/>
      <c r="AC76" s="1373"/>
      <c r="AD76" s="1373"/>
      <c r="AE76" s="1373"/>
      <c r="AF76" s="1373"/>
      <c r="AG76" s="1373"/>
      <c r="AH76" s="2895"/>
      <c r="AI76" s="2895"/>
      <c r="AJ76" s="2895"/>
      <c r="AK76" s="2895"/>
    </row>
    <row r="77" spans="1:37" ht="38.25">
      <c r="A77" s="2884" t="s">
        <v>2966</v>
      </c>
      <c r="B77" s="2887" t="str">
        <f>估价对象房地状况!C20</f>
        <v>区域自然环境：；人文环境；综合评价环境状况一般</v>
      </c>
      <c r="C77" s="2776"/>
      <c r="D77" s="1288">
        <f t="shared" si="20"/>
        <v>0</v>
      </c>
      <c r="E77" s="825"/>
      <c r="F77" s="2507"/>
      <c r="G77" s="1286"/>
      <c r="H77" s="1290" t="str">
        <f t="shared" si="21"/>
        <v>——</v>
      </c>
      <c r="I77" s="819">
        <v>0.15</v>
      </c>
      <c r="J77" s="1287">
        <f t="shared" si="22"/>
        <v>0</v>
      </c>
      <c r="K77" s="1287">
        <f t="shared" si="23"/>
        <v>0</v>
      </c>
      <c r="L77" s="1287">
        <v>0</v>
      </c>
      <c r="M77" s="1287">
        <f t="shared" si="24"/>
        <v>0</v>
      </c>
      <c r="N77" s="1287">
        <f t="shared" si="24"/>
        <v>0</v>
      </c>
      <c r="Z77" s="2726"/>
      <c r="AA77" s="2802"/>
      <c r="AG77" s="1374"/>
      <c r="AK77" s="2802"/>
    </row>
    <row r="78" spans="1:37" ht="24.75" thickBot="1">
      <c r="A78" s="2892" t="s">
        <v>2973</v>
      </c>
      <c r="B78" s="2896"/>
      <c r="C78" s="2776"/>
      <c r="D78" s="1288">
        <f t="shared" si="20"/>
        <v>0</v>
      </c>
      <c r="E78" s="826"/>
      <c r="F78" s="2507"/>
      <c r="G78" s="1286"/>
      <c r="H78" s="1290" t="str">
        <f t="shared" si="21"/>
        <v>——</v>
      </c>
      <c r="I78" s="823">
        <v>0.04</v>
      </c>
      <c r="J78" s="1287">
        <f t="shared" si="22"/>
        <v>0</v>
      </c>
      <c r="K78" s="1287">
        <f t="shared" si="23"/>
        <v>0</v>
      </c>
      <c r="L78" s="1287">
        <v>0</v>
      </c>
      <c r="M78" s="1287">
        <f t="shared" si="24"/>
        <v>0</v>
      </c>
      <c r="N78" s="1287">
        <f t="shared" si="24"/>
        <v>0</v>
      </c>
      <c r="Z78" s="2726"/>
      <c r="AA78" s="2802"/>
      <c r="AG78" s="1374"/>
      <c r="AK78" s="2802"/>
    </row>
    <row r="79" spans="1:37" ht="15">
      <c r="A79" s="2880" t="s">
        <v>2974</v>
      </c>
      <c r="B79" s="2881">
        <f>1+E81</f>
        <v>1</v>
      </c>
      <c r="C79" s="813"/>
      <c r="D79" s="813"/>
      <c r="E79" s="814"/>
      <c r="F79" s="2883"/>
      <c r="G79" s="6"/>
      <c r="H79" s="6"/>
      <c r="I79" s="6"/>
      <c r="J79" s="7"/>
      <c r="K79" s="7"/>
      <c r="L79" s="7"/>
      <c r="M79" s="7"/>
      <c r="N79" s="7"/>
      <c r="Z79" s="2726"/>
      <c r="AA79" s="2802"/>
      <c r="AG79" s="1374"/>
      <c r="AK79" s="2802"/>
    </row>
    <row r="80" spans="1:37" ht="24.75">
      <c r="A80" s="2884" t="s">
        <v>2948</v>
      </c>
      <c r="B80" s="1811"/>
      <c r="C80" s="1811" t="s">
        <v>2950</v>
      </c>
      <c r="D80" s="1811" t="s">
        <v>2951</v>
      </c>
      <c r="E80" s="818" t="s">
        <v>2952</v>
      </c>
      <c r="F80" s="2885" t="s">
        <v>2968</v>
      </c>
      <c r="G80" s="1811" t="s">
        <v>754</v>
      </c>
      <c r="H80" s="2886" t="s">
        <v>2954</v>
      </c>
      <c r="I80" s="1811" t="s">
        <v>2955</v>
      </c>
      <c r="J80" s="602" t="s">
        <v>2601</v>
      </c>
      <c r="K80" s="602" t="s">
        <v>2602</v>
      </c>
      <c r="L80" s="602" t="s">
        <v>2603</v>
      </c>
      <c r="M80" s="602" t="s">
        <v>2604</v>
      </c>
      <c r="N80" s="602" t="s">
        <v>2605</v>
      </c>
      <c r="Z80" s="2726"/>
      <c r="AA80" s="2802"/>
      <c r="AG80" s="1374"/>
      <c r="AK80" s="2802"/>
    </row>
    <row r="81" spans="1:37" ht="38.25">
      <c r="A81" s="2884" t="s">
        <v>2975</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2957</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2958</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2972</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2964</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2965</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2962</v>
      </c>
      <c r="B87" s="2890" t="s">
        <v>2976</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2977</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254" t="s">
        <v>2978</v>
      </c>
      <c r="B90" s="3254"/>
      <c r="C90" s="3254"/>
      <c r="D90" s="3254"/>
      <c r="E90" s="3254"/>
      <c r="F90" s="3254"/>
      <c r="G90" s="3254"/>
      <c r="H90" s="3254"/>
      <c r="I90" s="3254"/>
      <c r="J90" s="3254"/>
      <c r="K90" s="2898"/>
      <c r="L90" s="2898"/>
      <c r="M90" s="2898"/>
      <c r="N90" s="2898"/>
    </row>
    <row r="91" spans="1:37">
      <c r="A91" s="3256" t="s">
        <v>2979</v>
      </c>
      <c r="B91" s="3256" t="s">
        <v>2980</v>
      </c>
      <c r="C91" s="2852" t="s">
        <v>2981</v>
      </c>
      <c r="D91" s="2853"/>
      <c r="E91" s="2853"/>
      <c r="F91" s="2853"/>
      <c r="G91" s="2853"/>
      <c r="H91" s="2853"/>
      <c r="I91" s="2853"/>
      <c r="J91" s="2899"/>
      <c r="K91" s="2900"/>
      <c r="L91" s="2900"/>
      <c r="M91" s="2900"/>
      <c r="N91" s="2900"/>
    </row>
    <row r="92" spans="1:37">
      <c r="A92" s="3256"/>
      <c r="B92" s="3256"/>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257"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8"/>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8"/>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8"/>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8"/>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8"/>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8"/>
      <c r="B99" s="2901" t="s">
        <v>2861</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9"/>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7" t="s">
        <v>2983</v>
      </c>
      <c r="B101" s="2905" t="s">
        <v>2984</v>
      </c>
      <c r="C101" s="2906" t="e">
        <f>$G$3</f>
        <v>#DIV/0!</v>
      </c>
      <c r="D101" s="2906" t="e">
        <f t="shared" ref="D101:N101" si="31">$G$3</f>
        <v>#DIV/0!</v>
      </c>
      <c r="E101" s="2906" t="e">
        <f t="shared" si="31"/>
        <v>#DIV/0!</v>
      </c>
      <c r="F101" s="2906" t="e">
        <f t="shared" si="31"/>
        <v>#DIV/0!</v>
      </c>
      <c r="G101" s="2906" t="e">
        <f t="shared" si="31"/>
        <v>#DIV/0!</v>
      </c>
      <c r="H101" s="2906" t="e">
        <f t="shared" si="31"/>
        <v>#DIV/0!</v>
      </c>
      <c r="I101" s="2906" t="e">
        <f t="shared" si="31"/>
        <v>#DIV/0!</v>
      </c>
      <c r="J101" s="2906" t="e">
        <f t="shared" si="31"/>
        <v>#DIV/0!</v>
      </c>
      <c r="K101" s="2906" t="e">
        <f t="shared" si="31"/>
        <v>#DIV/0!</v>
      </c>
      <c r="L101" s="2906" t="e">
        <f t="shared" si="31"/>
        <v>#DIV/0!</v>
      </c>
      <c r="M101" s="2906" t="e">
        <f t="shared" si="31"/>
        <v>#DIV/0!</v>
      </c>
      <c r="N101" s="2906" t="e">
        <f t="shared" si="31"/>
        <v>#DIV/0!</v>
      </c>
    </row>
    <row r="102" spans="1:14">
      <c r="A102" s="3258"/>
      <c r="B102" s="2901">
        <v>1</v>
      </c>
      <c r="C102" s="2902" t="e">
        <f>1.9362/C101</f>
        <v>#DIV/0!</v>
      </c>
      <c r="D102" s="2902" t="e">
        <f>1.9362/D101</f>
        <v>#DIV/0!</v>
      </c>
      <c r="E102" s="2902" t="e">
        <f>1.8629/E101</f>
        <v>#DIV/0!</v>
      </c>
      <c r="F102" s="2902" t="e">
        <f>1.8629/F101</f>
        <v>#DIV/0!</v>
      </c>
      <c r="G102" s="2902" t="e">
        <f>1.8629/G101</f>
        <v>#DIV/0!</v>
      </c>
      <c r="H102" s="2902" t="e">
        <f>1.8629/H101</f>
        <v>#DIV/0!</v>
      </c>
      <c r="I102" s="2902" t="e">
        <f>1.8629/I101</f>
        <v>#DIV/0!</v>
      </c>
      <c r="J102" s="2902" t="e">
        <f>1.942/J101</f>
        <v>#DIV/0!</v>
      </c>
      <c r="K102" s="2902" t="e">
        <f>1.942/K101</f>
        <v>#DIV/0!</v>
      </c>
      <c r="L102" s="2902" t="e">
        <f>1.942/L101</f>
        <v>#DIV/0!</v>
      </c>
      <c r="M102" s="2902" t="e">
        <f>1.942/M101</f>
        <v>#DIV/0!</v>
      </c>
      <c r="N102" s="2902" t="e">
        <f>1.942/N101</f>
        <v>#DIV/0!</v>
      </c>
    </row>
    <row r="103" spans="1:14">
      <c r="A103" s="3258"/>
      <c r="B103" s="2901">
        <v>2</v>
      </c>
      <c r="C103" s="2902" t="e">
        <f>1.4198/C101</f>
        <v>#DIV/0!</v>
      </c>
      <c r="D103" s="2902" t="e">
        <f>1.4198/D101</f>
        <v>#DIV/0!</v>
      </c>
      <c r="E103" s="2902" t="e">
        <f>1.3372/E101</f>
        <v>#DIV/0!</v>
      </c>
      <c r="F103" s="2902" t="e">
        <f>1.3372/F101</f>
        <v>#DIV/0!</v>
      </c>
      <c r="G103" s="2902" t="e">
        <f>1.3372/G101</f>
        <v>#DIV/0!</v>
      </c>
      <c r="H103" s="2902" t="e">
        <f>1.3372/H101</f>
        <v>#DIV/0!</v>
      </c>
      <c r="I103" s="2902" t="e">
        <f>1.3372/I101</f>
        <v>#DIV/0!</v>
      </c>
      <c r="J103" s="2902" t="e">
        <f>1.2799/J101</f>
        <v>#DIV/0!</v>
      </c>
      <c r="K103" s="2902" t="e">
        <f>1.2799/K101</f>
        <v>#DIV/0!</v>
      </c>
      <c r="L103" s="2902" t="e">
        <f>1.2799/L101</f>
        <v>#DIV/0!</v>
      </c>
      <c r="M103" s="2902" t="e">
        <f>1.2799/M101</f>
        <v>#DIV/0!</v>
      </c>
      <c r="N103" s="2902" t="e">
        <f>1.2799/N101</f>
        <v>#DIV/0!</v>
      </c>
    </row>
    <row r="104" spans="1:14">
      <c r="A104" s="3258"/>
      <c r="B104" s="2901">
        <v>3</v>
      </c>
      <c r="C104" s="2902" t="e">
        <f>1.1594/C101</f>
        <v>#DIV/0!</v>
      </c>
      <c r="D104" s="2902" t="e">
        <f>1.1594/D101</f>
        <v>#DIV/0!</v>
      </c>
      <c r="E104" s="2902" t="e">
        <f>1.0788/E101</f>
        <v>#DIV/0!</v>
      </c>
      <c r="F104" s="2902" t="e">
        <f>1.0788/F101</f>
        <v>#DIV/0!</v>
      </c>
      <c r="G104" s="2902" t="e">
        <f>1.0788/G101</f>
        <v>#DIV/0!</v>
      </c>
      <c r="H104" s="2902" t="e">
        <f>1.0788/H101</f>
        <v>#DIV/0!</v>
      </c>
      <c r="I104" s="2902" t="e">
        <f>1.0788/I101</f>
        <v>#DIV/0!</v>
      </c>
      <c r="J104" s="2902" t="e">
        <f>1.0072/J101</f>
        <v>#DIV/0!</v>
      </c>
      <c r="K104" s="2902" t="e">
        <f>1.0072/K101</f>
        <v>#DIV/0!</v>
      </c>
      <c r="L104" s="2902" t="e">
        <f>1.0072/L101</f>
        <v>#DIV/0!</v>
      </c>
      <c r="M104" s="2902" t="e">
        <f>1.0072/M101</f>
        <v>#DIV/0!</v>
      </c>
      <c r="N104" s="2902" t="e">
        <f>1.0072/N101</f>
        <v>#DIV/0!</v>
      </c>
    </row>
    <row r="105" spans="1:14">
      <c r="A105" s="3258"/>
      <c r="B105" s="2901">
        <v>4</v>
      </c>
      <c r="C105" s="2902" t="e">
        <f>0.9622/C101</f>
        <v>#DIV/0!</v>
      </c>
      <c r="D105" s="2902" t="e">
        <f>0.9622/D101</f>
        <v>#DIV/0!</v>
      </c>
      <c r="E105" s="2902" t="e">
        <f>0.8656/E101</f>
        <v>#DIV/0!</v>
      </c>
      <c r="F105" s="2902" t="e">
        <f>0.8656/F101</f>
        <v>#DIV/0!</v>
      </c>
      <c r="G105" s="2902" t="e">
        <f>0.8656/G101</f>
        <v>#DIV/0!</v>
      </c>
      <c r="H105" s="2902" t="e">
        <f>0.8656/H101</f>
        <v>#DIV/0!</v>
      </c>
      <c r="I105" s="2902" t="e">
        <f>0.8656/I101</f>
        <v>#DIV/0!</v>
      </c>
      <c r="J105" s="2902" t="e">
        <f>0.7525/J101</f>
        <v>#DIV/0!</v>
      </c>
      <c r="K105" s="2902" t="e">
        <f>0.7525/K101</f>
        <v>#DIV/0!</v>
      </c>
      <c r="L105" s="2902" t="e">
        <f>0.7525/L101</f>
        <v>#DIV/0!</v>
      </c>
      <c r="M105" s="2902" t="e">
        <f>0.7525/M101</f>
        <v>#DIV/0!</v>
      </c>
      <c r="N105" s="2902" t="e">
        <f>0.7525/N101</f>
        <v>#DIV/0!</v>
      </c>
    </row>
    <row r="106" spans="1:14">
      <c r="A106" s="3258"/>
      <c r="B106" s="2901">
        <v>5</v>
      </c>
      <c r="C106" s="2902" t="e">
        <f>0.8417/C101</f>
        <v>#DIV/0!</v>
      </c>
      <c r="D106" s="2902" t="e">
        <f>0.8417/D101</f>
        <v>#DIV/0!</v>
      </c>
      <c r="E106" s="2902" t="e">
        <f>0.7371/E101</f>
        <v>#DIV/0!</v>
      </c>
      <c r="F106" s="2902" t="e">
        <f>0.7371/F101</f>
        <v>#DIV/0!</v>
      </c>
      <c r="G106" s="2902" t="e">
        <f>0.7371/G101</f>
        <v>#DIV/0!</v>
      </c>
      <c r="H106" s="2902" t="e">
        <f>0.7371/H101</f>
        <v>#DIV/0!</v>
      </c>
      <c r="I106" s="2902" t="e">
        <f>0.7371/I101</f>
        <v>#DIV/0!</v>
      </c>
      <c r="J106" s="2902" t="e">
        <f>0.5659/J101</f>
        <v>#DIV/0!</v>
      </c>
      <c r="K106" s="2902" t="e">
        <f>0.5659/K101</f>
        <v>#DIV/0!</v>
      </c>
      <c r="L106" s="2902" t="e">
        <f>0.5659/L101</f>
        <v>#DIV/0!</v>
      </c>
      <c r="M106" s="2902" t="e">
        <f>0.5659/M101</f>
        <v>#DIV/0!</v>
      </c>
      <c r="N106" s="2902" t="e">
        <f>0.5659/N101</f>
        <v>#DIV/0!</v>
      </c>
    </row>
    <row r="107" spans="1:14">
      <c r="A107" s="3258"/>
      <c r="B107" s="2901">
        <v>6</v>
      </c>
      <c r="C107" s="2902" t="e">
        <f>0.7608/C101</f>
        <v>#DIV/0!</v>
      </c>
      <c r="D107" s="2902" t="e">
        <f>0.7608/D101</f>
        <v>#DIV/0!</v>
      </c>
      <c r="E107" s="2902" t="e">
        <f>0.6482/E101</f>
        <v>#DIV/0!</v>
      </c>
      <c r="F107" s="2902" t="e">
        <f>0.6482/F101</f>
        <v>#DIV/0!</v>
      </c>
      <c r="G107" s="2902" t="e">
        <f>0.6482/G101</f>
        <v>#DIV/0!</v>
      </c>
      <c r="H107" s="2902" t="e">
        <f>0.6482/H101</f>
        <v>#DIV/0!</v>
      </c>
      <c r="I107" s="2902" t="e">
        <f>0.6482/I101</f>
        <v>#DIV/0!</v>
      </c>
      <c r="J107" s="2902" t="e">
        <f>0.4525/J101</f>
        <v>#DIV/0!</v>
      </c>
      <c r="K107" s="2902" t="e">
        <f>0.4525/K101</f>
        <v>#DIV/0!</v>
      </c>
      <c r="L107" s="2902" t="e">
        <f>0.4525/L101</f>
        <v>#DIV/0!</v>
      </c>
      <c r="M107" s="2902" t="e">
        <f>0.4525/M101</f>
        <v>#DIV/0!</v>
      </c>
      <c r="N107" s="2902" t="e">
        <f>0.4525/N101</f>
        <v>#DIV/0!</v>
      </c>
    </row>
    <row r="108" spans="1:14">
      <c r="A108" s="3258"/>
      <c r="B108" s="3116" t="s">
        <v>2985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9"/>
      <c r="B109" s="3117"/>
      <c r="C109" s="2904" t="e">
        <f>(-0.163*(C108^2)-0.59*C108+7617)*(10^(-4))/C101</f>
        <v>#DIV/0!</v>
      </c>
      <c r="D109" s="2904" t="e">
        <f>(-0.163*(D108^2)-0.59*D108+7617)*(10^(-4))/D101</f>
        <v>#DIV/0!</v>
      </c>
      <c r="E109" s="2904" t="e">
        <f>(-0.161*(E108^2)-7.509*E108+6533)*(10^(-4))/E101</f>
        <v>#DIV/0!</v>
      </c>
      <c r="F109" s="2904" t="e">
        <f>(-0.161*(F108^2)-7.509*F108+6533)*(10^(-4))/F101</f>
        <v>#DIV/0!</v>
      </c>
      <c r="G109" s="2904" t="e">
        <f>(-0.161*(G108^2)-7.509*G108+6533)*(10^(-4))/G101</f>
        <v>#DIV/0!</v>
      </c>
      <c r="H109" s="2904" t="e">
        <f>(-0.161*(H108^2)-7.509*H108+6533)*(10^(-4))/H101</f>
        <v>#DIV/0!</v>
      </c>
      <c r="I109" s="2904" t="e">
        <f>(-0.161*(I108^2)-7.509*I108+6533)*(10^(-4))/I101</f>
        <v>#DIV/0!</v>
      </c>
      <c r="J109" s="2904" t="e">
        <f>(-0.214*(J108^2)-21.991*J108+4665)*(10^(-4))/J101</f>
        <v>#DIV/0!</v>
      </c>
      <c r="K109" s="2904" t="e">
        <f>(-0.214*(K108^2)-21.991*K108+4665)*(10^(-4))/K101</f>
        <v>#DIV/0!</v>
      </c>
      <c r="L109" s="2904" t="e">
        <f>(-0.214*(L108^2)-21.991*L108+4665)*(10^(-4))/L101</f>
        <v>#DIV/0!</v>
      </c>
      <c r="M109" s="2904" t="e">
        <f>(-0.214*(M108^2)-21.991*M108+4665)*(10^(-4))/M101</f>
        <v>#DIV/0!</v>
      </c>
      <c r="N109" s="2904" t="e">
        <f>(-0.214*(N108^2)-21.991*N108+4665)*(10^(-4))/N101</f>
        <v>#DIV/0!</v>
      </c>
    </row>
    <row r="110" spans="1:14">
      <c r="A110" s="3255" t="s">
        <v>2986</v>
      </c>
      <c r="B110" s="3255"/>
      <c r="C110" s="3255"/>
      <c r="D110" s="3255"/>
      <c r="E110" s="3255"/>
      <c r="F110" s="3255"/>
      <c r="G110" s="3255"/>
      <c r="H110" s="3255"/>
      <c r="I110" s="3255"/>
      <c r="J110" s="3255"/>
      <c r="K110" s="2907"/>
      <c r="L110" s="2907"/>
      <c r="M110" s="2907"/>
      <c r="N110" s="2907"/>
    </row>
    <row r="112" spans="1:14" ht="13.5" thickBot="1"/>
    <row r="113" spans="1:13" ht="25.5" thickBot="1">
      <c r="A113" s="902" t="s">
        <v>2987</v>
      </c>
      <c r="B113" s="1289" t="e">
        <f>G3</f>
        <v>#DIV/0!</v>
      </c>
      <c r="C113" s="903" t="s">
        <v>2988</v>
      </c>
      <c r="D113" s="904" t="e">
        <f>SUMPRODUCT((A115:A118=F113)*(B114:M114=H113)*B115:M118)</f>
        <v>#DIV/0!</v>
      </c>
      <c r="E113" s="2730" t="s">
        <v>2818</v>
      </c>
      <c r="F113" s="2909">
        <f>E2</f>
        <v>0</v>
      </c>
      <c r="G113" s="2730" t="s">
        <v>2819</v>
      </c>
      <c r="H113" s="2909">
        <f>G2</f>
        <v>0</v>
      </c>
      <c r="I113" s="2730"/>
      <c r="J113" s="2910"/>
      <c r="K113" s="2910"/>
      <c r="L113" s="2910"/>
      <c r="M113" s="2910"/>
    </row>
    <row r="114" spans="1:13">
      <c r="A114" s="907"/>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8" t="s">
        <v>2883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3" t="s">
        <v>183</v>
      </c>
      <c r="B18" s="881" t="s">
        <v>560</v>
      </c>
      <c r="C18" s="882" t="s">
        <v>561</v>
      </c>
      <c r="D18" s="883"/>
      <c r="E18" s="881">
        <v>1</v>
      </c>
      <c r="F18" s="884" t="s">
        <v>562</v>
      </c>
      <c r="G18" s="885"/>
      <c r="H18" s="877"/>
      <c r="I18" s="877"/>
    </row>
    <row r="19" spans="1:9" s="886" customFormat="1" ht="19.5" customHeight="1">
      <c r="A19" s="3263"/>
      <c r="B19" s="3263" t="s">
        <v>563</v>
      </c>
      <c r="C19" s="882" t="s">
        <v>564</v>
      </c>
      <c r="D19" s="883"/>
      <c r="E19" s="881">
        <v>0.9</v>
      </c>
      <c r="F19" s="884" t="s">
        <v>565</v>
      </c>
      <c r="G19" s="885"/>
      <c r="H19" s="877"/>
      <c r="I19" s="877"/>
    </row>
    <row r="20" spans="1:9" s="886" customFormat="1" ht="19.5" customHeight="1">
      <c r="A20" s="3263"/>
      <c r="B20" s="3263"/>
      <c r="C20" s="882" t="s">
        <v>566</v>
      </c>
      <c r="D20" s="883"/>
      <c r="E20" s="881">
        <v>1.1000000000000001</v>
      </c>
      <c r="F20" s="884" t="s">
        <v>567</v>
      </c>
      <c r="G20" s="885"/>
      <c r="H20" s="877"/>
      <c r="I20" s="877"/>
    </row>
    <row r="21" spans="1:9" s="886" customFormat="1" ht="19.5" customHeight="1">
      <c r="A21" s="3263"/>
      <c r="B21" s="3263"/>
      <c r="C21" s="882" t="s">
        <v>568</v>
      </c>
      <c r="D21" s="883"/>
      <c r="E21" s="881">
        <v>0.8</v>
      </c>
      <c r="F21" s="884" t="s">
        <v>569</v>
      </c>
      <c r="G21" s="885"/>
      <c r="H21" s="877"/>
      <c r="I21" s="877"/>
    </row>
    <row r="22" spans="1:9" s="886" customFormat="1" ht="19.5" customHeight="1">
      <c r="A22" s="3263"/>
      <c r="B22" s="3263"/>
      <c r="C22" s="882" t="s">
        <v>570</v>
      </c>
      <c r="D22" s="883"/>
      <c r="E22" s="881">
        <v>0.5</v>
      </c>
      <c r="F22" s="884"/>
      <c r="G22" s="885"/>
      <c r="H22" s="877"/>
      <c r="I22" s="877"/>
    </row>
    <row r="23" spans="1:9" s="886" customFormat="1" ht="19.5" customHeight="1">
      <c r="A23" s="3263" t="s">
        <v>184</v>
      </c>
      <c r="B23" s="881" t="s">
        <v>560</v>
      </c>
      <c r="C23" s="882" t="s">
        <v>571</v>
      </c>
      <c r="D23" s="883"/>
      <c r="E23" s="881">
        <v>1</v>
      </c>
      <c r="F23" s="884" t="s">
        <v>572</v>
      </c>
      <c r="G23" s="885"/>
      <c r="H23" s="877"/>
      <c r="I23" s="877"/>
    </row>
    <row r="24" spans="1:9" s="886" customFormat="1" ht="19.5" customHeight="1">
      <c r="A24" s="3263"/>
      <c r="B24" s="3263" t="s">
        <v>563</v>
      </c>
      <c r="C24" s="882" t="s">
        <v>573</v>
      </c>
      <c r="D24" s="883"/>
      <c r="E24" s="881">
        <v>0.5</v>
      </c>
      <c r="F24" s="884"/>
      <c r="G24" s="885"/>
      <c r="H24" s="877"/>
      <c r="I24" s="877"/>
    </row>
    <row r="25" spans="1:9" s="886" customFormat="1" ht="19.5" customHeight="1">
      <c r="A25" s="3263"/>
      <c r="B25" s="3263"/>
      <c r="C25" s="882" t="s">
        <v>574</v>
      </c>
      <c r="D25" s="883"/>
      <c r="E25" s="881">
        <v>1.1000000000000001</v>
      </c>
      <c r="F25" s="884"/>
      <c r="G25" s="885"/>
      <c r="H25" s="877"/>
      <c r="I25" s="877"/>
    </row>
    <row r="26" spans="1:9" s="886" customFormat="1" ht="19.5" customHeight="1">
      <c r="A26" s="3263"/>
      <c r="B26" s="3263"/>
      <c r="C26" s="882" t="s">
        <v>575</v>
      </c>
      <c r="D26" s="883"/>
      <c r="E26" s="881">
        <v>1.1000000000000001</v>
      </c>
      <c r="F26" s="884"/>
      <c r="G26" s="885"/>
      <c r="H26" s="877"/>
      <c r="I26" s="877"/>
    </row>
    <row r="27" spans="1:9" s="886" customFormat="1" ht="19.5" customHeight="1">
      <c r="A27" s="3263"/>
      <c r="B27" s="3263"/>
      <c r="C27" s="882" t="s">
        <v>576</v>
      </c>
      <c r="D27" s="883"/>
      <c r="E27" s="881">
        <v>0.9</v>
      </c>
      <c r="F27" s="884" t="s">
        <v>577</v>
      </c>
      <c r="G27" s="885"/>
      <c r="H27" s="877"/>
      <c r="I27" s="877"/>
    </row>
    <row r="28" spans="1:9" s="886" customFormat="1" ht="19.5" customHeight="1">
      <c r="A28" s="3263"/>
      <c r="B28" s="3263"/>
      <c r="C28" s="882" t="s">
        <v>578</v>
      </c>
      <c r="D28" s="883"/>
      <c r="E28" s="881">
        <v>0.9</v>
      </c>
      <c r="F28" s="884" t="s">
        <v>579</v>
      </c>
      <c r="G28" s="885"/>
      <c r="H28" s="877"/>
      <c r="I28" s="877"/>
    </row>
    <row r="29" spans="1:9" s="886" customFormat="1" ht="19.5" customHeight="1">
      <c r="A29" s="3263"/>
      <c r="B29" s="3263"/>
      <c r="C29" s="882" t="s">
        <v>580</v>
      </c>
      <c r="D29" s="883"/>
      <c r="E29" s="881">
        <v>0.9</v>
      </c>
      <c r="F29" s="884" t="s">
        <v>581</v>
      </c>
      <c r="G29" s="885"/>
      <c r="H29" s="877"/>
      <c r="I29" s="877"/>
    </row>
    <row r="30" spans="1:9" s="886" customFormat="1" ht="19.5" customHeight="1">
      <c r="A30" s="3263"/>
      <c r="B30" s="3263"/>
      <c r="C30" s="882" t="s">
        <v>582</v>
      </c>
      <c r="D30" s="883"/>
      <c r="E30" s="881">
        <v>0.9</v>
      </c>
      <c r="F30" s="884" t="s">
        <v>583</v>
      </c>
      <c r="G30" s="885"/>
      <c r="H30" s="877"/>
      <c r="I30" s="877"/>
    </row>
    <row r="31" spans="1:9" s="886" customFormat="1" ht="19.5" customHeight="1">
      <c r="A31" s="3263"/>
      <c r="B31" s="3263"/>
      <c r="C31" s="882" t="s">
        <v>584</v>
      </c>
      <c r="D31" s="883"/>
      <c r="E31" s="881">
        <v>0.8</v>
      </c>
      <c r="F31" s="884" t="s">
        <v>585</v>
      </c>
      <c r="G31" s="885"/>
      <c r="H31" s="877"/>
      <c r="I31" s="877"/>
    </row>
    <row r="32" spans="1:9" s="886" customFormat="1" ht="19.5" customHeight="1">
      <c r="A32" s="3263"/>
      <c r="B32" s="3263"/>
      <c r="C32" s="882" t="s">
        <v>586</v>
      </c>
      <c r="D32" s="883"/>
      <c r="E32" s="881">
        <v>0.8</v>
      </c>
      <c r="F32" s="884" t="s">
        <v>587</v>
      </c>
      <c r="G32" s="885"/>
      <c r="H32" s="877"/>
      <c r="I32" s="877"/>
    </row>
    <row r="33" spans="1:9" s="886" customFormat="1" ht="19.5" customHeight="1">
      <c r="A33" s="3263" t="s">
        <v>185</v>
      </c>
      <c r="B33" s="881" t="s">
        <v>560</v>
      </c>
      <c r="C33" s="882" t="s">
        <v>588</v>
      </c>
      <c r="D33" s="883"/>
      <c r="E33" s="881">
        <v>1</v>
      </c>
      <c r="F33" s="884" t="s">
        <v>589</v>
      </c>
      <c r="G33" s="885"/>
      <c r="H33" s="877"/>
      <c r="I33" s="877"/>
    </row>
    <row r="34" spans="1:9" s="886" customFormat="1" ht="19.5" customHeight="1">
      <c r="A34" s="3263"/>
      <c r="B34" s="881" t="s">
        <v>563</v>
      </c>
      <c r="C34" s="882" t="s">
        <v>590</v>
      </c>
      <c r="D34" s="883"/>
      <c r="E34" s="881">
        <v>1.5</v>
      </c>
      <c r="F34" s="884" t="s">
        <v>591</v>
      </c>
      <c r="G34" s="885"/>
      <c r="H34" s="877"/>
      <c r="I34" s="877"/>
    </row>
    <row r="35" spans="1:9" s="886" customFormat="1" ht="19.5" customHeight="1">
      <c r="A35" s="3263" t="s">
        <v>186</v>
      </c>
      <c r="B35" s="881" t="s">
        <v>560</v>
      </c>
      <c r="C35" s="882" t="s">
        <v>592</v>
      </c>
      <c r="D35" s="883"/>
      <c r="E35" s="881">
        <v>1</v>
      </c>
      <c r="F35" s="884" t="s">
        <v>593</v>
      </c>
      <c r="G35" s="885"/>
      <c r="H35" s="877"/>
      <c r="I35" s="877"/>
    </row>
    <row r="36" spans="1:9" s="886" customFormat="1" ht="19.5" customHeight="1">
      <c r="A36" s="3263"/>
      <c r="B36" s="3263" t="s">
        <v>563</v>
      </c>
      <c r="C36" s="882" t="s">
        <v>594</v>
      </c>
      <c r="D36" s="883"/>
      <c r="E36" s="881">
        <v>1</v>
      </c>
      <c r="F36" s="884" t="s">
        <v>595</v>
      </c>
      <c r="G36" s="885"/>
      <c r="H36" s="877"/>
      <c r="I36" s="877"/>
    </row>
    <row r="37" spans="1:9" s="886" customFormat="1" ht="19.5" customHeight="1">
      <c r="A37" s="3263"/>
      <c r="B37" s="3263"/>
      <c r="C37" s="882" t="s">
        <v>596</v>
      </c>
      <c r="D37" s="883"/>
      <c r="E37" s="881">
        <v>1.5</v>
      </c>
      <c r="F37" s="884" t="s">
        <v>597</v>
      </c>
      <c r="G37" s="885"/>
      <c r="H37" s="877"/>
      <c r="I37" s="877"/>
    </row>
    <row r="38" spans="1:9" s="886" customFormat="1" ht="19.5" customHeight="1">
      <c r="A38" s="3263"/>
      <c r="B38" s="3263"/>
      <c r="C38" s="882" t="s">
        <v>598</v>
      </c>
      <c r="D38" s="883"/>
      <c r="E38" s="881">
        <v>1</v>
      </c>
      <c r="F38" s="884" t="s">
        <v>599</v>
      </c>
      <c r="G38" s="885"/>
      <c r="H38" s="877"/>
      <c r="I38" s="877"/>
    </row>
    <row r="39" spans="1:9" s="886" customFormat="1" ht="19.5" customHeight="1">
      <c r="A39" s="3263"/>
      <c r="B39" s="326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3" t="s">
        <v>614</v>
      </c>
      <c r="C61" s="817" t="s">
        <v>615</v>
      </c>
      <c r="D61" s="817" t="s">
        <v>616</v>
      </c>
      <c r="E61" s="894">
        <v>0.5</v>
      </c>
      <c r="F61" s="881">
        <v>80</v>
      </c>
    </row>
    <row r="62" spans="1:8" s="877" customFormat="1" ht="24">
      <c r="A62" s="881">
        <v>2</v>
      </c>
      <c r="B62" s="3263"/>
      <c r="C62" s="817" t="s">
        <v>617</v>
      </c>
      <c r="D62" s="817" t="s">
        <v>618</v>
      </c>
      <c r="E62" s="894">
        <v>0.5</v>
      </c>
      <c r="F62" s="881">
        <v>80</v>
      </c>
    </row>
    <row r="63" spans="1:8" s="877" customFormat="1" ht="36">
      <c r="A63" s="881">
        <v>3</v>
      </c>
      <c r="B63" s="3263"/>
      <c r="C63" s="817" t="s">
        <v>619</v>
      </c>
      <c r="D63" s="817" t="s">
        <v>620</v>
      </c>
      <c r="E63" s="894">
        <v>0.5</v>
      </c>
      <c r="F63" s="881">
        <v>80</v>
      </c>
    </row>
    <row r="64" spans="1:8" s="877" customFormat="1" ht="36">
      <c r="A64" s="881">
        <v>4</v>
      </c>
      <c r="B64" s="3263"/>
      <c r="C64" s="817" t="s">
        <v>621</v>
      </c>
      <c r="D64" s="817" t="s">
        <v>622</v>
      </c>
      <c r="E64" s="894">
        <v>0.4</v>
      </c>
      <c r="F64" s="881">
        <v>60</v>
      </c>
    </row>
    <row r="65" spans="1:6" s="877" customFormat="1" ht="36">
      <c r="A65" s="881">
        <v>5</v>
      </c>
      <c r="B65" s="3263"/>
      <c r="C65" s="817" t="s">
        <v>623</v>
      </c>
      <c r="D65" s="817" t="s">
        <v>624</v>
      </c>
      <c r="E65" s="894">
        <v>0.2</v>
      </c>
      <c r="F65" s="881">
        <v>30</v>
      </c>
    </row>
    <row r="66" spans="1:6" s="877" customFormat="1" ht="36">
      <c r="A66" s="881">
        <v>6</v>
      </c>
      <c r="B66" s="3263"/>
      <c r="C66" s="817" t="s">
        <v>625</v>
      </c>
      <c r="D66" s="817" t="s">
        <v>626</v>
      </c>
      <c r="E66" s="894">
        <v>0.3</v>
      </c>
      <c r="F66" s="881">
        <v>50</v>
      </c>
    </row>
    <row r="67" spans="1:6" s="877" customFormat="1" ht="36">
      <c r="A67" s="881">
        <v>7</v>
      </c>
      <c r="B67" s="3263"/>
      <c r="C67" s="817" t="s">
        <v>627</v>
      </c>
      <c r="D67" s="817" t="s">
        <v>628</v>
      </c>
      <c r="E67" s="894">
        <v>0.2</v>
      </c>
      <c r="F67" s="881">
        <v>30</v>
      </c>
    </row>
    <row r="68" spans="1:6" s="877" customFormat="1" ht="36">
      <c r="A68" s="881">
        <v>8</v>
      </c>
      <c r="B68" s="3263"/>
      <c r="C68" s="817" t="s">
        <v>629</v>
      </c>
      <c r="D68" s="817" t="s">
        <v>630</v>
      </c>
      <c r="E68" s="894">
        <v>0.2</v>
      </c>
      <c r="F68" s="881">
        <v>30</v>
      </c>
    </row>
    <row r="69" spans="1:6" s="877" customFormat="1" ht="36">
      <c r="A69" s="881">
        <v>9</v>
      </c>
      <c r="B69" s="3263"/>
      <c r="C69" s="817" t="s">
        <v>631</v>
      </c>
      <c r="D69" s="817" t="s">
        <v>632</v>
      </c>
      <c r="E69" s="894">
        <v>0.2</v>
      </c>
      <c r="F69" s="881">
        <v>30</v>
      </c>
    </row>
    <row r="70" spans="1:6" s="877" customFormat="1" ht="48">
      <c r="A70" s="881">
        <v>10</v>
      </c>
      <c r="B70" s="3263"/>
      <c r="C70" s="817" t="s">
        <v>633</v>
      </c>
      <c r="D70" s="817" t="s">
        <v>634</v>
      </c>
      <c r="E70" s="894">
        <v>0.2</v>
      </c>
      <c r="F70" s="881">
        <v>30</v>
      </c>
    </row>
    <row r="71" spans="1:6" s="877" customFormat="1" ht="48">
      <c r="A71" s="881">
        <v>11</v>
      </c>
      <c r="B71" s="3263"/>
      <c r="C71" s="817" t="s">
        <v>635</v>
      </c>
      <c r="D71" s="817" t="s">
        <v>636</v>
      </c>
      <c r="E71" s="894">
        <v>0.2</v>
      </c>
      <c r="F71" s="881">
        <v>30</v>
      </c>
    </row>
    <row r="72" spans="1:6" s="877" customFormat="1" ht="36">
      <c r="A72" s="881">
        <v>12</v>
      </c>
      <c r="B72" s="3263"/>
      <c r="C72" s="817" t="s">
        <v>637</v>
      </c>
      <c r="D72" s="817" t="s">
        <v>638</v>
      </c>
      <c r="E72" s="894">
        <v>0.5</v>
      </c>
      <c r="F72" s="881">
        <v>80</v>
      </c>
    </row>
    <row r="73" spans="1:6" s="877" customFormat="1" ht="24">
      <c r="A73" s="881">
        <v>13</v>
      </c>
      <c r="B73" s="3263"/>
      <c r="C73" s="817" t="s">
        <v>639</v>
      </c>
      <c r="D73" s="817" t="s">
        <v>640</v>
      </c>
      <c r="E73" s="894">
        <v>0.4</v>
      </c>
      <c r="F73" s="881">
        <v>60</v>
      </c>
    </row>
    <row r="74" spans="1:6" s="877" customFormat="1" ht="24">
      <c r="A74" s="881">
        <v>14</v>
      </c>
      <c r="B74" s="3263"/>
      <c r="C74" s="817" t="s">
        <v>641</v>
      </c>
      <c r="D74" s="817" t="s">
        <v>642</v>
      </c>
      <c r="E74" s="894">
        <v>0.2</v>
      </c>
      <c r="F74" s="881">
        <v>30</v>
      </c>
    </row>
    <row r="75" spans="1:6" s="877" customFormat="1" ht="24">
      <c r="A75" s="881">
        <v>15</v>
      </c>
      <c r="B75" s="3263"/>
      <c r="C75" s="817" t="s">
        <v>643</v>
      </c>
      <c r="D75" s="817" t="s">
        <v>644</v>
      </c>
      <c r="E75" s="894">
        <v>0.2</v>
      </c>
      <c r="F75" s="881">
        <v>30</v>
      </c>
    </row>
    <row r="76" spans="1:6" s="877" customFormat="1" ht="24">
      <c r="A76" s="881">
        <v>16</v>
      </c>
      <c r="B76" s="3263" t="s">
        <v>645</v>
      </c>
      <c r="C76" s="817" t="s">
        <v>646</v>
      </c>
      <c r="D76" s="817" t="s">
        <v>647</v>
      </c>
      <c r="E76" s="894">
        <v>0.5</v>
      </c>
      <c r="F76" s="881">
        <v>80</v>
      </c>
    </row>
    <row r="77" spans="1:6" s="877" customFormat="1" ht="24">
      <c r="A77" s="881">
        <v>17</v>
      </c>
      <c r="B77" s="3263"/>
      <c r="C77" s="817" t="s">
        <v>648</v>
      </c>
      <c r="D77" s="817" t="s">
        <v>649</v>
      </c>
      <c r="E77" s="894">
        <v>0.5</v>
      </c>
      <c r="F77" s="881">
        <v>80</v>
      </c>
    </row>
    <row r="78" spans="1:6" s="877" customFormat="1" ht="24">
      <c r="A78" s="881">
        <v>18</v>
      </c>
      <c r="B78" s="3263"/>
      <c r="C78" s="817" t="s">
        <v>650</v>
      </c>
      <c r="D78" s="817" t="s">
        <v>651</v>
      </c>
      <c r="E78" s="894">
        <v>0.2</v>
      </c>
      <c r="F78" s="881">
        <v>30</v>
      </c>
    </row>
    <row r="79" spans="1:6" s="877" customFormat="1" ht="24">
      <c r="A79" s="881">
        <v>19</v>
      </c>
      <c r="B79" s="3263"/>
      <c r="C79" s="817" t="s">
        <v>652</v>
      </c>
      <c r="D79" s="817" t="s">
        <v>653</v>
      </c>
      <c r="E79" s="894">
        <v>0.5</v>
      </c>
      <c r="F79" s="881">
        <v>80</v>
      </c>
    </row>
    <row r="80" spans="1:6" s="877" customFormat="1" ht="36">
      <c r="A80" s="881">
        <v>20</v>
      </c>
      <c r="B80" s="3263"/>
      <c r="C80" s="817" t="s">
        <v>654</v>
      </c>
      <c r="D80" s="817" t="s">
        <v>655</v>
      </c>
      <c r="E80" s="894">
        <v>0.2</v>
      </c>
      <c r="F80" s="881">
        <v>30</v>
      </c>
    </row>
    <row r="81" spans="1:6" s="877" customFormat="1" ht="36">
      <c r="A81" s="881">
        <v>21</v>
      </c>
      <c r="B81" s="3263"/>
      <c r="C81" s="817" t="s">
        <v>656</v>
      </c>
      <c r="D81" s="817" t="s">
        <v>657</v>
      </c>
      <c r="E81" s="894">
        <v>0.2</v>
      </c>
      <c r="F81" s="881">
        <v>30</v>
      </c>
    </row>
    <row r="82" spans="1:6" s="877" customFormat="1" ht="48">
      <c r="A82" s="881">
        <v>22</v>
      </c>
      <c r="B82" s="3263"/>
      <c r="C82" s="817" t="s">
        <v>658</v>
      </c>
      <c r="D82" s="817" t="s">
        <v>659</v>
      </c>
      <c r="E82" s="894">
        <v>0.2</v>
      </c>
      <c r="F82" s="881">
        <v>30</v>
      </c>
    </row>
    <row r="83" spans="1:6" s="877" customFormat="1" ht="48">
      <c r="A83" s="881">
        <v>23</v>
      </c>
      <c r="B83" s="3263"/>
      <c r="C83" s="817" t="s">
        <v>660</v>
      </c>
      <c r="D83" s="817" t="s">
        <v>661</v>
      </c>
      <c r="E83" s="894">
        <v>0.2</v>
      </c>
      <c r="F83" s="881">
        <v>30</v>
      </c>
    </row>
    <row r="84" spans="1:6" s="877" customFormat="1" ht="36">
      <c r="A84" s="881">
        <v>24</v>
      </c>
      <c r="B84" s="3263"/>
      <c r="C84" s="817" t="s">
        <v>662</v>
      </c>
      <c r="D84" s="817" t="s">
        <v>663</v>
      </c>
      <c r="E84" s="894">
        <v>0.2</v>
      </c>
      <c r="F84" s="881">
        <v>30</v>
      </c>
    </row>
    <row r="85" spans="1:6" s="877" customFormat="1" ht="36">
      <c r="A85" s="881">
        <v>25</v>
      </c>
      <c r="B85" s="3263"/>
      <c r="C85" s="817" t="s">
        <v>664</v>
      </c>
      <c r="D85" s="817" t="s">
        <v>665</v>
      </c>
      <c r="E85" s="894">
        <v>0.5</v>
      </c>
      <c r="F85" s="881">
        <v>80</v>
      </c>
    </row>
    <row r="86" spans="1:6" s="877" customFormat="1" ht="36">
      <c r="A86" s="881">
        <v>26</v>
      </c>
      <c r="B86" s="3263"/>
      <c r="C86" s="817" t="s">
        <v>666</v>
      </c>
      <c r="D86" s="817" t="s">
        <v>667</v>
      </c>
      <c r="E86" s="894">
        <v>0.2</v>
      </c>
      <c r="F86" s="881">
        <v>30</v>
      </c>
    </row>
    <row r="87" spans="1:6" s="877" customFormat="1" ht="36">
      <c r="A87" s="881">
        <v>27</v>
      </c>
      <c r="B87" s="3263"/>
      <c r="C87" s="817" t="s">
        <v>668</v>
      </c>
      <c r="D87" s="817" t="s">
        <v>669</v>
      </c>
      <c r="E87" s="894">
        <v>0.2</v>
      </c>
      <c r="F87" s="881">
        <v>30</v>
      </c>
    </row>
    <row r="88" spans="1:6" s="877" customFormat="1" ht="36">
      <c r="A88" s="881">
        <v>28</v>
      </c>
      <c r="B88" s="3263"/>
      <c r="C88" s="817" t="s">
        <v>670</v>
      </c>
      <c r="D88" s="817" t="s">
        <v>671</v>
      </c>
      <c r="E88" s="894">
        <v>0.2</v>
      </c>
      <c r="F88" s="881">
        <v>30</v>
      </c>
    </row>
    <row r="89" spans="1:6" s="877" customFormat="1" ht="24">
      <c r="A89" s="881">
        <v>29</v>
      </c>
      <c r="B89" s="3263"/>
      <c r="C89" s="817" t="s">
        <v>672</v>
      </c>
      <c r="D89" s="817" t="s">
        <v>673</v>
      </c>
      <c r="E89" s="894">
        <v>0.2</v>
      </c>
      <c r="F89" s="881">
        <v>30</v>
      </c>
    </row>
    <row r="90" spans="1:6" s="877" customFormat="1" ht="24">
      <c r="A90" s="881">
        <v>30</v>
      </c>
      <c r="B90" s="3263"/>
      <c r="C90" s="817" t="s">
        <v>674</v>
      </c>
      <c r="D90" s="817" t="s">
        <v>675</v>
      </c>
      <c r="E90" s="894">
        <v>0.2</v>
      </c>
      <c r="F90" s="881">
        <v>30</v>
      </c>
    </row>
    <row r="91" spans="1:6" s="877" customFormat="1" ht="36">
      <c r="A91" s="881">
        <v>31</v>
      </c>
      <c r="B91" s="3263"/>
      <c r="C91" s="817" t="s">
        <v>676</v>
      </c>
      <c r="D91" s="817" t="s">
        <v>677</v>
      </c>
      <c r="E91" s="894">
        <v>0.2</v>
      </c>
      <c r="F91" s="881">
        <v>30</v>
      </c>
    </row>
    <row r="92" spans="1:6" s="877" customFormat="1" ht="24">
      <c r="A92" s="881">
        <v>32</v>
      </c>
      <c r="B92" s="3263" t="s">
        <v>678</v>
      </c>
      <c r="C92" s="881" t="s">
        <v>679</v>
      </c>
      <c r="D92" s="817" t="s">
        <v>680</v>
      </c>
      <c r="E92" s="894">
        <v>0.2</v>
      </c>
      <c r="F92" s="881">
        <v>30</v>
      </c>
    </row>
    <row r="93" spans="1:6" s="877" customFormat="1" ht="36">
      <c r="A93" s="881">
        <v>33</v>
      </c>
      <c r="B93" s="3263"/>
      <c r="C93" s="881" t="s">
        <v>681</v>
      </c>
      <c r="D93" s="817" t="s">
        <v>682</v>
      </c>
      <c r="E93" s="894">
        <v>0.2</v>
      </c>
      <c r="F93" s="881">
        <v>30</v>
      </c>
    </row>
    <row r="94" spans="1:6" s="877" customFormat="1" ht="48">
      <c r="A94" s="881">
        <v>34</v>
      </c>
      <c r="B94" s="3263"/>
      <c r="C94" s="881" t="s">
        <v>683</v>
      </c>
      <c r="D94" s="817" t="s">
        <v>684</v>
      </c>
      <c r="E94" s="894">
        <v>0.2</v>
      </c>
      <c r="F94" s="881">
        <v>30</v>
      </c>
    </row>
    <row r="95" spans="1:6" s="877" customFormat="1" ht="36">
      <c r="A95" s="881">
        <v>35</v>
      </c>
      <c r="B95" s="3263"/>
      <c r="C95" s="881" t="s">
        <v>685</v>
      </c>
      <c r="D95" s="817" t="s">
        <v>686</v>
      </c>
      <c r="E95" s="894">
        <v>0.2</v>
      </c>
      <c r="F95" s="881">
        <v>30</v>
      </c>
    </row>
    <row r="96" spans="1:6" s="877" customFormat="1" ht="48">
      <c r="A96" s="881">
        <v>36</v>
      </c>
      <c r="B96" s="3263"/>
      <c r="C96" s="817" t="s">
        <v>687</v>
      </c>
      <c r="D96" s="817" t="s">
        <v>688</v>
      </c>
      <c r="E96" s="894">
        <v>0.2</v>
      </c>
      <c r="F96" s="881">
        <v>30</v>
      </c>
    </row>
    <row r="97" spans="1:6" s="877" customFormat="1" ht="36">
      <c r="A97" s="881">
        <v>37</v>
      </c>
      <c r="B97" s="3263"/>
      <c r="C97" s="881" t="s">
        <v>689</v>
      </c>
      <c r="D97" s="817" t="s">
        <v>690</v>
      </c>
      <c r="E97" s="894">
        <v>0.2</v>
      </c>
      <c r="F97" s="881">
        <v>30</v>
      </c>
    </row>
    <row r="98" spans="1:6" s="877" customFormat="1" ht="36">
      <c r="A98" s="881">
        <v>38</v>
      </c>
      <c r="B98" s="3263"/>
      <c r="C98" s="881" t="s">
        <v>691</v>
      </c>
      <c r="D98" s="817" t="s">
        <v>692</v>
      </c>
      <c r="E98" s="894">
        <v>0.2</v>
      </c>
      <c r="F98" s="881">
        <v>30</v>
      </c>
    </row>
    <row r="99" spans="1:6" s="877" customFormat="1" ht="36">
      <c r="A99" s="881">
        <v>39</v>
      </c>
      <c r="B99" s="3263" t="s">
        <v>693</v>
      </c>
      <c r="C99" s="881" t="s">
        <v>694</v>
      </c>
      <c r="D99" s="817" t="s">
        <v>695</v>
      </c>
      <c r="E99" s="894">
        <v>0.3</v>
      </c>
      <c r="F99" s="881">
        <v>50</v>
      </c>
    </row>
    <row r="100" spans="1:6" s="877" customFormat="1" ht="24">
      <c r="A100" s="881">
        <v>40</v>
      </c>
      <c r="B100" s="3263"/>
      <c r="C100" s="881" t="s">
        <v>696</v>
      </c>
      <c r="D100" s="817" t="s">
        <v>697</v>
      </c>
      <c r="E100" s="894">
        <v>0.2</v>
      </c>
      <c r="F100" s="881">
        <v>30</v>
      </c>
    </row>
    <row r="101" spans="1:6" s="877" customFormat="1" ht="36">
      <c r="A101" s="881">
        <v>41</v>
      </c>
      <c r="B101" s="326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3" t="s">
        <v>708</v>
      </c>
      <c r="C105" s="881" t="s">
        <v>709</v>
      </c>
      <c r="D105" s="817" t="s">
        <v>710</v>
      </c>
      <c r="E105" s="894">
        <v>0.2</v>
      </c>
      <c r="F105" s="881">
        <v>30</v>
      </c>
    </row>
    <row r="106" spans="1:6" s="877" customFormat="1" ht="36">
      <c r="A106" s="881">
        <v>46</v>
      </c>
      <c r="B106" s="3263"/>
      <c r="C106" s="881" t="s">
        <v>711</v>
      </c>
      <c r="D106" s="817" t="s">
        <v>712</v>
      </c>
      <c r="E106" s="894">
        <v>0.2</v>
      </c>
      <c r="F106" s="881">
        <v>30</v>
      </c>
    </row>
    <row r="107" spans="1:6" s="877" customFormat="1" ht="36">
      <c r="A107" s="881">
        <v>47</v>
      </c>
      <c r="B107" s="3263" t="s">
        <v>713</v>
      </c>
      <c r="C107" s="881" t="s">
        <v>714</v>
      </c>
      <c r="D107" s="817" t="s">
        <v>715</v>
      </c>
      <c r="E107" s="894">
        <v>0.3</v>
      </c>
      <c r="F107" s="881">
        <v>50</v>
      </c>
    </row>
    <row r="108" spans="1:6" s="877" customFormat="1" ht="36">
      <c r="A108" s="881">
        <v>48</v>
      </c>
      <c r="B108" s="326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3" t="s">
        <v>724</v>
      </c>
      <c r="C111" s="881" t="s">
        <v>725</v>
      </c>
      <c r="D111" s="817" t="s">
        <v>726</v>
      </c>
      <c r="E111" s="894">
        <v>0.2</v>
      </c>
      <c r="F111" s="881">
        <v>30</v>
      </c>
    </row>
    <row r="112" spans="1:6" s="877" customFormat="1" ht="24">
      <c r="A112" s="881">
        <v>52</v>
      </c>
      <c r="B112" s="3263"/>
      <c r="C112" s="881" t="s">
        <v>727</v>
      </c>
      <c r="D112" s="817" t="s">
        <v>728</v>
      </c>
      <c r="E112" s="894">
        <v>0.2</v>
      </c>
      <c r="F112" s="881">
        <v>30</v>
      </c>
    </row>
    <row r="113" spans="1:6" s="877" customFormat="1" ht="24">
      <c r="A113" s="881">
        <v>53</v>
      </c>
      <c r="B113" s="326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3" t="s">
        <v>737</v>
      </c>
      <c r="C116" s="881" t="s">
        <v>738</v>
      </c>
      <c r="D116" s="817" t="s">
        <v>739</v>
      </c>
      <c r="E116" s="894">
        <v>0.2</v>
      </c>
      <c r="F116" s="881">
        <v>30</v>
      </c>
    </row>
    <row r="117" spans="1:6" ht="36">
      <c r="A117" s="881">
        <v>57</v>
      </c>
      <c r="B117" s="326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3009</v>
      </c>
    </row>
    <row r="2" spans="1:5" ht="15.75">
      <c r="A2" s="2916" t="s">
        <v>3001</v>
      </c>
      <c r="B2" s="2917" t="e">
        <f ca="1">SUMIF(B6:B13,"&lt;&gt;#ref!",B6:B13)</f>
        <v>#DIV/0!</v>
      </c>
      <c r="C2" s="2916" t="s">
        <v>3002</v>
      </c>
      <c r="D2" s="2916" t="s">
        <v>3003</v>
      </c>
      <c r="E2" s="2917">
        <f ca="1">SUMIF(E6:E13,"&lt;&gt;#ref!",E6:E13)</f>
        <v>0</v>
      </c>
    </row>
    <row r="3" spans="1:5" ht="15.75">
      <c r="A3" s="2916" t="s">
        <v>3004</v>
      </c>
      <c r="B3" s="2917" t="e">
        <f ca="1">ROUND(B2*10000/E2,0)</f>
        <v>#DIV/0!</v>
      </c>
      <c r="C3" s="2916" t="s">
        <v>3010</v>
      </c>
      <c r="D3" s="2918"/>
      <c r="E3" s="2918"/>
    </row>
    <row r="4" spans="1:5" ht="15.75">
      <c r="A4" s="2919"/>
      <c r="B4" s="2918"/>
      <c r="C4" s="2918"/>
      <c r="D4" s="2918"/>
      <c r="E4" s="2918"/>
    </row>
    <row r="5" spans="1:5" ht="28.5">
      <c r="A5" s="2920" t="s">
        <v>3005</v>
      </c>
      <c r="B5" s="2916" t="s">
        <v>3006</v>
      </c>
      <c r="C5" s="2917"/>
      <c r="D5" s="2918"/>
      <c r="E5" s="2916" t="s">
        <v>3007</v>
      </c>
    </row>
    <row r="6" spans="1:5" ht="15.75">
      <c r="A6" s="2921" t="s">
        <v>3008</v>
      </c>
      <c r="B6" s="2917" t="e">
        <f ca="1">SUMIF(INDIRECT("'"&amp;A6&amp;"'"&amp;"!A:A"),"总价",INDIRECT("'"&amp;A6&amp;"'"&amp;"!B:B"))</f>
        <v>#DIV/0!</v>
      </c>
      <c r="C6" s="2916" t="s">
        <v>3002</v>
      </c>
      <c r="D6" s="2918"/>
      <c r="E6" s="2581">
        <f ca="1">SUMIF(INDIRECT("'"&amp;A6&amp;"'"&amp;"!C:C"),"建筑面积",INDIRECT("'"&amp;A6&amp;"'"&amp;"!D:D"))</f>
        <v>0</v>
      </c>
    </row>
    <row r="7" spans="1:5" ht="15.75">
      <c r="A7" s="2921"/>
      <c r="B7" s="2917" t="e">
        <f ca="1">SUMIF(INDIRECT("'"&amp;A7&amp;"'"&amp;"!A:A"),"总价",INDIRECT("'"&amp;A7&amp;"'"&amp;"!B:B"))</f>
        <v>#REF!</v>
      </c>
      <c r="C7" s="2916" t="s">
        <v>3002</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3002</v>
      </c>
      <c r="D8" s="2918"/>
      <c r="E8" s="2581" t="e">
        <f t="shared" ca="1" si="0"/>
        <v>#REF!</v>
      </c>
    </row>
    <row r="9" spans="1:5" ht="15.75">
      <c r="A9" s="2921"/>
      <c r="B9" s="2917" t="e">
        <f t="shared" ca="1" si="1"/>
        <v>#REF!</v>
      </c>
      <c r="C9" s="2916" t="s">
        <v>3002</v>
      </c>
      <c r="D9" s="2918"/>
      <c r="E9" s="2581" t="e">
        <f t="shared" ca="1" si="0"/>
        <v>#REF!</v>
      </c>
    </row>
    <row r="10" spans="1:5" ht="15.75">
      <c r="A10" s="2921"/>
      <c r="B10" s="2917" t="e">
        <f t="shared" ca="1" si="1"/>
        <v>#REF!</v>
      </c>
      <c r="C10" s="2916" t="s">
        <v>3002</v>
      </c>
      <c r="D10" s="2918"/>
      <c r="E10" s="2581" t="e">
        <f t="shared" ca="1" si="0"/>
        <v>#REF!</v>
      </c>
    </row>
    <row r="11" spans="1:5" ht="15.75">
      <c r="A11" s="2921"/>
      <c r="B11" s="2917" t="e">
        <f t="shared" ca="1" si="1"/>
        <v>#REF!</v>
      </c>
      <c r="C11" s="2916" t="s">
        <v>3002</v>
      </c>
      <c r="D11" s="2918"/>
      <c r="E11" s="2581" t="e">
        <f t="shared" ca="1" si="0"/>
        <v>#REF!</v>
      </c>
    </row>
    <row r="12" spans="1:5" ht="15.75">
      <c r="A12" s="2921"/>
      <c r="B12" s="2917" t="e">
        <f t="shared" ca="1" si="1"/>
        <v>#REF!</v>
      </c>
      <c r="C12" s="2916" t="s">
        <v>3002</v>
      </c>
      <c r="D12" s="2918"/>
      <c r="E12" s="2581" t="e">
        <f t="shared" ca="1" si="0"/>
        <v>#REF!</v>
      </c>
    </row>
    <row r="13" spans="1:5" ht="15.75">
      <c r="A13" s="2921"/>
      <c r="B13" s="2917" t="e">
        <f t="shared" ca="1" si="1"/>
        <v>#REF!</v>
      </c>
      <c r="C13" s="2916" t="s">
        <v>3002</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69" t="s">
        <v>1150</v>
      </c>
      <c r="C1" s="3269"/>
      <c r="D1" s="3269"/>
      <c r="E1" s="3269"/>
      <c r="F1" s="3269"/>
      <c r="G1" s="3268" t="s">
        <v>1151</v>
      </c>
      <c r="H1" s="3268"/>
      <c r="I1" s="3268"/>
      <c r="J1" s="3268"/>
      <c r="K1" s="3268"/>
      <c r="L1" s="3268"/>
      <c r="N1" s="3268" t="s">
        <v>1152</v>
      </c>
      <c r="O1" s="3268"/>
      <c r="P1" s="3268"/>
      <c r="Q1" s="3268"/>
      <c r="R1" s="1448"/>
      <c r="S1" s="3268" t="s">
        <v>1153</v>
      </c>
      <c r="T1" s="3268"/>
      <c r="U1" s="3268"/>
      <c r="V1" s="3268"/>
      <c r="X1" s="3267" t="s">
        <v>1154</v>
      </c>
      <c r="Y1" s="3268"/>
      <c r="Z1" s="3268"/>
      <c r="AA1" s="3268"/>
      <c r="AB1" s="3268"/>
      <c r="AD1" s="3267" t="s">
        <v>1155</v>
      </c>
      <c r="AE1" s="3268"/>
      <c r="AF1" s="3268"/>
      <c r="AG1" s="3268"/>
      <c r="AH1" s="326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5" customFormat="1" ht="14.25">
      <c r="A3" s="2944" t="s">
        <v>3041</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5" customFormat="1" ht="14.25">
      <c r="B4" s="1456"/>
      <c r="C4" s="1456"/>
      <c r="D4" s="1457"/>
      <c r="E4" s="1457"/>
      <c r="F4" s="1456"/>
      <c r="G4" s="1458"/>
      <c r="H4" s="1459"/>
      <c r="I4" s="2929"/>
      <c r="J4" s="2929"/>
      <c r="K4" s="2929"/>
      <c r="L4" s="292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69">
        <f>I5/100</f>
        <v>0</v>
      </c>
      <c r="O5" s="1469">
        <f t="shared" ref="O5" si="7">J5/100</f>
        <v>0</v>
      </c>
      <c r="P5" s="1469">
        <f t="shared" ref="P5" si="8">K5/100</f>
        <v>0</v>
      </c>
      <c r="Q5" s="1469">
        <f t="shared" ref="Q5" si="9">L5/100</f>
        <v>0</v>
      </c>
      <c r="R5" s="1734"/>
      <c r="S5" s="1735"/>
      <c r="T5" s="1734"/>
      <c r="U5" s="1734"/>
      <c r="V5" s="1734"/>
      <c r="W5" s="2934" t="s">
        <v>3042</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3049</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5"/>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3040</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5"/>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3037</v>
      </c>
      <c r="B8" s="1471">
        <v>439</v>
      </c>
      <c r="C8" s="1471">
        <v>327</v>
      </c>
      <c r="D8" s="1471">
        <f>C8</f>
        <v>327</v>
      </c>
      <c r="E8" s="1471">
        <v>627</v>
      </c>
      <c r="F8" s="1472">
        <v>283</v>
      </c>
      <c r="G8" s="2932">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3038</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8"/>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7"/>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8"/>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70">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65"/>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65"/>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66"/>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64">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65"/>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65"/>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66"/>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64">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65"/>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65"/>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66"/>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71">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72"/>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72"/>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73"/>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64">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65"/>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65"/>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66"/>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64">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65">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65">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66">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64">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65">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65">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66">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64">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65">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65">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66">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64">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65">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65">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66">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64">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65">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65">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66">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64">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65">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65">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66">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64">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65">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65">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66">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64">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65">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65">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66">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64">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65">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65">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66">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64">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65">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65">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66">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3"/>
      <c r="B4" s="2961" t="s">
        <v>1630</v>
      </c>
      <c r="C4" s="2961"/>
      <c r="D4" s="2961"/>
      <c r="E4" s="1963"/>
    </row>
    <row r="5" spans="1:5" ht="16.5" thickTop="1">
      <c r="A5" s="1961"/>
      <c r="B5" s="2959" t="s">
        <v>1622</v>
      </c>
      <c r="C5" s="1964" t="s">
        <v>1623</v>
      </c>
      <c r="D5" s="1042">
        <f ca="1">结果表!H101</f>
        <v>2318</v>
      </c>
      <c r="E5" s="1961"/>
    </row>
    <row r="6" spans="1:5" ht="15.75">
      <c r="A6" s="1961"/>
      <c r="B6" s="2959"/>
      <c r="C6" s="1964" t="s">
        <v>1624</v>
      </c>
      <c r="D6" s="1042" t="str">
        <f ca="1">NUMBERSTRING(INT(D5*10000),2)&amp;"元整"</f>
        <v>贰仟叁佰壹拾捌万元整</v>
      </c>
      <c r="E6" s="1961"/>
    </row>
    <row r="7" spans="1:5" ht="15.75">
      <c r="A7" s="1961"/>
      <c r="B7" s="2964"/>
      <c r="C7" s="1965" t="s">
        <v>1625</v>
      </c>
      <c r="D7" s="1043">
        <f ca="1">结果表!H102</f>
        <v>39325</v>
      </c>
      <c r="E7" s="1961"/>
    </row>
    <row r="8" spans="1:5" ht="15.75">
      <c r="A8" s="1961"/>
      <c r="B8" s="2965" t="str">
        <f>结果表!E103</f>
        <v>2.估价师知悉的法定优先受偿款</v>
      </c>
      <c r="C8" s="1966" t="s">
        <v>1626</v>
      </c>
      <c r="D8" s="1043">
        <f>结果表!H103</f>
        <v>0</v>
      </c>
      <c r="E8" s="1961"/>
    </row>
    <row r="9" spans="1:5" ht="15.75">
      <c r="A9" s="1961"/>
      <c r="B9" s="2967"/>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58" t="str">
        <f>结果表!E107</f>
        <v>3.房地产抵押价值</v>
      </c>
      <c r="C13" s="1969" t="s">
        <v>1623</v>
      </c>
      <c r="D13" s="1045">
        <f ca="1">结果表!H107</f>
        <v>2318</v>
      </c>
      <c r="E13" s="1961"/>
    </row>
    <row r="14" spans="1:5" ht="15.75">
      <c r="A14" s="1961"/>
      <c r="B14" s="2959"/>
      <c r="C14" s="1964" t="s">
        <v>1624</v>
      </c>
      <c r="D14" s="1042" t="str">
        <f ca="1">NUMBERSTRING(INT(D13*10000),2)&amp;"元整"</f>
        <v>贰仟叁佰壹拾捌万元整</v>
      </c>
      <c r="E14" s="1961"/>
    </row>
    <row r="15" spans="1:5" ht="15">
      <c r="A15" s="1961"/>
      <c r="B15" s="2964"/>
      <c r="C15" s="1965" t="s">
        <v>1634</v>
      </c>
      <c r="D15" s="1054">
        <f ca="1">结果表!H108</f>
        <v>39322</v>
      </c>
      <c r="E15" s="1961"/>
    </row>
    <row r="16" spans="1:5" ht="15">
      <c r="A16" s="1961"/>
      <c r="B16" s="2965" t="str">
        <f>结果表!E109</f>
        <v>——</v>
      </c>
      <c r="C16" s="1969" t="s">
        <v>1635</v>
      </c>
      <c r="D16" s="1970" t="str">
        <f>结果表!H109</f>
        <v>——</v>
      </c>
      <c r="E16" s="1961"/>
    </row>
    <row r="17" spans="1:5" ht="15.75">
      <c r="A17" s="1961"/>
      <c r="B17" s="2966"/>
      <c r="C17" s="1964" t="s">
        <v>1636</v>
      </c>
      <c r="D17" s="1042" t="e">
        <f>NUMBERSTRING(INT(D16*10000),2)&amp;"元整"</f>
        <v>#VALUE!</v>
      </c>
      <c r="E17" s="1961"/>
    </row>
    <row r="18" spans="1:5" ht="15">
      <c r="A18" s="1961"/>
      <c r="B18" s="2967"/>
      <c r="C18" s="1965" t="s">
        <v>1625</v>
      </c>
      <c r="D18" s="1054" t="str">
        <f>结果表!H110</f>
        <v>——</v>
      </c>
      <c r="E18" s="1961"/>
    </row>
    <row r="19" spans="1:5" ht="15.75">
      <c r="A19" s="1961"/>
      <c r="B19" s="2958" t="str">
        <f>结果表!E111</f>
        <v>——</v>
      </c>
      <c r="C19" s="1969" t="s">
        <v>1623</v>
      </c>
      <c r="D19" s="1043" t="str">
        <f>结果表!H111</f>
        <v>——</v>
      </c>
      <c r="E19" s="1961"/>
    </row>
    <row r="20" spans="1:5" ht="15.75">
      <c r="A20" s="1961"/>
      <c r="B20" s="2959"/>
      <c r="C20" s="1964" t="s">
        <v>1636</v>
      </c>
      <c r="D20" s="1042" t="e">
        <f>NUMBERSTRING(INT(D19*10000),2)&amp;"元整"</f>
        <v>#VALUE!</v>
      </c>
      <c r="E20" s="1961"/>
    </row>
    <row r="21" spans="1:5" ht="15.75" thickBot="1">
      <c r="A21" s="1961"/>
      <c r="B21" s="2960"/>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E3" sqref="E3"/>
      <selection pane="bottomLeft" activeCell="R24" sqref="R24:R34"/>
    </sheetView>
  </sheetViews>
  <sheetFormatPr defaultRowHeight="12.75"/>
  <cols>
    <col min="1" max="1" width="12.87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275" t="s">
        <v>3012</v>
      </c>
      <c r="D1" s="3276"/>
      <c r="E1" s="3276"/>
      <c r="F1" s="3276"/>
      <c r="G1" s="3276"/>
      <c r="H1" s="3276"/>
      <c r="I1" s="3276"/>
      <c r="J1" s="3276"/>
      <c r="K1" s="3276"/>
      <c r="L1" s="3276"/>
      <c r="M1" s="3276"/>
      <c r="N1" s="3276"/>
      <c r="O1" s="3276"/>
      <c r="P1" s="3276"/>
      <c r="Q1" s="3276"/>
      <c r="R1" s="3276"/>
      <c r="S1" s="3277"/>
      <c r="T1" s="1206" t="s">
        <v>3013</v>
      </c>
    </row>
    <row r="2" spans="1:45" s="706" customFormat="1" ht="38.25">
      <c r="A2" s="1207"/>
      <c r="B2" s="702" t="s">
        <v>3014</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3320" t="s">
        <v>3171</v>
      </c>
      <c r="C5" s="3321" t="s">
        <v>3172</v>
      </c>
      <c r="D5" s="3322" t="s">
        <v>3174</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2" t="s">
        <v>3020</v>
      </c>
      <c r="B17" s="2923" t="s">
        <v>3021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4" t="s">
        <v>3022</v>
      </c>
      <c r="E19" s="1794"/>
      <c r="F19" s="1794"/>
      <c r="G19" s="1794"/>
      <c r="H19" s="1282"/>
      <c r="I19" s="167"/>
      <c r="J19" s="167"/>
      <c r="K19" s="167"/>
      <c r="L19" s="167"/>
      <c r="M19" s="167"/>
      <c r="N19" s="167"/>
      <c r="O19" s="167"/>
      <c r="P19" s="167"/>
      <c r="Q19" s="167"/>
      <c r="R19" s="787"/>
      <c r="S19" s="137"/>
    </row>
    <row r="20" spans="1:45" ht="16.5" thickBot="1">
      <c r="A20" s="714" t="s">
        <v>3023</v>
      </c>
      <c r="B20" s="337">
        <f ca="1">IF(D20="——",S22,S22-F20)</f>
        <v>33474</v>
      </c>
      <c r="C20" s="167"/>
      <c r="D20" s="2925" t="s">
        <v>70</v>
      </c>
      <c r="E20" s="1795"/>
      <c r="F20" s="1206" t="e">
        <f ca="1">SUMIF(INDIRECT("'"&amp;H20&amp;"'"&amp;"!A:A"),"承租人权益价值",INDIRECT("'"&amp;H20&amp;"'"&amp;"!c:c"))</f>
        <v>#REF!</v>
      </c>
      <c r="G20" s="1206" t="s">
        <v>3024</v>
      </c>
      <c r="H20" s="2926"/>
      <c r="I20" s="167"/>
      <c r="J20" s="167"/>
      <c r="K20" s="167"/>
      <c r="L20" s="167"/>
      <c r="M20" s="167"/>
      <c r="N20" s="167"/>
      <c r="O20" s="167"/>
      <c r="P20" s="167"/>
      <c r="Q20" s="167"/>
      <c r="R20" s="787"/>
      <c r="S20" s="137"/>
    </row>
    <row r="21" spans="1:45" ht="15.75">
      <c r="A21" s="714" t="s">
        <v>3025</v>
      </c>
      <c r="B21" s="337">
        <f ca="1">R22</f>
        <v>39312</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8514.9299999999985</v>
      </c>
      <c r="C22" s="3138" t="s">
        <v>33</v>
      </c>
      <c r="D22" s="3139"/>
      <c r="E22" s="3139"/>
      <c r="F22" s="3139"/>
      <c r="G22" s="3139"/>
      <c r="H22" s="3139"/>
      <c r="I22" s="3139"/>
      <c r="J22" s="3139"/>
      <c r="K22" s="3139"/>
      <c r="L22" s="3139"/>
      <c r="M22" s="3139"/>
      <c r="N22" s="3139"/>
      <c r="O22" s="3139"/>
      <c r="P22" s="3139"/>
      <c r="Q22" s="3274"/>
      <c r="R22" s="715">
        <f ca="1">ROUND(S22*10000/B22,0)</f>
        <v>39312</v>
      </c>
      <c r="S22" s="24">
        <f ca="1">SUM(S24:S10000)</f>
        <v>33474</v>
      </c>
    </row>
    <row r="23" spans="1:45" s="12" customFormat="1" ht="24">
      <c r="A23" s="11" t="s">
        <v>3027</v>
      </c>
      <c r="B23" s="11" t="s">
        <v>3028</v>
      </c>
      <c r="C23" s="11" t="s">
        <v>3029</v>
      </c>
      <c r="D23" s="11" t="str">
        <f>B5</f>
        <v>建筑类型</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3160</v>
      </c>
      <c r="B24" s="717">
        <v>585.36</v>
      </c>
      <c r="C24" s="718">
        <v>1</v>
      </c>
      <c r="D24" s="719" t="s">
        <v>3173</v>
      </c>
      <c r="E24" s="718">
        <v>1</v>
      </c>
      <c r="F24" s="719"/>
      <c r="G24" s="718">
        <v>1</v>
      </c>
      <c r="H24" s="719"/>
      <c r="I24" s="718">
        <v>1</v>
      </c>
      <c r="J24" s="719"/>
      <c r="K24" s="718">
        <v>1</v>
      </c>
      <c r="L24" s="719"/>
      <c r="M24" s="718">
        <v>1</v>
      </c>
      <c r="N24" s="719"/>
      <c r="O24" s="718">
        <v>1</v>
      </c>
      <c r="P24" s="719"/>
      <c r="Q24" s="718">
        <v>1</v>
      </c>
      <c r="R24" s="720">
        <f ca="1">结果表!G20</f>
        <v>39325</v>
      </c>
      <c r="S24" s="718">
        <f t="shared" ref="S24:S54" ca="1" si="11">ROUND(R24*B24/10000,0)</f>
        <v>2302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3161</v>
      </c>
      <c r="B25" s="59">
        <v>587.54</v>
      </c>
      <c r="C25" s="24">
        <f>IF(B25="",1,(LOOKUP(B25,$3:$3,$4:$4)-LOOKUP($B$24,$3:$3,$4:$4)+100)/100)</f>
        <v>1</v>
      </c>
      <c r="D25" s="719" t="s">
        <v>3173</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39325</v>
      </c>
      <c r="S25" s="360">
        <f t="shared" ca="1" si="11"/>
        <v>2311</v>
      </c>
    </row>
    <row r="26" spans="1:45">
      <c r="A26" s="158" t="s">
        <v>3162</v>
      </c>
      <c r="B26" s="59">
        <v>587.54</v>
      </c>
      <c r="C26" s="24">
        <f t="shared" ref="C26:C89" si="12">IF(B26="",1,(LOOKUP(B26,$3:$3,$4:$4)-LOOKUP($B$24,$3:$3,$4:$4)+100)/100)</f>
        <v>1</v>
      </c>
      <c r="D26" s="719" t="s">
        <v>3173</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39325</v>
      </c>
      <c r="S26" s="360">
        <f t="shared" ca="1" si="11"/>
        <v>2311</v>
      </c>
    </row>
    <row r="27" spans="1:45">
      <c r="A27" s="158" t="s">
        <v>3163</v>
      </c>
      <c r="B27" s="59">
        <v>587.54</v>
      </c>
      <c r="C27" s="24">
        <f t="shared" si="12"/>
        <v>1</v>
      </c>
      <c r="D27" s="719" t="s">
        <v>3173</v>
      </c>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ca="1" si="20"/>
        <v>39325</v>
      </c>
      <c r="S27" s="360">
        <f t="shared" ca="1" si="11"/>
        <v>2311</v>
      </c>
    </row>
    <row r="28" spans="1:45">
      <c r="A28" s="158" t="s">
        <v>3164</v>
      </c>
      <c r="B28" s="59">
        <v>589.49</v>
      </c>
      <c r="C28" s="24">
        <f t="shared" si="12"/>
        <v>1</v>
      </c>
      <c r="D28" s="719" t="s">
        <v>3173</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ca="1" si="20"/>
        <v>39325</v>
      </c>
      <c r="S28" s="360">
        <f t="shared" ca="1" si="11"/>
        <v>2318</v>
      </c>
    </row>
    <row r="29" spans="1:45">
      <c r="A29" s="158" t="s">
        <v>3165</v>
      </c>
      <c r="B29" s="59">
        <v>589.49</v>
      </c>
      <c r="C29" s="24">
        <f t="shared" si="12"/>
        <v>1</v>
      </c>
      <c r="D29" s="719" t="s">
        <v>3173</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ca="1" si="20"/>
        <v>39325</v>
      </c>
      <c r="S29" s="360">
        <f t="shared" ca="1" si="11"/>
        <v>2318</v>
      </c>
    </row>
    <row r="30" spans="1:45">
      <c r="A30" s="158" t="s">
        <v>3166</v>
      </c>
      <c r="B30" s="59">
        <v>589.49</v>
      </c>
      <c r="C30" s="24">
        <f t="shared" si="12"/>
        <v>1</v>
      </c>
      <c r="D30" s="719" t="s">
        <v>3173</v>
      </c>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ca="1" si="20"/>
        <v>39325</v>
      </c>
      <c r="S30" s="360">
        <f t="shared" ca="1" si="11"/>
        <v>2318</v>
      </c>
    </row>
    <row r="31" spans="1:45">
      <c r="A31" s="158" t="s">
        <v>3167</v>
      </c>
      <c r="B31" s="59">
        <v>589.49</v>
      </c>
      <c r="C31" s="24">
        <f t="shared" si="12"/>
        <v>1</v>
      </c>
      <c r="D31" s="719" t="s">
        <v>3173</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39325</v>
      </c>
      <c r="S31" s="360">
        <f t="shared" ca="1" si="11"/>
        <v>2318</v>
      </c>
    </row>
    <row r="32" spans="1:45">
      <c r="A32" s="158" t="s">
        <v>3168</v>
      </c>
      <c r="B32" s="59">
        <v>589.49</v>
      </c>
      <c r="C32" s="24">
        <f t="shared" si="12"/>
        <v>1</v>
      </c>
      <c r="D32" s="719" t="s">
        <v>3173</v>
      </c>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39325</v>
      </c>
      <c r="S32" s="360">
        <f t="shared" ca="1" si="11"/>
        <v>2318</v>
      </c>
    </row>
    <row r="33" spans="1:19">
      <c r="A33" s="158" t="s">
        <v>3169</v>
      </c>
      <c r="B33" s="59">
        <v>1678.53</v>
      </c>
      <c r="C33" s="24">
        <f t="shared" si="12"/>
        <v>0.97</v>
      </c>
      <c r="D33" s="719" t="s">
        <v>3137</v>
      </c>
      <c r="E33" s="24">
        <f t="shared" si="13"/>
        <v>1.03</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ca="1" si="20"/>
        <v>39290</v>
      </c>
      <c r="S33" s="360">
        <f t="shared" ca="1" si="11"/>
        <v>6595</v>
      </c>
    </row>
    <row r="34" spans="1:19">
      <c r="A34" s="158" t="s">
        <v>3170</v>
      </c>
      <c r="B34" s="59">
        <v>1540.97</v>
      </c>
      <c r="C34" s="24">
        <f t="shared" si="12"/>
        <v>0.97</v>
      </c>
      <c r="D34" s="719" t="s">
        <v>3137</v>
      </c>
      <c r="E34" s="24">
        <f t="shared" si="13"/>
        <v>1.03</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ca="1" si="20"/>
        <v>39290</v>
      </c>
      <c r="S34" s="360">
        <f t="shared" ca="1" si="11"/>
        <v>6054</v>
      </c>
    </row>
    <row r="35" spans="1:19">
      <c r="A35" s="158"/>
      <c r="B35" s="59"/>
      <c r="C35" s="24">
        <f t="shared" si="12"/>
        <v>1</v>
      </c>
      <c r="D35" s="719"/>
      <c r="E35" s="24">
        <f t="shared" si="13"/>
        <v>0.03</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0.03</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0.03</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0.03</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0.03</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0.03</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0.03</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0.03</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0.03</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0.03</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30559</v>
      </c>
      <c r="C2" s="2" t="s">
        <v>133</v>
      </c>
      <c r="D2" s="242"/>
      <c r="E2" s="242"/>
      <c r="F2" s="242"/>
      <c r="G2" s="242"/>
    </row>
    <row r="3" spans="1:7" s="243" customFormat="1" ht="18" customHeight="1" thickBot="1">
      <c r="A3" s="246" t="s">
        <v>85</v>
      </c>
      <c r="B3" s="247">
        <f ca="1">ROUND(B2*10000/'数据-汇总表'!E3,0)</f>
        <v>518397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589.49</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12</v>
      </c>
      <c r="D19" s="1038">
        <f>'数据-汇总表'!E3</f>
        <v>589.49</v>
      </c>
      <c r="E19" s="254">
        <f>'数据-取费表'!B31</f>
        <v>200</v>
      </c>
      <c r="F19" s="274"/>
      <c r="G19" s="1" t="s">
        <v>1074</v>
      </c>
    </row>
    <row r="20" spans="1:7" s="257" customFormat="1" ht="13.5" customHeight="1">
      <c r="A20" s="950" t="s">
        <v>1057</v>
      </c>
      <c r="B20" s="253" t="s">
        <v>104</v>
      </c>
      <c r="C20" s="275">
        <f>ROUND((C5+C19)*F20,0)</f>
        <v>619</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2034</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v>
      </c>
      <c r="D24" s="281"/>
      <c r="E24" s="281"/>
      <c r="F24" s="282"/>
      <c r="G24" s="283" t="s">
        <v>109</v>
      </c>
    </row>
    <row r="25" spans="1:7" s="257" customFormat="1" ht="24">
      <c r="A25" s="953" t="s">
        <v>793</v>
      </c>
      <c r="B25" s="258" t="s">
        <v>1058</v>
      </c>
      <c r="C25" s="1357">
        <f ca="1">ROUND(IF('数据-取费表'!B22&lt;=1,C20*F22*'数据-取费表'!B23/2,C20*(POWER((1+F22),'数据-取费表'!B23/2)-1)),0)</f>
        <v>29</v>
      </c>
      <c r="D25" s="281"/>
      <c r="E25" s="284"/>
      <c r="F25" s="282"/>
      <c r="G25" s="285" t="s">
        <v>110</v>
      </c>
    </row>
    <row r="26" spans="1:7" s="257" customFormat="1">
      <c r="A26" s="953" t="s">
        <v>795</v>
      </c>
      <c r="B26" s="258" t="s">
        <v>1060</v>
      </c>
      <c r="C26" s="281">
        <f ca="1">ROUND(IF('数据-取费表'!B22&lt;=1,F21*F22*'数据-取费表'!B23/2,F21*(POWER((1+F22),'数据-取费表'!B23/2)-1)),4)</f>
        <v>1.4E-3</v>
      </c>
      <c r="D26" s="281"/>
      <c r="E26" s="284"/>
      <c r="F26" s="282"/>
      <c r="G26" s="286"/>
    </row>
    <row r="27" spans="1:7" s="257" customFormat="1" ht="24.75">
      <c r="A27" s="950" t="s">
        <v>787</v>
      </c>
      <c r="B27" s="287" t="s">
        <v>112</v>
      </c>
      <c r="C27" s="288">
        <f>C28</f>
        <v>4248</v>
      </c>
      <c r="D27" s="278">
        <f>C29</f>
        <v>6.0000000000000001E-3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4248</v>
      </c>
      <c r="D28" s="278"/>
      <c r="E28" s="279"/>
      <c r="F28" s="289"/>
      <c r="G28" s="290"/>
    </row>
    <row r="29" spans="1:7" s="257" customFormat="1" ht="13.5" customHeight="1">
      <c r="A29" s="953" t="s">
        <v>792</v>
      </c>
      <c r="B29" s="291" t="s">
        <v>1063</v>
      </c>
      <c r="C29" s="281">
        <f>ROUND(C21*F27*'数据-取费表'!B21/'数据-取费表'!B20,4)</f>
        <v>6.0000000000000001E-3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30238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227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206</v>
      </c>
      <c r="D34" s="260"/>
      <c r="E34" s="263"/>
      <c r="F34" s="300">
        <f>IF('数据-取费表'!B24=0,1,'数据-取费表'!N16)</f>
        <v>1</v>
      </c>
      <c r="G34" s="262" t="s">
        <v>116</v>
      </c>
    </row>
    <row r="35" spans="1:7" ht="13.5" customHeight="1">
      <c r="A35" s="953" t="s">
        <v>796</v>
      </c>
      <c r="B35" s="258" t="s">
        <v>60</v>
      </c>
      <c r="C35" s="263">
        <f>ROUND(C34*F35,0)</f>
        <v>6</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12</v>
      </c>
      <c r="D37" s="260">
        <f>'数据-汇总表'!E3</f>
        <v>589.49</v>
      </c>
      <c r="E37" s="292">
        <f>'数据-取费表'!B35</f>
        <v>200</v>
      </c>
      <c r="F37" s="302"/>
      <c r="G37" s="304" t="s">
        <v>119</v>
      </c>
    </row>
    <row r="38" spans="1:7" ht="13.5" customHeight="1">
      <c r="A38" s="953" t="s">
        <v>799</v>
      </c>
      <c r="B38" s="258" t="s">
        <v>63</v>
      </c>
      <c r="C38" s="263">
        <f>ROUND(C34*F38,0)</f>
        <v>3</v>
      </c>
      <c r="D38" s="263"/>
      <c r="E38" s="263"/>
      <c r="F38" s="302">
        <f>'数据-取费表'!B36</f>
        <v>1.4999999999999999E-2</v>
      </c>
      <c r="G38" s="262" t="s">
        <v>117</v>
      </c>
    </row>
    <row r="39" spans="1:7" s="257" customFormat="1" ht="13.5" customHeight="1">
      <c r="A39" s="950" t="s">
        <v>783</v>
      </c>
      <c r="B39" s="253" t="s">
        <v>104</v>
      </c>
      <c r="C39" s="275">
        <f>ROUND(C33*F20,0)</f>
        <v>7</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11</v>
      </c>
      <c r="D41" s="278">
        <f ca="1">C44</f>
        <v>1.4E-3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11</v>
      </c>
      <c r="D42" s="281"/>
      <c r="E42" s="281"/>
      <c r="F42" s="282"/>
      <c r="G42" s="3143" t="s">
        <v>121</v>
      </c>
    </row>
    <row r="43" spans="1:7" ht="13.5" customHeight="1">
      <c r="A43" s="953" t="s">
        <v>792</v>
      </c>
      <c r="B43" s="258" t="s">
        <v>1064</v>
      </c>
      <c r="C43" s="281">
        <f ca="1">ROUND(IF('数据-取费表'!B22&lt;=1,C39*F22*'数据-取费表'!B21/2,C39*(POWER((1+F22),'数据-取费表'!B21/2)-1)),0)</f>
        <v>0</v>
      </c>
      <c r="D43" s="281"/>
      <c r="E43" s="281"/>
      <c r="F43" s="282"/>
      <c r="G43" s="3144"/>
    </row>
    <row r="44" spans="1:7" ht="13.5" customHeight="1">
      <c r="A44" s="953" t="s">
        <v>793</v>
      </c>
      <c r="B44" s="258" t="s">
        <v>1066</v>
      </c>
      <c r="C44" s="281">
        <f ca="1">ROUND(IF('数据-取费表'!B22&lt;=1,C40*F22*'数据-取费表'!B21/2,C40*(POWER((1+F22),'数据-取费表'!B21/2)-1)),4)</f>
        <v>1.4E-3</v>
      </c>
      <c r="D44" s="281"/>
      <c r="E44" s="281"/>
      <c r="F44" s="282"/>
      <c r="G44" s="3145"/>
    </row>
    <row r="45" spans="1:7" s="257" customFormat="1" ht="13.5" customHeight="1">
      <c r="A45" s="950" t="s">
        <v>786</v>
      </c>
      <c r="B45" s="287" t="s">
        <v>112</v>
      </c>
      <c r="C45" s="288">
        <f>C46</f>
        <v>47</v>
      </c>
      <c r="D45" s="278">
        <f>C47</f>
        <v>6.0000000000000001E-3</v>
      </c>
      <c r="E45" s="279" t="s">
        <v>129</v>
      </c>
      <c r="F45" s="289"/>
      <c r="G45" s="290" t="s">
        <v>1072</v>
      </c>
    </row>
    <row r="46" spans="1:7" s="257" customFormat="1" ht="13.5" customHeight="1">
      <c r="A46" s="953" t="s">
        <v>794</v>
      </c>
      <c r="B46" s="291" t="s">
        <v>1065</v>
      </c>
      <c r="C46" s="292">
        <f>ROUND((C33+C39)*F27,0)</f>
        <v>47</v>
      </c>
      <c r="D46" s="306"/>
      <c r="E46" s="279"/>
      <c r="F46" s="289"/>
      <c r="G46" s="290"/>
    </row>
    <row r="47" spans="1:7" s="257" customFormat="1" ht="13.5" customHeight="1">
      <c r="A47" s="953" t="s">
        <v>792</v>
      </c>
      <c r="B47" s="291" t="s">
        <v>1067</v>
      </c>
      <c r="C47" s="281">
        <f>ROUND(C40*F27,4)</f>
        <v>6.0000000000000001E-3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321</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321</v>
      </c>
      <c r="D51" s="275"/>
      <c r="E51" s="275"/>
      <c r="F51" s="307"/>
      <c r="G51" s="277" t="s">
        <v>64</v>
      </c>
    </row>
    <row r="52" spans="1:7" s="251" customFormat="1" ht="16.5" thickBot="1">
      <c r="A52" s="308" t="s">
        <v>65</v>
      </c>
      <c r="B52" s="309"/>
      <c r="C52" s="310">
        <f ca="1">C31+C51</f>
        <v>30559</v>
      </c>
      <c r="D52" s="309"/>
      <c r="E52" s="309"/>
      <c r="F52" s="309"/>
      <c r="G52" s="311"/>
    </row>
    <row r="55" spans="1:7" ht="15">
      <c r="B55" s="313" t="s">
        <v>66</v>
      </c>
      <c r="C55" s="314"/>
    </row>
    <row r="56" spans="1:7">
      <c r="B56" s="316" t="s">
        <v>67</v>
      </c>
      <c r="C56" s="317">
        <f ca="1">ROUND(C51/C52,3)</f>
        <v>1.0999999999999999E-2</v>
      </c>
    </row>
    <row r="57" spans="1:7">
      <c r="B57" s="316" t="s">
        <v>68</v>
      </c>
      <c r="C57" s="318">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8" t="s">
        <v>156</v>
      </c>
      <c r="B1" s="3278"/>
      <c r="C1" s="3278"/>
      <c r="D1" s="3278"/>
      <c r="E1" s="3278"/>
      <c r="F1" s="327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9" t="s">
        <v>169</v>
      </c>
      <c r="B2" s="3279"/>
      <c r="C2" s="3279"/>
      <c r="D2" s="3279"/>
      <c r="E2" s="3279"/>
      <c r="F2" s="327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8" t="s">
        <v>871</v>
      </c>
      <c r="B1" s="3278"/>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43355</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O30"/>
  <sheetViews>
    <sheetView topLeftCell="D1" workbookViewId="0">
      <selection activeCell="K8" sqref="K8"/>
    </sheetView>
  </sheetViews>
  <sheetFormatPr defaultRowHeight="13.5"/>
  <cols>
    <col min="11" max="11" width="30.875" customWidth="1"/>
    <col min="12" max="12" width="29.875" customWidth="1"/>
  </cols>
  <sheetData>
    <row r="1" spans="10:15" ht="27" thickBot="1">
      <c r="J1" s="3312" t="s">
        <v>3131</v>
      </c>
      <c r="K1" s="3313" t="s">
        <v>3132</v>
      </c>
      <c r="L1" s="3313" t="s">
        <v>3133</v>
      </c>
      <c r="M1" s="3313" t="s">
        <v>3134</v>
      </c>
      <c r="N1" s="3313" t="s">
        <v>3135</v>
      </c>
    </row>
    <row r="2" spans="10:15" ht="14.25" thickBot="1">
      <c r="J2" s="3314">
        <v>1</v>
      </c>
      <c r="K2" s="3314" t="s">
        <v>3139</v>
      </c>
      <c r="L2" s="3314" t="s">
        <v>3140</v>
      </c>
      <c r="M2" s="3314">
        <v>585.36</v>
      </c>
      <c r="N2" s="3314" t="s">
        <v>3141</v>
      </c>
    </row>
    <row r="3" spans="10:15" ht="14.25" thickBot="1">
      <c r="J3" s="3314">
        <v>2</v>
      </c>
      <c r="K3" s="3314" t="s">
        <v>3136</v>
      </c>
      <c r="L3" s="3314" t="s">
        <v>3142</v>
      </c>
      <c r="M3" s="3314">
        <v>587.54</v>
      </c>
      <c r="N3" s="3314" t="s">
        <v>3141</v>
      </c>
    </row>
    <row r="4" spans="10:15" ht="14.25" thickBot="1">
      <c r="J4" s="3314">
        <v>3</v>
      </c>
      <c r="K4" s="3314" t="s">
        <v>3143</v>
      </c>
      <c r="L4" s="3314" t="s">
        <v>3144</v>
      </c>
      <c r="M4" s="3314">
        <v>587.54</v>
      </c>
      <c r="N4" s="3314" t="s">
        <v>3141</v>
      </c>
      <c r="O4" s="3319"/>
    </row>
    <row r="5" spans="10:15" ht="14.25" thickBot="1">
      <c r="J5" s="3314">
        <v>4</v>
      </c>
      <c r="K5" s="3314" t="s">
        <v>3145</v>
      </c>
      <c r="L5" s="3314" t="s">
        <v>3146</v>
      </c>
      <c r="M5" s="3314">
        <v>587.54</v>
      </c>
      <c r="N5" s="3314" t="s">
        <v>3141</v>
      </c>
      <c r="O5" s="3319"/>
    </row>
    <row r="6" spans="10:15" ht="14.25" thickBot="1">
      <c r="J6" s="3314">
        <v>5</v>
      </c>
      <c r="K6" s="3314" t="s">
        <v>3147</v>
      </c>
      <c r="L6" s="3314" t="s">
        <v>3148</v>
      </c>
      <c r="M6" s="3314">
        <v>589.49</v>
      </c>
      <c r="N6" s="3314" t="s">
        <v>3141</v>
      </c>
    </row>
    <row r="7" spans="10:15" ht="14.25" thickBot="1">
      <c r="J7" s="3314">
        <v>6</v>
      </c>
      <c r="K7" s="3314" t="s">
        <v>3149</v>
      </c>
      <c r="L7" s="3314" t="s">
        <v>3150</v>
      </c>
      <c r="M7" s="3314">
        <v>589.49</v>
      </c>
      <c r="N7" s="3314" t="s">
        <v>3141</v>
      </c>
    </row>
    <row r="8" spans="10:15" ht="14.25" thickBot="1">
      <c r="J8" s="3314">
        <v>7</v>
      </c>
      <c r="K8" s="3314" t="s">
        <v>3177</v>
      </c>
      <c r="L8" s="3314" t="s">
        <v>3159</v>
      </c>
      <c r="M8" s="3314">
        <v>589.49</v>
      </c>
      <c r="N8" s="3314" t="s">
        <v>3141</v>
      </c>
    </row>
    <row r="9" spans="10:15" ht="14.25" thickBot="1">
      <c r="J9" s="3314">
        <v>8</v>
      </c>
      <c r="K9" s="3314" t="s">
        <v>3151</v>
      </c>
      <c r="L9" s="3314" t="s">
        <v>3152</v>
      </c>
      <c r="M9" s="3314">
        <v>589.49</v>
      </c>
      <c r="N9" s="3314" t="s">
        <v>3141</v>
      </c>
    </row>
    <row r="10" spans="10:15" ht="14.25" thickBot="1">
      <c r="J10" s="3314">
        <v>9</v>
      </c>
      <c r="K10" s="3314" t="s">
        <v>3153</v>
      </c>
      <c r="L10" s="3314" t="s">
        <v>3154</v>
      </c>
      <c r="M10" s="3314">
        <v>589.49</v>
      </c>
      <c r="N10" s="3314" t="s">
        <v>3141</v>
      </c>
    </row>
    <row r="11" spans="10:15" ht="14.25" thickBot="1">
      <c r="J11" s="3314">
        <v>10</v>
      </c>
      <c r="K11" s="3314" t="s">
        <v>3155</v>
      </c>
      <c r="L11" s="3314" t="s">
        <v>3156</v>
      </c>
      <c r="M11" s="3314">
        <v>1678.53</v>
      </c>
      <c r="N11" s="3314" t="s">
        <v>3141</v>
      </c>
      <c r="O11" s="3319" t="s">
        <v>3138</v>
      </c>
    </row>
    <row r="12" spans="10:15" ht="14.25" thickBot="1">
      <c r="J12" s="3314">
        <v>11</v>
      </c>
      <c r="K12" s="3314" t="s">
        <v>3157</v>
      </c>
      <c r="L12" s="3314" t="s">
        <v>3158</v>
      </c>
      <c r="M12" s="3314">
        <v>1540.97</v>
      </c>
      <c r="N12" s="3314" t="s">
        <v>3141</v>
      </c>
      <c r="O12" s="3319" t="s">
        <v>3138</v>
      </c>
    </row>
    <row r="13" spans="10:15" ht="14.25" thickBot="1">
      <c r="J13" s="3316" t="s">
        <v>37</v>
      </c>
      <c r="K13" s="3317"/>
      <c r="L13" s="3318"/>
      <c r="M13" s="3315">
        <f>SUM(M2:M12)</f>
        <v>8514.9299999999985</v>
      </c>
      <c r="N13" s="3314" t="s">
        <v>70</v>
      </c>
    </row>
    <row r="20" spans="11:12">
      <c r="K20" s="3319" t="s">
        <v>3176</v>
      </c>
      <c r="L20" t="str">
        <f>$K$20&amp;L2</f>
        <v>北京经济技术开发区荣华南路1号院2号楼25层2504办公用房房地产</v>
      </c>
    </row>
    <row r="21" spans="11:12">
      <c r="L21" t="str">
        <f t="shared" ref="L21:L33" si="0">$K$20&amp;L3</f>
        <v>北京经济技术开发区荣华南路1号院2号楼26层2604办公用房房地产</v>
      </c>
    </row>
    <row r="22" spans="11:12">
      <c r="L22" t="str">
        <f t="shared" si="0"/>
        <v>北京经济技术开发区荣华南路1号院2号楼27层2704办公用房房地产</v>
      </c>
    </row>
    <row r="23" spans="11:12">
      <c r="L23" t="str">
        <f t="shared" si="0"/>
        <v>北京经济技术开发区荣华南路1号院2号楼28层2804办公用房房地产</v>
      </c>
    </row>
    <row r="24" spans="11:12">
      <c r="L24" t="str">
        <f t="shared" si="0"/>
        <v>北京经济技术开发区荣华南路1号院2号楼29层2904办公用房房地产</v>
      </c>
    </row>
    <row r="25" spans="11:12">
      <c r="L25" t="str">
        <f t="shared" si="0"/>
        <v>北京经济技术开发区荣华南路1号院2号楼30层3004办公用房房地产</v>
      </c>
    </row>
    <row r="26" spans="11:12">
      <c r="L26" t="str">
        <f t="shared" si="0"/>
        <v>北京经济技术开发区荣华南路1号院2号楼31层3104办公用房房地产</v>
      </c>
    </row>
    <row r="27" spans="11:12">
      <c r="L27" t="str">
        <f t="shared" si="0"/>
        <v>北京经济技术开发区荣华南路1号院2号楼32层3204办公用房房地产</v>
      </c>
    </row>
    <row r="28" spans="11:12">
      <c r="L28" t="str">
        <f t="shared" si="0"/>
        <v>北京经济技术开发区荣华南路1号院2号楼33层3304办公用房房地产</v>
      </c>
    </row>
    <row r="29" spans="11:12">
      <c r="L29" t="str">
        <f t="shared" si="0"/>
        <v>北京经济技术开发区荣华南路1号院2号楼35至36层3501办公用房房地产</v>
      </c>
    </row>
    <row r="30" spans="11:12">
      <c r="L30" t="str">
        <f t="shared" si="0"/>
        <v>北京经济技术开发区荣华南路1号院2号楼35至36层3502办公用房房地产</v>
      </c>
    </row>
  </sheetData>
  <mergeCells count="1">
    <mergeCell ref="J13:L13"/>
  </mergeCells>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1641</v>
      </c>
      <c r="B2" s="2978" t="s">
        <v>1642</v>
      </c>
      <c r="C2" s="2978" t="s">
        <v>1643</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2"/>
      <c r="B3" s="2972"/>
      <c r="C3" s="2972"/>
      <c r="D3" s="1046" t="s">
        <v>1638</v>
      </c>
      <c r="E3" s="1046" t="s">
        <v>1644</v>
      </c>
      <c r="F3" s="1046" t="s">
        <v>1638</v>
      </c>
      <c r="G3" s="1046" t="s">
        <v>1639</v>
      </c>
      <c r="H3" s="1046" t="s">
        <v>1638</v>
      </c>
      <c r="I3" s="1046" t="s">
        <v>1639</v>
      </c>
    </row>
    <row r="4" spans="1:9" ht="30">
      <c r="A4" s="1975" t="str">
        <f>项目基本情况!S2</f>
        <v>北京市房地产</v>
      </c>
      <c r="B4" s="1046">
        <f>项目基本情况!C17</f>
        <v>589.49</v>
      </c>
      <c r="C4" s="1046">
        <f>项目基本情况!C18</f>
        <v>0</v>
      </c>
      <c r="D4" s="1046" t="e">
        <f ca="1">结果表!D118</f>
        <v>#REF!</v>
      </c>
      <c r="E4" s="1046" t="e">
        <f ca="1">结果表!E118</f>
        <v>#REF!</v>
      </c>
      <c r="F4" s="1046" t="e">
        <f ca="1">结果表!F118</f>
        <v>#REF!</v>
      </c>
      <c r="G4" s="1046" t="e">
        <f ca="1">结果表!G118</f>
        <v>#REF!</v>
      </c>
      <c r="H4" s="1046">
        <f ca="1">结果表!H118</f>
        <v>2318</v>
      </c>
      <c r="I4" s="1046">
        <f ca="1">结果表!I118</f>
        <v>39325</v>
      </c>
    </row>
    <row r="5" spans="1:9" ht="30" customHeight="1">
      <c r="A5" s="2972" t="s">
        <v>1640</v>
      </c>
      <c r="B5" s="2972"/>
      <c r="C5" s="2972"/>
      <c r="D5" s="2973" t="e">
        <f ca="1">结果表!D119</f>
        <v>#REF!</v>
      </c>
      <c r="E5" s="2973"/>
      <c r="F5" s="2973" t="e">
        <f ca="1">结果表!F119</f>
        <v>#REF!</v>
      </c>
      <c r="G5" s="2973"/>
      <c r="H5" s="2973" t="str">
        <f ca="1">结果表!H119</f>
        <v>贰仟叁佰壹拾捌万元整</v>
      </c>
      <c r="I5" s="2973"/>
    </row>
    <row r="6" spans="1:9" ht="15.75">
      <c r="A6" s="2971" t="str">
        <f>结果表!A120</f>
        <v>估价师知悉的法定优先受偿款</v>
      </c>
      <c r="B6" s="2971"/>
      <c r="C6" s="2971"/>
      <c r="D6" s="2971">
        <f>结果表!D120</f>
        <v>0</v>
      </c>
      <c r="E6" s="2971"/>
      <c r="F6" s="2971"/>
      <c r="G6" s="2971"/>
      <c r="H6" s="2971"/>
      <c r="I6" s="2971"/>
    </row>
    <row r="7" spans="1:9" ht="15">
      <c r="A7" s="2972" t="s">
        <v>1640</v>
      </c>
      <c r="B7" s="2972"/>
      <c r="C7" s="2972"/>
      <c r="D7" s="2974" t="str">
        <f>结果表!D121</f>
        <v>零元整</v>
      </c>
      <c r="E7" s="2975"/>
      <c r="F7" s="2975"/>
      <c r="G7" s="2975"/>
      <c r="H7" s="2975"/>
      <c r="I7" s="2976"/>
    </row>
    <row r="8" spans="1:9" ht="15.75">
      <c r="A8" s="2971" t="str">
        <f>结果表!A122</f>
        <v>房地产抵押价值</v>
      </c>
      <c r="B8" s="2971"/>
      <c r="C8" s="2971"/>
      <c r="D8" s="2971">
        <f ca="1">结果表!D122</f>
        <v>2318</v>
      </c>
      <c r="E8" s="2971"/>
      <c r="F8" s="2971"/>
      <c r="G8" s="2971"/>
      <c r="H8" s="2971"/>
      <c r="I8" s="2971"/>
    </row>
    <row r="9" spans="1:9" ht="15">
      <c r="A9" s="2972" t="s">
        <v>1640</v>
      </c>
      <c r="B9" s="2972"/>
      <c r="C9" s="2972"/>
      <c r="D9" s="2973" t="str">
        <f ca="1">结果表!D123</f>
        <v>贰仟叁佰壹拾捌万元整</v>
      </c>
      <c r="E9" s="2973"/>
      <c r="F9" s="2973"/>
      <c r="G9" s="2973"/>
      <c r="H9" s="2973"/>
      <c r="I9" s="2973"/>
    </row>
    <row r="10" spans="1:9" ht="15.75">
      <c r="A10" s="2971" t="str">
        <f>结果表!A124</f>
        <v/>
      </c>
      <c r="B10" s="2971"/>
      <c r="C10" s="2971"/>
      <c r="D10" s="2971" t="str">
        <f>结果表!D124</f>
        <v>——</v>
      </c>
      <c r="E10" s="2971"/>
      <c r="F10" s="2971"/>
      <c r="G10" s="2971"/>
      <c r="H10" s="2971"/>
      <c r="I10" s="2971"/>
    </row>
    <row r="11" spans="1:9" ht="15">
      <c r="A11" s="2972" t="s">
        <v>1640</v>
      </c>
      <c r="B11" s="2972"/>
      <c r="C11" s="2972"/>
      <c r="D11" s="2973" t="e">
        <f>结果表!D125</f>
        <v>#VALUE!</v>
      </c>
      <c r="E11" s="2973"/>
      <c r="F11" s="2973"/>
      <c r="G11" s="2973"/>
      <c r="H11" s="2973"/>
      <c r="I11" s="2973"/>
    </row>
    <row r="12" spans="1:9" ht="15.75">
      <c r="A12" s="2971" t="str">
        <f>结果表!A126</f>
        <v/>
      </c>
      <c r="B12" s="2971"/>
      <c r="C12" s="2971"/>
      <c r="D12" s="2971" t="str">
        <f>结果表!D126</f>
        <v>——</v>
      </c>
      <c r="E12" s="2971"/>
      <c r="F12" s="2971"/>
      <c r="G12" s="2971"/>
      <c r="H12" s="2971"/>
      <c r="I12" s="2971"/>
    </row>
    <row r="13" spans="1:9" ht="15.75" thickBot="1">
      <c r="A13" s="2968" t="s">
        <v>1640</v>
      </c>
      <c r="B13" s="2968"/>
      <c r="C13" s="2968"/>
      <c r="D13" s="2969" t="e">
        <f>结果表!D127</f>
        <v>#VALUE!</v>
      </c>
      <c r="E13" s="2969"/>
      <c r="F13" s="2969"/>
      <c r="G13" s="2969"/>
      <c r="H13" s="2969"/>
      <c r="I13" s="2969"/>
    </row>
    <row r="14" spans="1:9" ht="15" thickTop="1">
      <c r="A14" s="2970" t="s">
        <v>1645</v>
      </c>
      <c r="B14" s="2970"/>
      <c r="C14" s="2970"/>
      <c r="D14" s="2970"/>
      <c r="E14" s="2970"/>
      <c r="F14" s="2970"/>
      <c r="G14" s="2970"/>
      <c r="H14" s="2970"/>
      <c r="I14" s="2970"/>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5" t="s">
        <v>1662</v>
      </c>
      <c r="B1" s="2985"/>
      <c r="C1" s="2985"/>
      <c r="D1" s="2985"/>
    </row>
    <row r="2" spans="1:4" ht="18">
      <c r="A2" s="2986" t="s">
        <v>1646</v>
      </c>
      <c r="B2" s="2986"/>
      <c r="C2" s="2986"/>
      <c r="D2" s="2986"/>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2986" t="s">
        <v>1652</v>
      </c>
      <c r="B6" s="2986"/>
      <c r="C6" s="2986"/>
      <c r="D6" s="2986"/>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87" t="s">
        <v>1655</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79" t="str">
        <f>IF(项目基本情况!B8="抵押","4.本次评估估价师所知悉的法定优先受偿款情况说明如下：","——")</f>
        <v>4.本次评估估价师所知悉的法定优先受偿款情况说明如下：</v>
      </c>
      <c r="B14" s="2984"/>
      <c r="C14" s="2984"/>
      <c r="D14" s="2984"/>
    </row>
    <row r="15" spans="1:4" ht="42" customHeight="1">
      <c r="A15" s="29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1" t="s">
        <v>1656</v>
      </c>
      <c r="B16" s="2981"/>
      <c r="C16" s="2981"/>
      <c r="D16" s="2981"/>
    </row>
    <row r="17" spans="1:4" ht="144" customHeight="1">
      <c r="A17" s="2981" t="s">
        <v>1657</v>
      </c>
      <c r="B17" s="2981"/>
      <c r="C17" s="2981"/>
      <c r="D17" s="2981"/>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1658</v>
      </c>
      <c r="B22" s="2983"/>
      <c r="C22" s="2983"/>
      <c r="D22" s="2983"/>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3" t="s">
        <v>1669</v>
      </c>
      <c r="B15" s="2988" t="s">
        <v>136</v>
      </c>
      <c r="C15" s="2989"/>
    </row>
    <row r="16" spans="1:7" ht="13.5">
      <c r="A16" s="2994"/>
      <c r="B16" s="2988" t="s">
        <v>69</v>
      </c>
      <c r="C16" s="2989"/>
    </row>
    <row r="17" spans="1:3" ht="13.5">
      <c r="A17" s="2994"/>
      <c r="B17" s="2991" t="s">
        <v>1670</v>
      </c>
      <c r="C17" s="2002" t="s">
        <v>1669</v>
      </c>
    </row>
    <row r="18" spans="1:3" ht="13.5">
      <c r="A18" s="2994"/>
      <c r="B18" s="2991"/>
      <c r="C18" s="2002" t="s">
        <v>1671</v>
      </c>
    </row>
    <row r="19" spans="1:3" ht="13.5">
      <c r="A19" s="2994"/>
      <c r="B19" s="2991"/>
      <c r="C19" s="2002" t="s">
        <v>1672</v>
      </c>
    </row>
    <row r="20" spans="1:3" ht="13.5">
      <c r="A20" s="2995"/>
      <c r="B20" s="2990" t="s">
        <v>1673</v>
      </c>
      <c r="C20" s="2989"/>
    </row>
    <row r="21" spans="1:3" ht="13.5">
      <c r="A21" s="2003" t="s">
        <v>1674</v>
      </c>
      <c r="B21" s="2004"/>
      <c r="C21" s="2005"/>
    </row>
    <row r="22" spans="1:3" ht="13.5">
      <c r="A22" s="2992" t="s">
        <v>1675</v>
      </c>
      <c r="B22" s="2990" t="s">
        <v>1676</v>
      </c>
      <c r="C22" s="2989"/>
    </row>
    <row r="23" spans="1:3" ht="13.5">
      <c r="A23" s="2992"/>
      <c r="B23" s="2990" t="s">
        <v>1677</v>
      </c>
      <c r="C23" s="2989"/>
    </row>
    <row r="24" spans="1:3" ht="13.5">
      <c r="A24" s="2992"/>
      <c r="B24" s="2990" t="s">
        <v>1678</v>
      </c>
      <c r="C24" s="2989"/>
    </row>
    <row r="25" spans="1:3" ht="13.5">
      <c r="A25" s="2992"/>
      <c r="B25" s="2991" t="s">
        <v>1679</v>
      </c>
      <c r="C25" s="2002" t="s">
        <v>1680</v>
      </c>
    </row>
    <row r="26" spans="1:3" ht="13.5">
      <c r="A26" s="2992"/>
      <c r="B26" s="2991"/>
      <c r="C26" s="2002" t="s">
        <v>1681</v>
      </c>
    </row>
    <row r="27" spans="1:3" ht="13.5">
      <c r="A27" s="2992"/>
      <c r="B27" s="2991"/>
      <c r="C27" s="2002" t="s">
        <v>1682</v>
      </c>
    </row>
    <row r="28" spans="1:3" ht="13.5">
      <c r="A28" s="2992"/>
      <c r="B28" s="2991"/>
      <c r="C28" s="2002" t="s">
        <v>1683</v>
      </c>
    </row>
    <row r="29" spans="1:3" ht="13.5">
      <c r="A29" s="2992"/>
      <c r="B29" s="2991"/>
      <c r="C29" s="2002" t="s">
        <v>1684</v>
      </c>
    </row>
    <row r="30" spans="1:3" ht="13.5">
      <c r="A30" s="2992"/>
      <c r="B30" s="2991"/>
      <c r="C30" s="2002" t="s">
        <v>1685</v>
      </c>
    </row>
    <row r="31" spans="1:3" ht="13.5">
      <c r="A31" s="2992"/>
      <c r="B31" s="2991"/>
      <c r="C31" s="2002" t="s">
        <v>1686</v>
      </c>
    </row>
    <row r="32" spans="1:3" ht="13.5">
      <c r="A32" s="2992"/>
      <c r="B32" s="2991"/>
      <c r="C32" s="2002" t="s">
        <v>1687</v>
      </c>
    </row>
    <row r="33" spans="1:3" ht="13.5">
      <c r="A33" s="2992"/>
      <c r="B33" s="2991"/>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43355</v>
      </c>
      <c r="C2" s="1021" t="s">
        <v>826</v>
      </c>
      <c r="D2" s="1021"/>
    </row>
    <row r="3" spans="1:6" ht="24" customHeight="1">
      <c r="A3" s="1022" t="s">
        <v>827</v>
      </c>
      <c r="B3" s="1023" t="s">
        <v>828</v>
      </c>
      <c r="C3" s="2350" t="s">
        <v>829</v>
      </c>
      <c r="D3" s="2353" t="s">
        <v>830</v>
      </c>
      <c r="E3" s="1024" t="s">
        <v>831</v>
      </c>
      <c r="F3" s="1023" t="s">
        <v>829</v>
      </c>
    </row>
    <row r="4" spans="1:6" ht="24" customHeight="1">
      <c r="A4" s="1704" t="s">
        <v>832</v>
      </c>
      <c r="B4" s="1024">
        <f ca="1">IF(C4&lt;B2,"已过期",1119970066)</f>
        <v>1119970066</v>
      </c>
      <c r="C4" s="2351">
        <v>43849</v>
      </c>
      <c r="D4" s="2354" t="s">
        <v>832</v>
      </c>
      <c r="E4" s="1024">
        <f ca="1">IF(F4&lt;B2,"已过期",96010014)</f>
        <v>96010014</v>
      </c>
      <c r="F4" s="1032">
        <v>47118</v>
      </c>
    </row>
    <row r="5" spans="1:6" ht="24" customHeight="1">
      <c r="A5" s="1704" t="s">
        <v>833</v>
      </c>
      <c r="B5" s="1024">
        <f ca="1">IF(C5&lt;B2,"已过期",1119970074)</f>
        <v>1119970074</v>
      </c>
      <c r="C5" s="2351">
        <v>43849</v>
      </c>
      <c r="D5" s="2354" t="s">
        <v>833</v>
      </c>
      <c r="E5" s="1024">
        <f ca="1">IF(F5&lt;B2,"已过期",2002110027)</f>
        <v>2002110027</v>
      </c>
      <c r="F5" s="1032">
        <v>46752</v>
      </c>
    </row>
    <row r="6" spans="1:6" ht="24" customHeight="1">
      <c r="A6" s="1704" t="s">
        <v>834</v>
      </c>
      <c r="B6" s="1024">
        <f ca="1">IF(C6&lt;B2,"已过期",1119970111)</f>
        <v>1119970111</v>
      </c>
      <c r="C6" s="2351">
        <v>43849</v>
      </c>
      <c r="D6" s="2354" t="s">
        <v>834</v>
      </c>
      <c r="E6" s="1024">
        <f ca="1">IF(F6&lt;B2,"已过期",94010078)</f>
        <v>94010078</v>
      </c>
      <c r="F6" s="1032">
        <v>46387</v>
      </c>
    </row>
    <row r="7" spans="1:6" ht="24" customHeight="1">
      <c r="A7" s="1704" t="s">
        <v>835</v>
      </c>
      <c r="B7" s="1024">
        <f ca="1">IF(C7&lt;B2,"已过期",1120050019)</f>
        <v>1120050019</v>
      </c>
      <c r="C7" s="2351">
        <v>44395</v>
      </c>
      <c r="D7" s="2354" t="s">
        <v>835</v>
      </c>
      <c r="E7" s="1024">
        <f ca="1">IF(F7&lt;B2,"已过期",2002110030)</f>
        <v>2002110030</v>
      </c>
      <c r="F7" s="1032">
        <v>46387</v>
      </c>
    </row>
    <row r="8" spans="1:6" ht="24" customHeight="1">
      <c r="A8" s="1704" t="s">
        <v>836</v>
      </c>
      <c r="B8" s="1024">
        <f ca="1">IF(C8&lt;B2,"已过期",1120000080)</f>
        <v>1120000080</v>
      </c>
      <c r="C8" s="2351">
        <v>43849</v>
      </c>
      <c r="D8" s="2354" t="s">
        <v>836</v>
      </c>
      <c r="E8" s="1024">
        <f ca="1">IF(F8&lt;B2,"已过期",2000110082)</f>
        <v>2000110082</v>
      </c>
      <c r="F8" s="1032">
        <v>46387</v>
      </c>
    </row>
    <row r="9" spans="1:6" ht="24" customHeight="1">
      <c r="A9" s="1704" t="s">
        <v>837</v>
      </c>
      <c r="B9" s="1024">
        <f ca="1">IF(C9&lt;B2,"已过期",1419970001)</f>
        <v>1419970001</v>
      </c>
      <c r="C9" s="2351">
        <v>43867</v>
      </c>
      <c r="D9" s="2354" t="s">
        <v>837</v>
      </c>
      <c r="E9" s="1024">
        <f ca="1">IF(F9&lt;B2,"已过期",2002110125)</f>
        <v>2002110125</v>
      </c>
      <c r="F9" s="1032">
        <v>47118</v>
      </c>
    </row>
    <row r="10" spans="1:6" ht="24" customHeight="1">
      <c r="A10" s="1704" t="s">
        <v>838</v>
      </c>
      <c r="B10" s="1024">
        <f ca="1">IF(C10&lt;B2,"已过期",1120060040)</f>
        <v>1120060040</v>
      </c>
      <c r="C10" s="2351">
        <v>43483</v>
      </c>
      <c r="D10" s="2354" t="s">
        <v>838</v>
      </c>
      <c r="E10" s="1024">
        <f ca="1">IF(F10&lt;B2,"已过期",2004110096)</f>
        <v>2004110096</v>
      </c>
      <c r="F10" s="1032">
        <v>47118</v>
      </c>
    </row>
    <row r="11" spans="1:6" ht="24" customHeight="1">
      <c r="A11" s="1704" t="s">
        <v>839</v>
      </c>
      <c r="B11" s="1024">
        <f ca="1">IF(C11&lt;B2,"已过期",1120100036)</f>
        <v>1120100036</v>
      </c>
      <c r="C11" s="2351">
        <v>43622</v>
      </c>
      <c r="D11" s="2354" t="s">
        <v>839</v>
      </c>
      <c r="E11" s="1024">
        <f ca="1">IF(F11&lt;B2,"已过期",2010110070)</f>
        <v>2010110070</v>
      </c>
      <c r="F11" s="1032">
        <v>47907</v>
      </c>
    </row>
    <row r="12" spans="1:6" ht="24" customHeight="1">
      <c r="A12" s="1704" t="s">
        <v>3047</v>
      </c>
      <c r="B12" s="1024">
        <v>1120110054</v>
      </c>
      <c r="C12" s="2946">
        <v>43937</v>
      </c>
      <c r="D12" s="1704" t="s">
        <v>3047</v>
      </c>
      <c r="E12" s="1024">
        <v>2008110060</v>
      </c>
      <c r="F12" s="1032">
        <v>47177</v>
      </c>
    </row>
    <row r="13" spans="1:6" ht="24" customHeight="1">
      <c r="A13" s="1704" t="s">
        <v>840</v>
      </c>
      <c r="B13" s="1024">
        <f ca="1">IF(C13&lt;B2,"已过期",1120070131)</f>
        <v>1120070131</v>
      </c>
      <c r="C13" s="2351">
        <v>43814</v>
      </c>
      <c r="D13" s="2354" t="s">
        <v>840</v>
      </c>
      <c r="E13" s="1024">
        <v>2014110011</v>
      </c>
      <c r="F13" s="1032">
        <v>49302</v>
      </c>
    </row>
    <row r="14" spans="1:6" ht="24" customHeight="1">
      <c r="A14" s="1704" t="s">
        <v>841</v>
      </c>
      <c r="B14" s="1024">
        <f ca="1">IF(C14&lt;B2,"已过期",1120130020)</f>
        <v>1120130020</v>
      </c>
      <c r="C14" s="2351">
        <v>43622</v>
      </c>
      <c r="D14" s="2354"/>
      <c r="E14" s="1024"/>
      <c r="F14" s="1024"/>
    </row>
    <row r="15" spans="1:6" ht="24" customHeight="1">
      <c r="A15" s="1705" t="s">
        <v>1149</v>
      </c>
      <c r="B15" s="1024">
        <v>1120070085</v>
      </c>
      <c r="C15" s="2351">
        <v>43814</v>
      </c>
      <c r="D15" s="2355" t="s">
        <v>1149</v>
      </c>
      <c r="E15" s="1024">
        <v>2004110128</v>
      </c>
      <c r="F15" s="1025">
        <v>47118</v>
      </c>
    </row>
    <row r="16" spans="1:6" ht="24" customHeight="1">
      <c r="A16" s="1704" t="s">
        <v>842</v>
      </c>
      <c r="B16" s="1024">
        <f ca="1">IF(C16&lt;B2,"已过期",1120140022)</f>
        <v>1120140022</v>
      </c>
      <c r="C16" s="2351">
        <v>44029</v>
      </c>
      <c r="D16" s="2354" t="s">
        <v>842</v>
      </c>
      <c r="E16" s="1024">
        <f ca="1">IF(F16&lt;B2,"已过期",2008110059)</f>
        <v>2008110059</v>
      </c>
      <c r="F16" s="1032">
        <v>47177</v>
      </c>
    </row>
    <row r="17" spans="1:7" ht="24" customHeight="1">
      <c r="A17" s="1704"/>
      <c r="B17" s="1024"/>
      <c r="C17" s="2351"/>
      <c r="D17" s="2354"/>
      <c r="E17" s="1024"/>
      <c r="F17" s="1032"/>
    </row>
    <row r="18" spans="1:7" ht="24" customHeight="1">
      <c r="A18" s="1704"/>
      <c r="B18" s="1024"/>
      <c r="C18" s="2351"/>
      <c r="D18" s="2354"/>
      <c r="E18" s="1024"/>
      <c r="F18" s="1032"/>
    </row>
    <row r="19" spans="1:7" ht="24" customHeight="1">
      <c r="A19" s="1704"/>
      <c r="B19" s="1024"/>
      <c r="C19" s="2351"/>
      <c r="D19" s="2354"/>
      <c r="E19" s="1024"/>
      <c r="F19" s="1024"/>
    </row>
    <row r="20" spans="1:7" ht="24" customHeight="1">
      <c r="A20" s="1704"/>
      <c r="B20" s="1024"/>
      <c r="C20" s="2351"/>
      <c r="D20" s="2354"/>
      <c r="E20" s="1024"/>
      <c r="F20" s="1024"/>
    </row>
    <row r="21" spans="1:7" ht="24" customHeight="1">
      <c r="A21" s="1704"/>
      <c r="B21" s="1024"/>
      <c r="C21" s="2351"/>
      <c r="D21" s="2354" t="s">
        <v>843</v>
      </c>
      <c r="E21" s="1024">
        <f ca="1">IF(F21&lt;B2,"已过期",2011110090)</f>
        <v>2011110090</v>
      </c>
      <c r="F21" s="1032">
        <v>48302</v>
      </c>
    </row>
    <row r="22" spans="1:7" ht="24" customHeight="1">
      <c r="A22" s="1704" t="s">
        <v>844</v>
      </c>
      <c r="B22" s="1024">
        <f ca="1">IF(C22&lt;B2,"已过期",1120020033)</f>
        <v>1120020033</v>
      </c>
      <c r="C22" s="2946">
        <v>44339</v>
      </c>
      <c r="D22" s="2354" t="s">
        <v>844</v>
      </c>
      <c r="E22" s="1024">
        <f ca="1">IF(F22&lt;B2,"已过期",2000110137)</f>
        <v>2000110137</v>
      </c>
      <c r="F22" s="1032">
        <v>46387</v>
      </c>
    </row>
    <row r="23" spans="1:7" ht="24" customHeight="1">
      <c r="A23" s="1704" t="s">
        <v>845</v>
      </c>
      <c r="B23" s="1024">
        <f ca="1">IF(C23&lt;B2,"已过期",1120130048)</f>
        <v>1120130048</v>
      </c>
      <c r="C23" s="2351">
        <v>43686</v>
      </c>
      <c r="D23" s="2354"/>
      <c r="E23" s="1024"/>
      <c r="F23" s="1024"/>
    </row>
    <row r="24" spans="1:7" s="1026" customFormat="1" ht="24" customHeight="1">
      <c r="A24" s="1705" t="s">
        <v>1333</v>
      </c>
      <c r="B24" s="1705" t="s">
        <v>1333</v>
      </c>
      <c r="C24" s="2352" t="s">
        <v>1333</v>
      </c>
      <c r="D24" s="2355" t="s">
        <v>1333</v>
      </c>
      <c r="E24" s="1705" t="s">
        <v>1333</v>
      </c>
      <c r="F24" s="1705" t="s">
        <v>1333</v>
      </c>
    </row>
    <row r="25" spans="1:7" ht="24" customHeight="1">
      <c r="A25" s="2996" t="s">
        <v>846</v>
      </c>
      <c r="B25" s="2996"/>
      <c r="C25" s="2996"/>
      <c r="D25" s="2996"/>
      <c r="E25" s="2996"/>
      <c r="F25" s="2996"/>
      <c r="G25" s="2996"/>
    </row>
    <row r="26" spans="1:7" s="1027" customFormat="1" ht="24" customHeight="1">
      <c r="A26" s="2997" t="s">
        <v>847</v>
      </c>
      <c r="B26" s="2997"/>
      <c r="C26" s="2998"/>
      <c r="D26" s="2999" t="s">
        <v>848</v>
      </c>
      <c r="E26" s="2997"/>
      <c r="F26" s="2997"/>
    </row>
    <row r="27" spans="1:7" s="1029" customFormat="1" ht="24" customHeight="1">
      <c r="A27" s="1028" t="s">
        <v>849</v>
      </c>
      <c r="B27" s="1023" t="s">
        <v>850</v>
      </c>
      <c r="C27" s="2350" t="s">
        <v>851</v>
      </c>
      <c r="D27" s="2358" t="s">
        <v>849</v>
      </c>
      <c r="E27" s="1023" t="s">
        <v>850</v>
      </c>
      <c r="F27" s="1023" t="s">
        <v>851</v>
      </c>
    </row>
    <row r="28" spans="1:7" s="1029" customFormat="1" ht="24" customHeight="1">
      <c r="A28" s="1030" t="s">
        <v>852</v>
      </c>
      <c r="B28" s="1031" t="s">
        <v>853</v>
      </c>
      <c r="C28" s="2356">
        <v>43725</v>
      </c>
      <c r="D28" s="2359" t="s">
        <v>854</v>
      </c>
      <c r="E28" s="1030" t="s">
        <v>855</v>
      </c>
      <c r="F28" s="1060">
        <v>44377</v>
      </c>
    </row>
    <row r="29" spans="1:7" s="1029" customFormat="1" ht="24" customHeight="1">
      <c r="A29" s="1030"/>
      <c r="B29" s="1030"/>
      <c r="C29" s="2357"/>
      <c r="D29" s="2359"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比较法-办公 (租金)</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2018-09-12T04:26:06Z</dcterms:modified>
</cp:coreProperties>
</file>