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G:\高鹏\项目\通州财产保全\测算\"/>
    </mc:Choice>
  </mc:AlternateContent>
  <xr:revisionPtr revIDLastSave="0" documentId="13_ncr:1_{DBFB33A3-F5C1-4730-8056-091077A6AC37}" xr6:coauthVersionLast="47" xr6:coauthVersionMax="47" xr10:uidLastSave="{00000000-0000-0000-0000-000000000000}"/>
  <bookViews>
    <workbookView xWindow="-120" yWindow="-120" windowWidth="38640" windowHeight="2124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94" r:id="rId19"/>
    <sheet name="成本法" sheetId="68" state="hidden" r:id="rId20"/>
    <sheet name="成本法地上商业 (元)" sheetId="69" r:id="rId21"/>
    <sheet name="假设开发法" sheetId="12" state="hidden" r:id="rId22"/>
    <sheet name="收益法 (元)地上商业" sheetId="88" r:id="rId23"/>
    <sheet name="成本法地下商业 (元)" sheetId="83" r:id="rId24"/>
    <sheet name="收益法 (元) 地下商业" sheetId="90" r:id="rId25"/>
    <sheet name="成本法地下办公 (元)" sheetId="82" r:id="rId26"/>
    <sheet name="收益法 (元) 地下办公" sheetId="89" r:id="rId27"/>
    <sheet name="成本法机械车位 (元) " sheetId="85" r:id="rId28"/>
    <sheet name="收益法 (元)机械车位" sheetId="91" r:id="rId29"/>
    <sheet name="成本法车位 (元) " sheetId="84" r:id="rId30"/>
    <sheet name="收益法" sheetId="15" state="hidden" r:id="rId31"/>
    <sheet name="收益法 (元)车位" sheetId="92" r:id="rId32"/>
    <sheet name="成本法车仓储 (元) " sheetId="86" r:id="rId33"/>
    <sheet name="收益法（元）仓储" sheetId="93" r:id="rId34"/>
    <sheet name="收益法 仓储" sheetId="67" state="hidden" r:id="rId35"/>
    <sheet name="收益法-酒店模型" sheetId="77" state="hidden" r:id="rId36"/>
    <sheet name="收益法（汇总）" sheetId="70" state="hidden" r:id="rId37"/>
    <sheet name="比较法-住宅" sheetId="21"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典型户型修正" sheetId="31" state="hidden" r:id="rId46"/>
    <sheet name="基准地价（汇总）" sheetId="76" state="hidden" r:id="rId47"/>
    <sheet name="基准地价修正 -办公" sheetId="81" r:id="rId48"/>
    <sheet name="基准地价修正-商业" sheetId="43"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r:id="rId55"/>
    <sheet name="地价" sheetId="71" r:id="rId56"/>
    <sheet name="区片价" sheetId="44" r:id="rId57"/>
    <sheet name="存贷款利率" sheetId="73" r:id="rId58"/>
    <sheet name="租金计算" sheetId="80" r:id="rId59"/>
    <sheet name="案例" sheetId="87" r:id="rId60"/>
  </sheets>
  <externalReferences>
    <externalReference r:id="rId61"/>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19">成本法!$A$1:$G$57</definedName>
    <definedName name="_xlnm.Print_Area" localSheetId="32">'成本法车仓储 (元) '!$A$1:$G$57</definedName>
    <definedName name="_xlnm.Print_Area" localSheetId="29">'成本法车位 (元) '!$A$1:$G$57</definedName>
    <definedName name="_xlnm.Print_Area" localSheetId="20">'成本法地上商业 (元)'!$A$1:$G$57</definedName>
    <definedName name="_xlnm.Print_Area" localSheetId="25">'成本法地下办公 (元)'!$A$1:$G$57</definedName>
    <definedName name="_xlnm.Print_Area" localSheetId="23">'成本法地下商业 (元)'!$A$1:$G$57</definedName>
    <definedName name="_xlnm.Print_Area" localSheetId="27">'成本法机械车位 (元) '!$A$1:$G$57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47">'基准地价修正 -办公'!$A$1:$J$44,'基准地价修正 -办公'!$A$47:$H$101,'基准地价修正 -办公'!$R$1:$V$16</definedName>
    <definedName name="_xlnm.Print_Area" localSheetId="48">'基准地价修正-商业'!$A$1:$J$44,'基准地价修正-商业'!$A$47:$H$101,'基准地价修正-商业'!$R$1:$V$16</definedName>
    <definedName name="_xlnm.Print_Area" localSheetId="21">假设开发法!$A$1:$K$32</definedName>
    <definedName name="_xlnm.Print_Area" localSheetId="17">结果表!$A$1:$I$127</definedName>
    <definedName name="_xlnm.Print_Area" localSheetId="30">收益法!$A$1:$F$43,收益法!$H$3:$M$29,收益法!$A$46:$F$71,收益法!$I$46:$N$65</definedName>
    <definedName name="_xlnm.Print_Area" localSheetId="26">'收益法 (元) 地下办公'!$A$1:$F$43,'收益法 (元) 地下办公'!$H$3:$M$29,'收益法 (元) 地下办公'!$A$45:$F$71,'收益法 (元) 地下办公'!$I$46:$N$65</definedName>
    <definedName name="_xlnm.Print_Area" localSheetId="24">'收益法 (元) 地下商业'!$A$1:$F$43,'收益法 (元) 地下商业'!$H$3:$M$29,'收益法 (元) 地下商业'!$A$45:$F$71,'收益法 (元) 地下商业'!$I$46:$N$65</definedName>
    <definedName name="_xlnm.Print_Area" localSheetId="31">'收益法 (元)车位'!$A$1:$F$43,'收益法 (元)车位'!$H$3:$M$29,'收益法 (元)车位'!$A$45:$F$71,'收益法 (元)车位'!$I$46:$N$65</definedName>
    <definedName name="_xlnm.Print_Area" localSheetId="22">'收益法 (元)地上商业'!$A$1:$F$43,'收益法 (元)地上商业'!$H$3:$M$29,'收益法 (元)地上商业'!$A$45:$F$71,'收益法 (元)地上商业'!$I$46:$N$65</definedName>
    <definedName name="_xlnm.Print_Area" localSheetId="28">'收益法 (元)机械车位'!$A$1:$F$43,'收益法 (元)机械车位'!$H$3:$M$29,'收益法 (元)机械车位'!$A$45:$F$71,'收益法 (元)机械车位'!$I$46:$N$65</definedName>
    <definedName name="_xlnm.Print_Area" localSheetId="34">'收益法 仓储'!$A$1:$F$43,'收益法 仓储'!$H$3:$M$29,'收益法 仓储'!$A$45:$F$71,'收益法 仓储'!$I$46:$N$65</definedName>
    <definedName name="_xlnm.Print_Area" localSheetId="36">'收益法（汇总）'!$A$1:$F$13</definedName>
    <definedName name="_xlnm.Print_Area" localSheetId="33">'收益法（元）仓储'!$A$1:$F$43,'收益法（元）仓储'!$H$3:$M$29,'收益法（元）仓储'!$A$45:$F$71,'收益法（元）仓储'!$I$46:$N$65</definedName>
    <definedName name="_xlnm.Print_Area" localSheetId="13">'数据-汇总表'!$A$1:$P$32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D9" i="69" l="1"/>
  <c r="C9" i="69"/>
  <c r="D10" i="69"/>
  <c r="C10" i="69"/>
  <c r="C8" i="69"/>
  <c r="C28" i="43"/>
  <c r="T2" i="43"/>
  <c r="V2" i="43"/>
  <c r="T3" i="43"/>
  <c r="V3" i="43"/>
  <c r="T4" i="43"/>
  <c r="V4" i="43"/>
  <c r="T5" i="43"/>
  <c r="V5" i="43"/>
  <c r="C6" i="69"/>
  <c r="C7" i="69"/>
  <c r="C5" i="69"/>
  <c r="C20" i="69"/>
  <c r="D6" i="73"/>
  <c r="K1" i="73"/>
  <c r="D5"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C2" i="94"/>
  <c r="F6" i="88"/>
  <c r="F8" i="88"/>
  <c r="F7" i="88"/>
  <c r="F9" i="88"/>
  <c r="C6" i="88"/>
  <c r="F4" i="73"/>
  <c r="I1" i="73"/>
  <c r="B39" i="1"/>
  <c r="F11" i="88"/>
  <c r="C10" i="88"/>
  <c r="C5" i="88"/>
  <c r="C32" i="88"/>
  <c r="C33" i="88"/>
  <c r="R6" i="1"/>
  <c r="F35" i="88"/>
  <c r="C34" i="88"/>
  <c r="C31" i="88"/>
  <c r="F43" i="88"/>
  <c r="C14" i="88"/>
  <c r="C15" i="88"/>
  <c r="F16" i="88"/>
  <c r="C16" i="88"/>
  <c r="C17" i="88"/>
  <c r="C18" i="88"/>
  <c r="C19" i="88"/>
  <c r="C20" i="88"/>
  <c r="F24" i="88"/>
  <c r="C23" i="88"/>
  <c r="F26" i="88"/>
  <c r="C26" i="88"/>
  <c r="C24" i="88"/>
  <c r="C27" i="88"/>
  <c r="C29" i="88"/>
  <c r="F36" i="88"/>
  <c r="C36" i="88"/>
  <c r="F13" i="88"/>
  <c r="C13" i="88"/>
  <c r="F37" i="88"/>
  <c r="C37" i="88"/>
  <c r="F38" i="88"/>
  <c r="C38" i="88"/>
  <c r="C30" i="88"/>
  <c r="C39" i="88"/>
  <c r="F42" i="88"/>
  <c r="F40" i="88"/>
  <c r="L48" i="88"/>
  <c r="J53" i="88"/>
  <c r="F1" i="88"/>
  <c r="AE6" i="1"/>
  <c r="F41" i="88"/>
  <c r="C40" i="88"/>
  <c r="M6" i="88"/>
  <c r="M8" i="88"/>
  <c r="M7" i="88"/>
  <c r="M9" i="88"/>
  <c r="J6" i="88"/>
  <c r="M11" i="88"/>
  <c r="J10" i="88"/>
  <c r="J5" i="88"/>
  <c r="J26" i="88"/>
  <c r="J29" i="88"/>
  <c r="J57" i="88"/>
  <c r="J55" i="88"/>
  <c r="J58" i="88"/>
  <c r="J59" i="88"/>
  <c r="J60" i="88"/>
  <c r="L46" i="88"/>
  <c r="D2" i="88"/>
  <c r="B3" i="88"/>
  <c r="E2" i="94"/>
  <c r="G2" i="94"/>
  <c r="H2" i="94"/>
  <c r="C57" i="69"/>
  <c r="C56" i="69"/>
  <c r="J2" i="94"/>
  <c r="I2" i="94"/>
  <c r="K2" i="94"/>
  <c r="D9" i="83"/>
  <c r="C9" i="83"/>
  <c r="D10" i="83"/>
  <c r="C10" i="83"/>
  <c r="C8" i="83"/>
  <c r="C37" i="43"/>
  <c r="G37" i="43"/>
  <c r="I37" i="43"/>
  <c r="C6" i="83"/>
  <c r="C7" i="83"/>
  <c r="C5" i="83"/>
  <c r="C20" i="83"/>
  <c r="F22" i="83"/>
  <c r="C23" i="83"/>
  <c r="C24" i="83"/>
  <c r="C25" i="83"/>
  <c r="C22" i="83"/>
  <c r="F27" i="83"/>
  <c r="C28" i="83"/>
  <c r="C27" i="83"/>
  <c r="C26" i="83"/>
  <c r="D22" i="83"/>
  <c r="C29" i="83"/>
  <c r="D27" i="83"/>
  <c r="C31" i="83"/>
  <c r="C34" i="83"/>
  <c r="C35" i="83"/>
  <c r="C36" i="83"/>
  <c r="D19" i="83"/>
  <c r="D37" i="83"/>
  <c r="C37" i="83"/>
  <c r="C38" i="83"/>
  <c r="C33" i="83"/>
  <c r="C39" i="83"/>
  <c r="C42" i="83"/>
  <c r="C43" i="83"/>
  <c r="C41" i="83"/>
  <c r="C46" i="83"/>
  <c r="C45" i="83"/>
  <c r="C44" i="83"/>
  <c r="D41" i="83"/>
  <c r="C47" i="83"/>
  <c r="D45" i="83"/>
  <c r="C49" i="83"/>
  <c r="C51" i="83"/>
  <c r="C52" i="83"/>
  <c r="B2" i="83"/>
  <c r="B3" i="83"/>
  <c r="C3" i="94"/>
  <c r="F6" i="90"/>
  <c r="F8" i="90"/>
  <c r="F7" i="90"/>
  <c r="F9" i="90"/>
  <c r="C6" i="90"/>
  <c r="F11" i="90"/>
  <c r="C10" i="90"/>
  <c r="C5" i="90"/>
  <c r="C32" i="90"/>
  <c r="C33" i="90"/>
  <c r="R11" i="1"/>
  <c r="F35" i="90"/>
  <c r="C34" i="90"/>
  <c r="C31" i="90"/>
  <c r="F43" i="90"/>
  <c r="C14" i="90"/>
  <c r="C15" i="90"/>
  <c r="F16" i="90"/>
  <c r="C16" i="90"/>
  <c r="C17" i="90"/>
  <c r="C18" i="90"/>
  <c r="C19" i="90"/>
  <c r="C20" i="90"/>
  <c r="F24" i="90"/>
  <c r="C23" i="90"/>
  <c r="F26" i="90"/>
  <c r="C26" i="90"/>
  <c r="C24" i="90"/>
  <c r="C27" i="90"/>
  <c r="C29" i="90"/>
  <c r="F36" i="90"/>
  <c r="C36" i="90"/>
  <c r="F13" i="90"/>
  <c r="C13" i="90"/>
  <c r="F37" i="90"/>
  <c r="C37" i="90"/>
  <c r="F38" i="90"/>
  <c r="C38" i="90"/>
  <c r="C30" i="90"/>
  <c r="C39" i="90"/>
  <c r="F42" i="90"/>
  <c r="F40" i="90"/>
  <c r="L48" i="90"/>
  <c r="J53" i="90"/>
  <c r="F1" i="90"/>
  <c r="AE11" i="1"/>
  <c r="F41" i="90"/>
  <c r="C40" i="90"/>
  <c r="M6" i="90"/>
  <c r="M8" i="90"/>
  <c r="M7" i="90"/>
  <c r="M9" i="90"/>
  <c r="J6" i="90"/>
  <c r="M11" i="90"/>
  <c r="J10" i="90"/>
  <c r="J5" i="90"/>
  <c r="J26" i="90"/>
  <c r="J29" i="90"/>
  <c r="J57" i="90"/>
  <c r="J55" i="90"/>
  <c r="J58" i="90"/>
  <c r="J59" i="90"/>
  <c r="J60" i="90"/>
  <c r="L46" i="90"/>
  <c r="D2" i="90"/>
  <c r="B3" i="90"/>
  <c r="E3" i="94"/>
  <c r="G3" i="94"/>
  <c r="H3" i="94"/>
  <c r="C57" i="83"/>
  <c r="C56" i="83"/>
  <c r="J3" i="94"/>
  <c r="I3" i="94"/>
  <c r="K3" i="94"/>
  <c r="D9" i="82"/>
  <c r="C9" i="82"/>
  <c r="D10" i="82"/>
  <c r="C10" i="82"/>
  <c r="C8" i="82"/>
  <c r="C28" i="81"/>
  <c r="C40" i="81"/>
  <c r="G40" i="81"/>
  <c r="I40" i="81"/>
  <c r="C6" i="82"/>
  <c r="C7" i="82"/>
  <c r="C5" i="82"/>
  <c r="C20" i="82"/>
  <c r="F22" i="82"/>
  <c r="C23" i="82"/>
  <c r="C24" i="82"/>
  <c r="C25" i="82"/>
  <c r="C22" i="82"/>
  <c r="F27" i="82"/>
  <c r="C28" i="82"/>
  <c r="C27" i="82"/>
  <c r="C26" i="82"/>
  <c r="D22" i="82"/>
  <c r="C29" i="82"/>
  <c r="D27" i="82"/>
  <c r="C31" i="82"/>
  <c r="C34" i="82"/>
  <c r="C35" i="82"/>
  <c r="C36" i="82"/>
  <c r="D19" i="82"/>
  <c r="D37" i="82"/>
  <c r="C37" i="82"/>
  <c r="C38" i="82"/>
  <c r="C33" i="82"/>
  <c r="C39" i="82"/>
  <c r="C42" i="82"/>
  <c r="C43" i="82"/>
  <c r="C41" i="82"/>
  <c r="C46" i="82"/>
  <c r="C45" i="82"/>
  <c r="C44" i="82"/>
  <c r="D41" i="82"/>
  <c r="C47" i="82"/>
  <c r="D45" i="82"/>
  <c r="C49" i="82"/>
  <c r="C51" i="82"/>
  <c r="C52" i="82"/>
  <c r="B2" i="82"/>
  <c r="B3" i="82"/>
  <c r="C4" i="94"/>
  <c r="F6" i="89"/>
  <c r="F8" i="89"/>
  <c r="F7" i="89"/>
  <c r="F9" i="89"/>
  <c r="C6" i="89"/>
  <c r="F11" i="89"/>
  <c r="C10" i="89"/>
  <c r="C5" i="89"/>
  <c r="C32" i="89"/>
  <c r="C33" i="89"/>
  <c r="R7" i="1"/>
  <c r="F35" i="89"/>
  <c r="C34" i="89"/>
  <c r="C31" i="89"/>
  <c r="F43" i="89"/>
  <c r="C14" i="89"/>
  <c r="C15" i="89"/>
  <c r="F16" i="89"/>
  <c r="C16" i="89"/>
  <c r="C17" i="89"/>
  <c r="C18" i="89"/>
  <c r="C19" i="89"/>
  <c r="C20" i="89"/>
  <c r="F24" i="89"/>
  <c r="C23" i="89"/>
  <c r="F26" i="89"/>
  <c r="C26" i="89"/>
  <c r="C24" i="89"/>
  <c r="C27" i="89"/>
  <c r="C29" i="89"/>
  <c r="F36" i="89"/>
  <c r="C36" i="89"/>
  <c r="F13" i="89"/>
  <c r="C13" i="89"/>
  <c r="F37" i="89"/>
  <c r="C37" i="89"/>
  <c r="F38" i="89"/>
  <c r="C38" i="89"/>
  <c r="C30" i="89"/>
  <c r="C39" i="89"/>
  <c r="F42" i="89"/>
  <c r="F40" i="89"/>
  <c r="L48" i="89"/>
  <c r="J53" i="89"/>
  <c r="F1" i="89"/>
  <c r="AE7" i="1"/>
  <c r="F41" i="89"/>
  <c r="C40" i="89"/>
  <c r="M6" i="89"/>
  <c r="M8" i="89"/>
  <c r="M7" i="89"/>
  <c r="M9" i="89"/>
  <c r="J6" i="89"/>
  <c r="M11" i="89"/>
  <c r="J10" i="89"/>
  <c r="J5" i="89"/>
  <c r="J26" i="89"/>
  <c r="J29" i="89"/>
  <c r="J57" i="89"/>
  <c r="J55" i="89"/>
  <c r="J58" i="89"/>
  <c r="J59" i="89"/>
  <c r="J60" i="89"/>
  <c r="L46" i="89"/>
  <c r="D2" i="89"/>
  <c r="B3" i="89"/>
  <c r="E4" i="94"/>
  <c r="G4" i="94"/>
  <c r="H4" i="94"/>
  <c r="C57" i="82"/>
  <c r="C56" i="82"/>
  <c r="J4" i="94"/>
  <c r="I4" i="94"/>
  <c r="K4" i="94"/>
  <c r="D9" i="85"/>
  <c r="C9" i="85"/>
  <c r="D10" i="85"/>
  <c r="C10" i="85"/>
  <c r="C8" i="85"/>
  <c r="C42" i="81"/>
  <c r="G42" i="81"/>
  <c r="C6" i="85"/>
  <c r="C7" i="85"/>
  <c r="C5" i="85"/>
  <c r="C20" i="85"/>
  <c r="F22" i="85"/>
  <c r="C23" i="85"/>
  <c r="C24" i="85"/>
  <c r="C25" i="85"/>
  <c r="C22" i="85"/>
  <c r="F27" i="85"/>
  <c r="C28" i="85"/>
  <c r="C27" i="85"/>
  <c r="C26" i="85"/>
  <c r="D22" i="85"/>
  <c r="C29" i="85"/>
  <c r="D27" i="85"/>
  <c r="C31" i="85"/>
  <c r="C34" i="85"/>
  <c r="C35" i="85"/>
  <c r="C36" i="85"/>
  <c r="D19" i="85"/>
  <c r="D37" i="85"/>
  <c r="C37" i="85"/>
  <c r="C38" i="85"/>
  <c r="C33" i="85"/>
  <c r="C39" i="85"/>
  <c r="C42" i="85"/>
  <c r="C43" i="85"/>
  <c r="C41" i="85"/>
  <c r="C46" i="85"/>
  <c r="C45" i="85"/>
  <c r="C44" i="85"/>
  <c r="D41" i="85"/>
  <c r="C47" i="85"/>
  <c r="D45" i="85"/>
  <c r="C49" i="85"/>
  <c r="C51" i="85"/>
  <c r="C52" i="85"/>
  <c r="B2" i="85"/>
  <c r="B3" i="85"/>
  <c r="C5" i="94"/>
  <c r="F6" i="91"/>
  <c r="F8" i="91"/>
  <c r="F7" i="91"/>
  <c r="F9" i="91"/>
  <c r="C6" i="91"/>
  <c r="F11" i="91"/>
  <c r="C10" i="91"/>
  <c r="C5" i="91"/>
  <c r="C32" i="91"/>
  <c r="C33" i="91"/>
  <c r="R10" i="1"/>
  <c r="F35" i="91"/>
  <c r="C34" i="91"/>
  <c r="C31" i="91"/>
  <c r="F43" i="91"/>
  <c r="C14" i="91"/>
  <c r="C15" i="91"/>
  <c r="F16" i="91"/>
  <c r="C16" i="91"/>
  <c r="C17" i="91"/>
  <c r="C18" i="91"/>
  <c r="C19" i="91"/>
  <c r="C20" i="91"/>
  <c r="F24" i="91"/>
  <c r="C23" i="91"/>
  <c r="F26" i="91"/>
  <c r="C26" i="91"/>
  <c r="C24" i="91"/>
  <c r="C27" i="91"/>
  <c r="C29" i="91"/>
  <c r="F36" i="91"/>
  <c r="C36" i="91"/>
  <c r="F13" i="91"/>
  <c r="C13" i="91"/>
  <c r="F37" i="91"/>
  <c r="C37" i="91"/>
  <c r="F38" i="91"/>
  <c r="C38" i="91"/>
  <c r="C30" i="91"/>
  <c r="C39" i="91"/>
  <c r="F42" i="91"/>
  <c r="F40" i="91"/>
  <c r="L48" i="91"/>
  <c r="J53" i="91"/>
  <c r="F1" i="91"/>
  <c r="AE10" i="1"/>
  <c r="F41" i="91"/>
  <c r="C40" i="91"/>
  <c r="M6" i="91"/>
  <c r="M8" i="91"/>
  <c r="M7" i="91"/>
  <c r="M9" i="91"/>
  <c r="J6" i="91"/>
  <c r="M11" i="91"/>
  <c r="J10" i="91"/>
  <c r="J5" i="91"/>
  <c r="J26" i="91"/>
  <c r="J29" i="91"/>
  <c r="J57" i="91"/>
  <c r="J55" i="91"/>
  <c r="J58" i="91"/>
  <c r="J59" i="91"/>
  <c r="J60" i="91"/>
  <c r="L46" i="91"/>
  <c r="D2" i="91"/>
  <c r="B3" i="91"/>
  <c r="E5" i="94"/>
  <c r="G5" i="94"/>
  <c r="H5" i="94"/>
  <c r="C57" i="85"/>
  <c r="C56" i="85"/>
  <c r="J5" i="94"/>
  <c r="I5" i="94"/>
  <c r="K5" i="94"/>
  <c r="D9" i="84"/>
  <c r="C9" i="84"/>
  <c r="D10" i="84"/>
  <c r="C10" i="84"/>
  <c r="C8" i="84"/>
  <c r="C6" i="84"/>
  <c r="C7" i="84"/>
  <c r="C5" i="84"/>
  <c r="C20" i="84"/>
  <c r="F22" i="84"/>
  <c r="C23" i="84"/>
  <c r="C24" i="84"/>
  <c r="C25" i="84"/>
  <c r="C22" i="84"/>
  <c r="F27" i="84"/>
  <c r="C28" i="84"/>
  <c r="C27" i="84"/>
  <c r="C26" i="84"/>
  <c r="D22" i="84"/>
  <c r="C29" i="84"/>
  <c r="D27" i="84"/>
  <c r="C31" i="84"/>
  <c r="C34" i="84"/>
  <c r="C35" i="84"/>
  <c r="C36" i="84"/>
  <c r="D19" i="84"/>
  <c r="D37" i="84"/>
  <c r="C37" i="84"/>
  <c r="C38" i="84"/>
  <c r="C33" i="84"/>
  <c r="C39" i="84"/>
  <c r="C42" i="84"/>
  <c r="C43" i="84"/>
  <c r="C41" i="84"/>
  <c r="C46" i="84"/>
  <c r="C45" i="84"/>
  <c r="C44" i="84"/>
  <c r="D41" i="84"/>
  <c r="C47" i="84"/>
  <c r="D45" i="84"/>
  <c r="C49" i="84"/>
  <c r="C51" i="84"/>
  <c r="C52" i="84"/>
  <c r="B2" i="84"/>
  <c r="B3" i="84"/>
  <c r="C6" i="94"/>
  <c r="F6" i="92"/>
  <c r="F8" i="92"/>
  <c r="F7" i="92"/>
  <c r="F9" i="92"/>
  <c r="C6" i="92"/>
  <c r="F11" i="92"/>
  <c r="C10" i="92"/>
  <c r="C5" i="92"/>
  <c r="C32" i="92"/>
  <c r="C33" i="92"/>
  <c r="R9" i="1"/>
  <c r="F35" i="92"/>
  <c r="C34" i="92"/>
  <c r="C31" i="92"/>
  <c r="F43" i="92"/>
  <c r="C14" i="92"/>
  <c r="C15" i="92"/>
  <c r="F16" i="92"/>
  <c r="C16" i="92"/>
  <c r="C17" i="92"/>
  <c r="C18" i="92"/>
  <c r="C19" i="92"/>
  <c r="C20" i="92"/>
  <c r="F24" i="92"/>
  <c r="C23" i="92"/>
  <c r="F26" i="92"/>
  <c r="C26" i="92"/>
  <c r="C24" i="92"/>
  <c r="C27" i="92"/>
  <c r="C29" i="92"/>
  <c r="F36" i="92"/>
  <c r="C36" i="92"/>
  <c r="F13" i="92"/>
  <c r="C13" i="92"/>
  <c r="F37" i="92"/>
  <c r="C37" i="92"/>
  <c r="F38" i="92"/>
  <c r="C38" i="92"/>
  <c r="C30" i="92"/>
  <c r="C39" i="92"/>
  <c r="F42" i="92"/>
  <c r="F40" i="92"/>
  <c r="L48" i="92"/>
  <c r="J53" i="92"/>
  <c r="F1" i="92"/>
  <c r="AE9" i="1"/>
  <c r="F41" i="92"/>
  <c r="C40" i="92"/>
  <c r="M6" i="92"/>
  <c r="M8" i="92"/>
  <c r="M7" i="92"/>
  <c r="M9" i="92"/>
  <c r="J6" i="92"/>
  <c r="M11" i="92"/>
  <c r="J10" i="92"/>
  <c r="J5" i="92"/>
  <c r="J26" i="92"/>
  <c r="J29" i="92"/>
  <c r="J57" i="92"/>
  <c r="J55" i="92"/>
  <c r="J58" i="92"/>
  <c r="J59" i="92"/>
  <c r="J60" i="92"/>
  <c r="L46" i="92"/>
  <c r="D2" i="92"/>
  <c r="B3" i="92"/>
  <c r="E6" i="94"/>
  <c r="G6" i="94"/>
  <c r="H6" i="94"/>
  <c r="C57" i="84"/>
  <c r="C56" i="84"/>
  <c r="J6" i="94"/>
  <c r="I6" i="94"/>
  <c r="K6" i="94"/>
  <c r="D9" i="86"/>
  <c r="C9" i="86"/>
  <c r="D10" i="86"/>
  <c r="C10" i="86"/>
  <c r="C8" i="86"/>
  <c r="C41" i="81"/>
  <c r="G41" i="81"/>
  <c r="I41" i="81"/>
  <c r="C6" i="86"/>
  <c r="C7" i="86"/>
  <c r="C5" i="86"/>
  <c r="C20" i="86"/>
  <c r="F22" i="86"/>
  <c r="C23" i="86"/>
  <c r="C24" i="86"/>
  <c r="C25" i="86"/>
  <c r="C22" i="86"/>
  <c r="F27" i="86"/>
  <c r="C28" i="86"/>
  <c r="C27" i="86"/>
  <c r="C26" i="86"/>
  <c r="D22" i="86"/>
  <c r="C29" i="86"/>
  <c r="D27" i="86"/>
  <c r="C31" i="86"/>
  <c r="C34" i="86"/>
  <c r="C35" i="86"/>
  <c r="C36" i="86"/>
  <c r="D19" i="86"/>
  <c r="D37" i="86"/>
  <c r="C37" i="86"/>
  <c r="C38" i="86"/>
  <c r="C33" i="86"/>
  <c r="C39" i="86"/>
  <c r="C42" i="86"/>
  <c r="C43" i="86"/>
  <c r="C41" i="86"/>
  <c r="C46" i="86"/>
  <c r="C45" i="86"/>
  <c r="C44" i="86"/>
  <c r="D41" i="86"/>
  <c r="C47" i="86"/>
  <c r="D45" i="86"/>
  <c r="C49" i="86"/>
  <c r="C51" i="86"/>
  <c r="C52" i="86"/>
  <c r="B2" i="86"/>
  <c r="B3" i="86"/>
  <c r="C7" i="94"/>
  <c r="F6" i="93"/>
  <c r="F8" i="93"/>
  <c r="F7" i="93"/>
  <c r="F9" i="93"/>
  <c r="C6" i="93"/>
  <c r="F11" i="93"/>
  <c r="C10" i="93"/>
  <c r="C5" i="93"/>
  <c r="C32" i="93"/>
  <c r="C33" i="93"/>
  <c r="R8" i="1"/>
  <c r="F35" i="93"/>
  <c r="C34" i="93"/>
  <c r="C31" i="93"/>
  <c r="F43" i="93"/>
  <c r="C14" i="93"/>
  <c r="C15" i="93"/>
  <c r="F16" i="93"/>
  <c r="C16" i="93"/>
  <c r="C17" i="93"/>
  <c r="C18" i="93"/>
  <c r="C19" i="93"/>
  <c r="C20" i="93"/>
  <c r="F24" i="93"/>
  <c r="C23" i="93"/>
  <c r="F26" i="93"/>
  <c r="C26" i="93"/>
  <c r="C24" i="93"/>
  <c r="C27" i="93"/>
  <c r="C29" i="93"/>
  <c r="F36" i="93"/>
  <c r="C36" i="93"/>
  <c r="F13" i="93"/>
  <c r="C13" i="93"/>
  <c r="F37" i="93"/>
  <c r="C37" i="93"/>
  <c r="F38" i="93"/>
  <c r="C38" i="93"/>
  <c r="C30" i="93"/>
  <c r="C39" i="93"/>
  <c r="F42" i="93"/>
  <c r="F40" i="93"/>
  <c r="L48" i="93"/>
  <c r="J53" i="93"/>
  <c r="F1" i="93"/>
  <c r="AE8" i="1"/>
  <c r="F41" i="93"/>
  <c r="C40" i="93"/>
  <c r="M6" i="93"/>
  <c r="M8" i="93"/>
  <c r="M7" i="93"/>
  <c r="M9" i="93"/>
  <c r="J6" i="93"/>
  <c r="M11" i="93"/>
  <c r="J10" i="93"/>
  <c r="J5" i="93"/>
  <c r="J26" i="93"/>
  <c r="J29" i="93"/>
  <c r="J57" i="93"/>
  <c r="J55" i="93"/>
  <c r="J58" i="93"/>
  <c r="J59" i="93"/>
  <c r="J60" i="93"/>
  <c r="L46" i="93"/>
  <c r="D2" i="93"/>
  <c r="B3" i="93"/>
  <c r="E7" i="94"/>
  <c r="G7" i="94"/>
  <c r="H7" i="94"/>
  <c r="C57" i="86"/>
  <c r="C56" i="86"/>
  <c r="J7" i="94"/>
  <c r="I7" i="94"/>
  <c r="K7" i="94"/>
  <c r="K8" i="94"/>
  <c r="L2" i="94"/>
  <c r="L3" i="94"/>
  <c r="L4" i="94"/>
  <c r="L5" i="94"/>
  <c r="L6" i="94"/>
  <c r="L7" i="94"/>
  <c r="I8" i="94"/>
  <c r="F2" i="94"/>
  <c r="F3" i="94"/>
  <c r="F4" i="94"/>
  <c r="F5" i="94"/>
  <c r="F6" i="94"/>
  <c r="F7" i="94"/>
  <c r="H8" i="94"/>
  <c r="D14" i="74"/>
  <c r="B5" i="74"/>
  <c r="E14" i="74"/>
  <c r="C5" i="74"/>
  <c r="B14" i="74"/>
  <c r="M6" i="94"/>
  <c r="M5" i="94"/>
  <c r="D74" i="80"/>
  <c r="U7" i="1"/>
  <c r="I10" i="1"/>
  <c r="I9" i="1"/>
  <c r="I11" i="1"/>
  <c r="J52" i="93"/>
  <c r="J52" i="92"/>
  <c r="J52" i="91"/>
  <c r="J52" i="89"/>
  <c r="J52" i="90"/>
  <c r="J52" i="88"/>
  <c r="AL11" i="1"/>
  <c r="AL10" i="1"/>
  <c r="AL9" i="1"/>
  <c r="AL8" i="1"/>
  <c r="AL7" i="1"/>
  <c r="Q8" i="1"/>
  <c r="Q10" i="1"/>
  <c r="AK11" i="1"/>
  <c r="AK10" i="1"/>
  <c r="AK9" i="1"/>
  <c r="AK8" i="1"/>
  <c r="AK7" i="1"/>
  <c r="G1" i="93"/>
  <c r="F15" i="93"/>
  <c r="F17" i="93"/>
  <c r="F18" i="93"/>
  <c r="F20" i="93"/>
  <c r="F23" i="93"/>
  <c r="F21" i="93"/>
  <c r="F28" i="93"/>
  <c r="C28" i="93"/>
  <c r="F32" i="93"/>
  <c r="F33" i="93"/>
  <c r="F34" i="93"/>
  <c r="R12" i="1"/>
  <c r="AE12" i="1"/>
  <c r="M47" i="93"/>
  <c r="J50" i="93"/>
  <c r="J51" i="93"/>
  <c r="C83" i="93"/>
  <c r="C82" i="93"/>
  <c r="C76" i="93"/>
  <c r="C75" i="93"/>
  <c r="C80" i="93"/>
  <c r="C79" i="93"/>
  <c r="Q65" i="93"/>
  <c r="L51" i="93"/>
  <c r="L57" i="93"/>
  <c r="L47" i="93"/>
  <c r="L58" i="93"/>
  <c r="L59" i="93"/>
  <c r="L60" i="93"/>
  <c r="Q66" i="93"/>
  <c r="Q75" i="93"/>
  <c r="Q74" i="93"/>
  <c r="K59" i="93"/>
  <c r="P74" i="93"/>
  <c r="Q73" i="93"/>
  <c r="Q72" i="93"/>
  <c r="Q71" i="93"/>
  <c r="F71" i="93"/>
  <c r="F51" i="93"/>
  <c r="F50" i="93"/>
  <c r="C49" i="93"/>
  <c r="C53" i="93"/>
  <c r="C48" i="93"/>
  <c r="F60" i="93"/>
  <c r="C60" i="93"/>
  <c r="F61" i="93"/>
  <c r="C61" i="93"/>
  <c r="F62" i="93"/>
  <c r="F63" i="93"/>
  <c r="C62" i="93"/>
  <c r="C59" i="93"/>
  <c r="C57" i="93"/>
  <c r="F64" i="93"/>
  <c r="C64" i="93"/>
  <c r="C56" i="93"/>
  <c r="F65" i="93"/>
  <c r="C65" i="93"/>
  <c r="F66" i="93"/>
  <c r="C66" i="93"/>
  <c r="C58" i="93"/>
  <c r="C67" i="93"/>
  <c r="F68" i="93"/>
  <c r="F69" i="93"/>
  <c r="C68" i="93"/>
  <c r="C71" i="93"/>
  <c r="Q70" i="93"/>
  <c r="Q69" i="93"/>
  <c r="Q68" i="93"/>
  <c r="Q67" i="93"/>
  <c r="Q56" i="93"/>
  <c r="Q57" i="93"/>
  <c r="Q62" i="93"/>
  <c r="Q61" i="93"/>
  <c r="P61" i="93"/>
  <c r="Q60" i="93"/>
  <c r="Q59" i="93"/>
  <c r="N59" i="93"/>
  <c r="M59" i="93"/>
  <c r="F59" i="93"/>
  <c r="Q58" i="93"/>
  <c r="L56" i="93"/>
  <c r="I54" i="93"/>
  <c r="Q47" i="93"/>
  <c r="Q48" i="93"/>
  <c r="Q53" i="93"/>
  <c r="Q52" i="93"/>
  <c r="Q51" i="93"/>
  <c r="Q50" i="93"/>
  <c r="Q49" i="93"/>
  <c r="D46" i="93"/>
  <c r="C45" i="93"/>
  <c r="C46" i="93"/>
  <c r="C43" i="93"/>
  <c r="F31" i="93"/>
  <c r="M29" i="93"/>
  <c r="M28" i="93"/>
  <c r="M27" i="93"/>
  <c r="M26" i="93"/>
  <c r="M18" i="93"/>
  <c r="J18" i="93"/>
  <c r="M19" i="93"/>
  <c r="J19" i="93"/>
  <c r="M20" i="93"/>
  <c r="M21" i="93"/>
  <c r="J20" i="93"/>
  <c r="J17" i="93"/>
  <c r="J14" i="93"/>
  <c r="M22" i="93"/>
  <c r="J22" i="93"/>
  <c r="J15" i="93"/>
  <c r="J13" i="93"/>
  <c r="M23" i="93"/>
  <c r="J23" i="93"/>
  <c r="M24" i="93"/>
  <c r="J24" i="93"/>
  <c r="J16" i="93"/>
  <c r="J25" i="93"/>
  <c r="D24" i="93"/>
  <c r="D23" i="93"/>
  <c r="D22" i="93"/>
  <c r="M17" i="93"/>
  <c r="B2" i="93"/>
  <c r="G1" i="92"/>
  <c r="F15" i="92"/>
  <c r="F17" i="92"/>
  <c r="F18" i="92"/>
  <c r="F20" i="92"/>
  <c r="F23" i="92"/>
  <c r="F21" i="92"/>
  <c r="F28" i="92"/>
  <c r="C28" i="92"/>
  <c r="F32" i="92"/>
  <c r="F33" i="92"/>
  <c r="F34" i="92"/>
  <c r="M47" i="92"/>
  <c r="J50" i="92"/>
  <c r="J51" i="92"/>
  <c r="C76" i="92"/>
  <c r="C75" i="92"/>
  <c r="L57" i="92"/>
  <c r="L47" i="92"/>
  <c r="L58" i="92"/>
  <c r="L59" i="92"/>
  <c r="L60" i="92"/>
  <c r="Q66" i="92"/>
  <c r="Q74" i="92"/>
  <c r="K59" i="92"/>
  <c r="P74" i="92"/>
  <c r="Q73" i="92"/>
  <c r="Q72" i="92"/>
  <c r="Q71" i="92"/>
  <c r="F71" i="92"/>
  <c r="F51" i="92"/>
  <c r="F50" i="92"/>
  <c r="C49" i="92"/>
  <c r="C53" i="92"/>
  <c r="C48" i="92"/>
  <c r="F60" i="92"/>
  <c r="C60" i="92"/>
  <c r="F61" i="92"/>
  <c r="C61" i="92"/>
  <c r="F62" i="92"/>
  <c r="F63" i="92"/>
  <c r="C62" i="92"/>
  <c r="C59" i="92"/>
  <c r="C57" i="92"/>
  <c r="F64" i="92"/>
  <c r="C64" i="92"/>
  <c r="C56" i="92"/>
  <c r="F65" i="92"/>
  <c r="C65" i="92"/>
  <c r="F66" i="92"/>
  <c r="C66" i="92"/>
  <c r="C58" i="92"/>
  <c r="C67" i="92"/>
  <c r="F68" i="92"/>
  <c r="F69" i="92"/>
  <c r="C68" i="92"/>
  <c r="C71" i="92"/>
  <c r="Q70" i="92"/>
  <c r="Q57" i="92"/>
  <c r="Q61" i="92"/>
  <c r="P61" i="92"/>
  <c r="Q60" i="92"/>
  <c r="Q59" i="92"/>
  <c r="N59" i="92"/>
  <c r="M59" i="92"/>
  <c r="F59" i="92"/>
  <c r="Q58" i="92"/>
  <c r="L56" i="92"/>
  <c r="I54" i="92"/>
  <c r="Q48" i="92"/>
  <c r="Q52" i="92"/>
  <c r="Q51" i="92"/>
  <c r="Q50" i="92"/>
  <c r="Q49" i="92"/>
  <c r="D46" i="92"/>
  <c r="F31" i="92"/>
  <c r="M29" i="92"/>
  <c r="M28" i="92"/>
  <c r="M27" i="92"/>
  <c r="M26" i="92"/>
  <c r="M18" i="92"/>
  <c r="J18" i="92"/>
  <c r="M19" i="92"/>
  <c r="J19" i="92"/>
  <c r="M20" i="92"/>
  <c r="M21" i="92"/>
  <c r="J20" i="92"/>
  <c r="J17" i="92"/>
  <c r="J14" i="92"/>
  <c r="M22" i="92"/>
  <c r="J22" i="92"/>
  <c r="J15" i="92"/>
  <c r="J13" i="92"/>
  <c r="M23" i="92"/>
  <c r="J23" i="92"/>
  <c r="M24" i="92"/>
  <c r="J24" i="92"/>
  <c r="J16" i="92"/>
  <c r="J25" i="92"/>
  <c r="D24" i="92"/>
  <c r="D23" i="92"/>
  <c r="D22" i="92"/>
  <c r="M17" i="92"/>
  <c r="G1" i="91"/>
  <c r="F15" i="91"/>
  <c r="F17" i="91"/>
  <c r="F18" i="91"/>
  <c r="F20" i="91"/>
  <c r="F23" i="91"/>
  <c r="F21" i="91"/>
  <c r="F28" i="91"/>
  <c r="C28" i="91"/>
  <c r="F32" i="91"/>
  <c r="F33" i="91"/>
  <c r="F34" i="91"/>
  <c r="M47" i="91"/>
  <c r="J50" i="91"/>
  <c r="J51" i="91"/>
  <c r="C83" i="91"/>
  <c r="C82" i="91"/>
  <c r="C76" i="91"/>
  <c r="C75" i="91"/>
  <c r="C80" i="91"/>
  <c r="C79" i="91"/>
  <c r="Q65" i="91"/>
  <c r="L51" i="91"/>
  <c r="L57" i="91"/>
  <c r="L47" i="91"/>
  <c r="L58" i="91"/>
  <c r="L59" i="91"/>
  <c r="L60" i="91"/>
  <c r="Q66" i="91"/>
  <c r="Q75" i="91"/>
  <c r="Q74" i="91"/>
  <c r="K59" i="91"/>
  <c r="P74" i="91"/>
  <c r="Q73" i="91"/>
  <c r="Q72" i="91"/>
  <c r="Q71" i="91"/>
  <c r="F71" i="91"/>
  <c r="F51" i="91"/>
  <c r="F50" i="91"/>
  <c r="C49" i="91"/>
  <c r="C53" i="91"/>
  <c r="C48" i="91"/>
  <c r="F60" i="91"/>
  <c r="C60" i="91"/>
  <c r="F61" i="91"/>
  <c r="C61" i="91"/>
  <c r="F62" i="91"/>
  <c r="F63" i="91"/>
  <c r="C62" i="91"/>
  <c r="C59" i="91"/>
  <c r="C57" i="91"/>
  <c r="F64" i="91"/>
  <c r="C64" i="91"/>
  <c r="C56" i="91"/>
  <c r="F65" i="91"/>
  <c r="C65" i="91"/>
  <c r="F66" i="91"/>
  <c r="C66" i="91"/>
  <c r="C58" i="91"/>
  <c r="C67" i="91"/>
  <c r="F68" i="91"/>
  <c r="F69" i="91"/>
  <c r="C68" i="91"/>
  <c r="C71" i="91"/>
  <c r="Q70" i="91"/>
  <c r="Q69" i="91"/>
  <c r="Q68" i="91"/>
  <c r="Q67" i="91"/>
  <c r="Q56" i="91"/>
  <c r="Q57" i="91"/>
  <c r="Q62" i="91"/>
  <c r="Q61" i="91"/>
  <c r="P61" i="91"/>
  <c r="Q60" i="91"/>
  <c r="Q59" i="91"/>
  <c r="N59" i="91"/>
  <c r="M59" i="91"/>
  <c r="F59" i="91"/>
  <c r="Q58" i="91"/>
  <c r="L56" i="91"/>
  <c r="I54" i="91"/>
  <c r="Q47" i="91"/>
  <c r="Q48" i="91"/>
  <c r="Q53" i="91"/>
  <c r="Q52" i="91"/>
  <c r="Q51" i="91"/>
  <c r="Q50" i="91"/>
  <c r="Q49" i="91"/>
  <c r="D46" i="91"/>
  <c r="C45" i="91"/>
  <c r="C46" i="91"/>
  <c r="C43" i="91"/>
  <c r="F31" i="91"/>
  <c r="M29" i="91"/>
  <c r="M28" i="91"/>
  <c r="M27" i="91"/>
  <c r="M26" i="91"/>
  <c r="M18" i="91"/>
  <c r="J18" i="91"/>
  <c r="M19" i="91"/>
  <c r="J19" i="91"/>
  <c r="M20" i="91"/>
  <c r="M21" i="91"/>
  <c r="J20" i="91"/>
  <c r="J17" i="91"/>
  <c r="J14" i="91"/>
  <c r="M22" i="91"/>
  <c r="J22" i="91"/>
  <c r="J15" i="91"/>
  <c r="J13" i="91"/>
  <c r="M23" i="91"/>
  <c r="J23" i="91"/>
  <c r="M24" i="91"/>
  <c r="J24" i="91"/>
  <c r="J16" i="91"/>
  <c r="J25" i="91"/>
  <c r="D24" i="91"/>
  <c r="D23" i="91"/>
  <c r="D22" i="91"/>
  <c r="M17" i="91"/>
  <c r="B2" i="91"/>
  <c r="G1" i="90"/>
  <c r="F15" i="90"/>
  <c r="F17" i="90"/>
  <c r="F18" i="90"/>
  <c r="F20" i="90"/>
  <c r="F23" i="90"/>
  <c r="F21" i="90"/>
  <c r="F28" i="90"/>
  <c r="C28" i="90"/>
  <c r="F32" i="90"/>
  <c r="F33" i="90"/>
  <c r="F34" i="90"/>
  <c r="M47" i="90"/>
  <c r="J50" i="90"/>
  <c r="J51" i="90"/>
  <c r="C83" i="90"/>
  <c r="C82" i="90"/>
  <c r="C76" i="90"/>
  <c r="C75" i="90"/>
  <c r="C80" i="90"/>
  <c r="C79" i="90"/>
  <c r="Q65" i="90"/>
  <c r="L51" i="90"/>
  <c r="L57" i="90"/>
  <c r="L47" i="90"/>
  <c r="L58" i="90"/>
  <c r="L59" i="90"/>
  <c r="L60" i="90"/>
  <c r="Q66" i="90"/>
  <c r="Q75" i="90"/>
  <c r="Q74" i="90"/>
  <c r="K59" i="90"/>
  <c r="P74" i="90"/>
  <c r="Q73" i="90"/>
  <c r="Q72" i="90"/>
  <c r="Q71" i="90"/>
  <c r="F71" i="90"/>
  <c r="F51" i="90"/>
  <c r="F50" i="90"/>
  <c r="C49" i="90"/>
  <c r="C53" i="90"/>
  <c r="C48" i="90"/>
  <c r="F60" i="90"/>
  <c r="C60" i="90"/>
  <c r="F61" i="90"/>
  <c r="C61" i="90"/>
  <c r="F62" i="90"/>
  <c r="F63" i="90"/>
  <c r="C62" i="90"/>
  <c r="C59" i="90"/>
  <c r="C57" i="90"/>
  <c r="F64" i="90"/>
  <c r="C64" i="90"/>
  <c r="C56" i="90"/>
  <c r="F65" i="90"/>
  <c r="C65" i="90"/>
  <c r="F66" i="90"/>
  <c r="C66" i="90"/>
  <c r="C58" i="90"/>
  <c r="C67" i="90"/>
  <c r="F68" i="90"/>
  <c r="F69" i="90"/>
  <c r="C68" i="90"/>
  <c r="C71" i="90"/>
  <c r="Q70" i="90"/>
  <c r="Q69" i="90"/>
  <c r="Q68" i="90"/>
  <c r="Q67" i="90"/>
  <c r="Q56" i="90"/>
  <c r="Q57" i="90"/>
  <c r="Q62" i="90"/>
  <c r="Q61" i="90"/>
  <c r="P61" i="90"/>
  <c r="Q60" i="90"/>
  <c r="Q59" i="90"/>
  <c r="N59" i="90"/>
  <c r="M59" i="90"/>
  <c r="F59" i="90"/>
  <c r="Q58" i="90"/>
  <c r="L56" i="90"/>
  <c r="I54" i="90"/>
  <c r="Q47" i="90"/>
  <c r="Q48" i="90"/>
  <c r="Q53" i="90"/>
  <c r="Q52" i="90"/>
  <c r="Q51" i="90"/>
  <c r="Q50" i="90"/>
  <c r="Q49" i="90"/>
  <c r="D46" i="90"/>
  <c r="C45" i="90"/>
  <c r="C46" i="90"/>
  <c r="C43" i="90"/>
  <c r="F31" i="90"/>
  <c r="M29" i="90"/>
  <c r="M28" i="90"/>
  <c r="M27" i="90"/>
  <c r="M26" i="90"/>
  <c r="M18" i="90"/>
  <c r="J18" i="90"/>
  <c r="M19" i="90"/>
  <c r="J19" i="90"/>
  <c r="M20" i="90"/>
  <c r="M21" i="90"/>
  <c r="J20" i="90"/>
  <c r="J17" i="90"/>
  <c r="J14" i="90"/>
  <c r="M22" i="90"/>
  <c r="J22" i="90"/>
  <c r="J15" i="90"/>
  <c r="J13" i="90"/>
  <c r="M23" i="90"/>
  <c r="J23" i="90"/>
  <c r="M24" i="90"/>
  <c r="J24" i="90"/>
  <c r="J16" i="90"/>
  <c r="J25" i="90"/>
  <c r="D24" i="90"/>
  <c r="D23" i="90"/>
  <c r="D22" i="90"/>
  <c r="M17" i="90"/>
  <c r="B2" i="90"/>
  <c r="G1" i="89"/>
  <c r="F15" i="89"/>
  <c r="F17" i="89"/>
  <c r="F18" i="89"/>
  <c r="F20" i="89"/>
  <c r="F23" i="89"/>
  <c r="F21" i="89"/>
  <c r="F28" i="89"/>
  <c r="C28" i="89"/>
  <c r="F32" i="89"/>
  <c r="F33" i="89"/>
  <c r="F34" i="89"/>
  <c r="M47" i="89"/>
  <c r="J50" i="89"/>
  <c r="J51" i="89"/>
  <c r="C83" i="89"/>
  <c r="C82" i="89"/>
  <c r="C76" i="89"/>
  <c r="C75" i="89"/>
  <c r="C80" i="89"/>
  <c r="C79" i="89"/>
  <c r="Q65" i="89"/>
  <c r="L51" i="89"/>
  <c r="L57" i="89"/>
  <c r="L47" i="89"/>
  <c r="L58" i="89"/>
  <c r="L59" i="89"/>
  <c r="L60" i="89"/>
  <c r="Q66" i="89"/>
  <c r="Q75" i="89"/>
  <c r="Q74" i="89"/>
  <c r="K59" i="89"/>
  <c r="P74" i="89"/>
  <c r="Q73" i="89"/>
  <c r="Q72" i="89"/>
  <c r="Q71" i="89"/>
  <c r="F71" i="89"/>
  <c r="F51" i="89"/>
  <c r="F50" i="89"/>
  <c r="C49" i="89"/>
  <c r="C53" i="89"/>
  <c r="C48" i="89"/>
  <c r="F60" i="89"/>
  <c r="C60" i="89"/>
  <c r="F61" i="89"/>
  <c r="C61" i="89"/>
  <c r="F62" i="89"/>
  <c r="F63" i="89"/>
  <c r="C62" i="89"/>
  <c r="C59" i="89"/>
  <c r="C57" i="89"/>
  <c r="F64" i="89"/>
  <c r="C64" i="89"/>
  <c r="C56" i="89"/>
  <c r="F65" i="89"/>
  <c r="C65" i="89"/>
  <c r="F66" i="89"/>
  <c r="C66" i="89"/>
  <c r="C58" i="89"/>
  <c r="C67" i="89"/>
  <c r="F68" i="89"/>
  <c r="F69" i="89"/>
  <c r="C68" i="89"/>
  <c r="C71" i="89"/>
  <c r="Q70" i="89"/>
  <c r="Q69" i="89"/>
  <c r="Q68" i="89"/>
  <c r="Q67" i="89"/>
  <c r="Q56" i="89"/>
  <c r="Q57" i="89"/>
  <c r="Q62" i="89"/>
  <c r="Q61" i="89"/>
  <c r="P61" i="89"/>
  <c r="Q60" i="89"/>
  <c r="Q59" i="89"/>
  <c r="N59" i="89"/>
  <c r="M59" i="89"/>
  <c r="F59" i="89"/>
  <c r="Q58" i="89"/>
  <c r="L56" i="89"/>
  <c r="I54" i="89"/>
  <c r="Q47" i="89"/>
  <c r="Q48" i="89"/>
  <c r="Q53" i="89"/>
  <c r="Q52" i="89"/>
  <c r="Q51" i="89"/>
  <c r="Q50" i="89"/>
  <c r="Q49" i="89"/>
  <c r="D46" i="89"/>
  <c r="C45" i="89"/>
  <c r="C46" i="89"/>
  <c r="C43" i="89"/>
  <c r="F31" i="89"/>
  <c r="M29" i="89"/>
  <c r="M28" i="89"/>
  <c r="M27" i="89"/>
  <c r="M26" i="89"/>
  <c r="M18" i="89"/>
  <c r="J18" i="89"/>
  <c r="M19" i="89"/>
  <c r="J19" i="89"/>
  <c r="M20" i="89"/>
  <c r="M21" i="89"/>
  <c r="J20" i="89"/>
  <c r="J17" i="89"/>
  <c r="J14" i="89"/>
  <c r="M22" i="89"/>
  <c r="J22" i="89"/>
  <c r="J15" i="89"/>
  <c r="J13" i="89"/>
  <c r="M23" i="89"/>
  <c r="J23" i="89"/>
  <c r="M24" i="89"/>
  <c r="J24" i="89"/>
  <c r="J16" i="89"/>
  <c r="J25" i="89"/>
  <c r="D24" i="89"/>
  <c r="D23" i="89"/>
  <c r="D22" i="89"/>
  <c r="M17" i="89"/>
  <c r="B2" i="89"/>
  <c r="G1" i="88"/>
  <c r="F15" i="88"/>
  <c r="F17" i="88"/>
  <c r="F18" i="88"/>
  <c r="F20" i="88"/>
  <c r="F23" i="88"/>
  <c r="F21" i="88"/>
  <c r="F28" i="88"/>
  <c r="C28" i="88"/>
  <c r="F32" i="88"/>
  <c r="F33" i="88"/>
  <c r="F34" i="88"/>
  <c r="M47" i="88"/>
  <c r="J50" i="88"/>
  <c r="J51" i="88"/>
  <c r="C83" i="88"/>
  <c r="C82" i="88"/>
  <c r="C76" i="88"/>
  <c r="C75" i="88"/>
  <c r="C80" i="88"/>
  <c r="C79" i="88"/>
  <c r="Q65" i="88"/>
  <c r="L51" i="88"/>
  <c r="L57" i="88"/>
  <c r="L47" i="88"/>
  <c r="L58" i="88"/>
  <c r="L59" i="88"/>
  <c r="L60" i="88"/>
  <c r="Q66" i="88"/>
  <c r="Q75" i="88"/>
  <c r="Q74" i="88"/>
  <c r="K59" i="88"/>
  <c r="P74" i="88"/>
  <c r="Q73" i="88"/>
  <c r="Q72" i="88"/>
  <c r="Q71" i="88"/>
  <c r="F71" i="88"/>
  <c r="F51" i="88"/>
  <c r="F50" i="88"/>
  <c r="C49" i="88"/>
  <c r="C53" i="88"/>
  <c r="C48" i="88"/>
  <c r="F60" i="88"/>
  <c r="C60" i="88"/>
  <c r="F61" i="88"/>
  <c r="C61" i="88"/>
  <c r="F62" i="88"/>
  <c r="F63" i="88"/>
  <c r="C62" i="88"/>
  <c r="C59" i="88"/>
  <c r="C57" i="88"/>
  <c r="F64" i="88"/>
  <c r="C64" i="88"/>
  <c r="C56" i="88"/>
  <c r="F65" i="88"/>
  <c r="C65" i="88"/>
  <c r="F66" i="88"/>
  <c r="C66" i="88"/>
  <c r="C58" i="88"/>
  <c r="C67" i="88"/>
  <c r="F68" i="88"/>
  <c r="F69" i="88"/>
  <c r="C68" i="88"/>
  <c r="C71" i="88"/>
  <c r="Q70" i="88"/>
  <c r="Q69" i="88"/>
  <c r="Q68" i="88"/>
  <c r="Q67" i="88"/>
  <c r="Q56" i="88"/>
  <c r="Q57" i="88"/>
  <c r="Q62" i="88"/>
  <c r="Q61" i="88"/>
  <c r="P61" i="88"/>
  <c r="Q60" i="88"/>
  <c r="Q59" i="88"/>
  <c r="N59" i="88"/>
  <c r="M59" i="88"/>
  <c r="F59" i="88"/>
  <c r="Q58" i="88"/>
  <c r="L56" i="88"/>
  <c r="I54" i="88"/>
  <c r="Q47" i="88"/>
  <c r="Q48" i="88"/>
  <c r="Q53" i="88"/>
  <c r="Q52" i="88"/>
  <c r="Q51" i="88"/>
  <c r="Q50" i="88"/>
  <c r="Q49" i="88"/>
  <c r="D46" i="88"/>
  <c r="C45" i="88"/>
  <c r="C46" i="88"/>
  <c r="C43" i="88"/>
  <c r="F31" i="88"/>
  <c r="M29" i="88"/>
  <c r="M28" i="88"/>
  <c r="M27" i="88"/>
  <c r="M26" i="88"/>
  <c r="M18" i="88"/>
  <c r="J18" i="88"/>
  <c r="M19" i="88"/>
  <c r="J19" i="88"/>
  <c r="M20" i="88"/>
  <c r="M21" i="88"/>
  <c r="J20" i="88"/>
  <c r="J17" i="88"/>
  <c r="J14" i="88"/>
  <c r="M22" i="88"/>
  <c r="J22" i="88"/>
  <c r="J15" i="88"/>
  <c r="J13" i="88"/>
  <c r="M23" i="88"/>
  <c r="J23" i="88"/>
  <c r="M24" i="88"/>
  <c r="J24" i="88"/>
  <c r="J16" i="88"/>
  <c r="J25" i="88"/>
  <c r="D24" i="88"/>
  <c r="D23" i="88"/>
  <c r="D22" i="88"/>
  <c r="M17" i="88"/>
  <c r="B2" i="88"/>
  <c r="L10" i="1"/>
  <c r="F129" i="87"/>
  <c r="C20" i="81"/>
  <c r="D5" i="81"/>
  <c r="C20" i="43"/>
  <c r="D5" i="43"/>
  <c r="I24" i="43"/>
  <c r="C24" i="43"/>
  <c r="I24" i="81"/>
  <c r="C24" i="81"/>
  <c r="E37" i="43"/>
  <c r="E42" i="81"/>
  <c r="E41" i="81"/>
  <c r="E40" i="81"/>
  <c r="C5" i="43"/>
  <c r="AH11" i="1"/>
  <c r="AH10" i="1"/>
  <c r="AH9" i="1"/>
  <c r="AH8" i="1"/>
  <c r="AH7" i="1"/>
  <c r="AH6" i="1"/>
  <c r="V11" i="1"/>
  <c r="W11" i="1"/>
  <c r="Y7" i="1"/>
  <c r="Y8" i="1"/>
  <c r="Y9" i="1"/>
  <c r="Y10" i="1"/>
  <c r="Y11" i="1"/>
  <c r="Y6" i="1"/>
  <c r="V10" i="1"/>
  <c r="V9" i="1"/>
  <c r="V8" i="1"/>
  <c r="V7" i="1"/>
  <c r="W10" i="1"/>
  <c r="W9" i="1"/>
  <c r="W8" i="1"/>
  <c r="W7" i="1"/>
  <c r="U11" i="1"/>
  <c r="U10" i="1"/>
  <c r="U9" i="1"/>
  <c r="U8" i="1"/>
  <c r="U6" i="1"/>
  <c r="C78" i="80"/>
  <c r="Y92" i="87"/>
  <c r="B77" i="80"/>
  <c r="D77" i="80"/>
  <c r="D76" i="80"/>
  <c r="C77" i="80"/>
  <c r="C76" i="80"/>
  <c r="D71" i="80"/>
  <c r="D73" i="80"/>
  <c r="C68" i="80"/>
  <c r="C70" i="80"/>
  <c r="C69" i="80"/>
  <c r="N48" i="87"/>
  <c r="A47" i="87"/>
  <c r="B44" i="87"/>
  <c r="X43" i="87"/>
  <c r="M43" i="87"/>
  <c r="B43" i="87"/>
  <c r="Q7" i="1"/>
  <c r="Q11" i="1"/>
  <c r="N11" i="1"/>
  <c r="N10" i="1"/>
  <c r="N9" i="1"/>
  <c r="N8" i="1"/>
  <c r="N7" i="1"/>
  <c r="N20" i="1"/>
  <c r="L11" i="1"/>
  <c r="L9" i="1"/>
  <c r="L8" i="1"/>
  <c r="G24" i="6"/>
  <c r="F35" i="86"/>
  <c r="F36" i="86"/>
  <c r="AP6" i="1"/>
  <c r="AP7" i="1"/>
  <c r="AP8" i="1"/>
  <c r="AP9" i="1"/>
  <c r="AP10" i="1"/>
  <c r="AP11" i="1"/>
  <c r="AP12" i="1"/>
  <c r="AP13" i="1"/>
  <c r="G1" i="86"/>
  <c r="E37" i="86"/>
  <c r="F38" i="86"/>
  <c r="F20" i="86"/>
  <c r="F21" i="86"/>
  <c r="C40" i="86"/>
  <c r="F30" i="86"/>
  <c r="C48" i="86"/>
  <c r="F7" i="86"/>
  <c r="E9" i="86"/>
  <c r="E10" i="86"/>
  <c r="E19" i="86"/>
  <c r="C19" i="86"/>
  <c r="C21" i="86"/>
  <c r="C30" i="86"/>
  <c r="F48" i="86"/>
  <c r="G41" i="86"/>
  <c r="F41" i="86"/>
  <c r="F40" i="86"/>
  <c r="F39" i="86"/>
  <c r="G22" i="86"/>
  <c r="E2" i="86"/>
  <c r="H1" i="86"/>
  <c r="A11" i="1"/>
  <c r="A7" i="1"/>
  <c r="F35" i="85"/>
  <c r="F36" i="85"/>
  <c r="G1" i="85"/>
  <c r="E37" i="85"/>
  <c r="F38" i="85"/>
  <c r="F20" i="85"/>
  <c r="F21" i="85"/>
  <c r="C40" i="85"/>
  <c r="F30" i="85"/>
  <c r="C48" i="85"/>
  <c r="F7" i="85"/>
  <c r="E9" i="85"/>
  <c r="E10" i="85"/>
  <c r="E19" i="85"/>
  <c r="C19" i="85"/>
  <c r="C21" i="85"/>
  <c r="C30" i="85"/>
  <c r="F48" i="85"/>
  <c r="G41" i="85"/>
  <c r="F41" i="85"/>
  <c r="F40" i="85"/>
  <c r="F39" i="85"/>
  <c r="G22" i="85"/>
  <c r="E2" i="85"/>
  <c r="H1" i="85"/>
  <c r="F35" i="84"/>
  <c r="F36" i="84"/>
  <c r="G1" i="84"/>
  <c r="E37" i="84"/>
  <c r="F38" i="84"/>
  <c r="F20" i="84"/>
  <c r="F21" i="84"/>
  <c r="C40" i="84"/>
  <c r="F30" i="84"/>
  <c r="C48" i="84"/>
  <c r="F7" i="84"/>
  <c r="E9" i="84"/>
  <c r="E10" i="84"/>
  <c r="E19" i="84"/>
  <c r="C19" i="84"/>
  <c r="C21" i="84"/>
  <c r="C30" i="84"/>
  <c r="F48" i="84"/>
  <c r="G41" i="84"/>
  <c r="F41" i="84"/>
  <c r="F40" i="84"/>
  <c r="F39" i="84"/>
  <c r="G22" i="84"/>
  <c r="E2" i="84"/>
  <c r="H1" i="84"/>
  <c r="F35" i="83"/>
  <c r="F36" i="83"/>
  <c r="G1" i="83"/>
  <c r="E37" i="83"/>
  <c r="F38" i="83"/>
  <c r="F20" i="83"/>
  <c r="F21" i="83"/>
  <c r="C40" i="83"/>
  <c r="F30" i="83"/>
  <c r="C48" i="83"/>
  <c r="F7" i="83"/>
  <c r="E9" i="83"/>
  <c r="E10" i="83"/>
  <c r="E19" i="83"/>
  <c r="C19" i="83"/>
  <c r="C21" i="83"/>
  <c r="C30" i="83"/>
  <c r="F48" i="83"/>
  <c r="G41" i="83"/>
  <c r="F41" i="83"/>
  <c r="F40" i="83"/>
  <c r="F39" i="83"/>
  <c r="G22" i="83"/>
  <c r="E2" i="83"/>
  <c r="H1" i="83"/>
  <c r="F35" i="82"/>
  <c r="F36" i="82"/>
  <c r="G1" i="82"/>
  <c r="E37" i="82"/>
  <c r="F38" i="82"/>
  <c r="F20" i="82"/>
  <c r="F21" i="82"/>
  <c r="C40" i="82"/>
  <c r="F30" i="82"/>
  <c r="C48" i="82"/>
  <c r="F7" i="82"/>
  <c r="E9" i="82"/>
  <c r="E10" i="82"/>
  <c r="E19" i="82"/>
  <c r="C19" i="82"/>
  <c r="C21" i="82"/>
  <c r="C30" i="82"/>
  <c r="F48" i="82"/>
  <c r="G41" i="82"/>
  <c r="F41" i="82"/>
  <c r="F40" i="82"/>
  <c r="F39" i="82"/>
  <c r="G22" i="82"/>
  <c r="E2" i="82"/>
  <c r="H1" i="82"/>
  <c r="F11" i="1"/>
  <c r="D37" i="43"/>
  <c r="D33" i="43"/>
  <c r="D1" i="43"/>
  <c r="T6" i="43"/>
  <c r="V6" i="43"/>
  <c r="T7" i="43"/>
  <c r="V7" i="43"/>
  <c r="T8" i="43"/>
  <c r="V8" i="43"/>
  <c r="T9" i="43"/>
  <c r="V9" i="43"/>
  <c r="T10" i="43"/>
  <c r="V10" i="43"/>
  <c r="T11" i="43"/>
  <c r="V11" i="43"/>
  <c r="T12" i="43"/>
  <c r="V12" i="43"/>
  <c r="T13" i="43"/>
  <c r="V13" i="43"/>
  <c r="T14" i="43"/>
  <c r="V14" i="43"/>
  <c r="T15" i="43"/>
  <c r="V15" i="43"/>
  <c r="T16" i="43"/>
  <c r="V16" i="43"/>
  <c r="C38" i="43"/>
  <c r="E38" i="43"/>
  <c r="C39" i="43"/>
  <c r="E39" i="43"/>
  <c r="C40" i="43"/>
  <c r="E40" i="43"/>
  <c r="C41" i="43"/>
  <c r="E41" i="43"/>
  <c r="C42" i="43"/>
  <c r="E42" i="43"/>
  <c r="C30" i="43"/>
  <c r="B2" i="43"/>
  <c r="B3" i="43"/>
  <c r="C25" i="43"/>
  <c r="C33" i="43"/>
  <c r="B61" i="80"/>
  <c r="D42" i="81"/>
  <c r="H42" i="81"/>
  <c r="I42" i="81"/>
  <c r="D41" i="81"/>
  <c r="H41" i="81"/>
  <c r="F7" i="1"/>
  <c r="D40" i="81"/>
  <c r="H40" i="81"/>
  <c r="G44" i="81"/>
  <c r="G72" i="79"/>
  <c r="F71" i="79"/>
  <c r="F72" i="79"/>
  <c r="F73" i="79"/>
  <c r="F74" i="79"/>
  <c r="F75" i="79"/>
  <c r="F76" i="79"/>
  <c r="F77" i="79"/>
  <c r="F78" i="79"/>
  <c r="F79" i="79"/>
  <c r="F68" i="79"/>
  <c r="F69" i="79"/>
  <c r="F70" i="79"/>
  <c r="F57" i="79"/>
  <c r="F58" i="79"/>
  <c r="F59" i="79"/>
  <c r="F60" i="79"/>
  <c r="F61" i="79"/>
  <c r="F62" i="79"/>
  <c r="F63" i="79"/>
  <c r="F64" i="79"/>
  <c r="F65" i="79"/>
  <c r="F66" i="79"/>
  <c r="F67" i="79"/>
  <c r="F56" i="79"/>
  <c r="T7" i="79"/>
  <c r="G3" i="81"/>
  <c r="B116" i="81"/>
  <c r="I122" i="81"/>
  <c r="J122" i="81"/>
  <c r="K122" i="81"/>
  <c r="L122" i="81"/>
  <c r="M122" i="81"/>
  <c r="D122" i="81"/>
  <c r="E122" i="81"/>
  <c r="F122" i="81"/>
  <c r="G122" i="81"/>
  <c r="H122" i="81"/>
  <c r="B122" i="81"/>
  <c r="C122" i="81"/>
  <c r="I121" i="81"/>
  <c r="J121" i="81"/>
  <c r="K121" i="81"/>
  <c r="L121" i="81"/>
  <c r="M121" i="81"/>
  <c r="G121" i="81"/>
  <c r="H121" i="81"/>
  <c r="D121" i="81"/>
  <c r="E121" i="81"/>
  <c r="F121" i="81"/>
  <c r="B121" i="81"/>
  <c r="C121" i="81"/>
  <c r="I120" i="81"/>
  <c r="J120" i="81"/>
  <c r="K120" i="81"/>
  <c r="L120" i="81"/>
  <c r="M120" i="81"/>
  <c r="D120" i="81"/>
  <c r="E120" i="81"/>
  <c r="F120" i="81"/>
  <c r="G120" i="81"/>
  <c r="H120" i="81"/>
  <c r="B120" i="81"/>
  <c r="C120" i="81"/>
  <c r="I119" i="81"/>
  <c r="J119" i="81"/>
  <c r="K119" i="81"/>
  <c r="L119" i="81"/>
  <c r="M119" i="81"/>
  <c r="D119" i="81"/>
  <c r="E119" i="81"/>
  <c r="F119" i="81"/>
  <c r="G119" i="81"/>
  <c r="H119" i="81"/>
  <c r="B119" i="81"/>
  <c r="C119" i="81"/>
  <c r="I118" i="81"/>
  <c r="J118" i="81"/>
  <c r="K118" i="81"/>
  <c r="L118" i="81"/>
  <c r="M118" i="81"/>
  <c r="D118" i="81"/>
  <c r="E118" i="81"/>
  <c r="F118" i="81"/>
  <c r="G118" i="81"/>
  <c r="H118" i="81"/>
  <c r="B118" i="81"/>
  <c r="C118" i="81"/>
  <c r="G2" i="81"/>
  <c r="H116" i="81"/>
  <c r="F116" i="81"/>
  <c r="D116" i="81"/>
  <c r="N111" i="81"/>
  <c r="N112" i="81"/>
  <c r="M111" i="81"/>
  <c r="M112" i="81"/>
  <c r="L111" i="81"/>
  <c r="L112" i="81"/>
  <c r="K111" i="81"/>
  <c r="K112" i="81"/>
  <c r="J111" i="81"/>
  <c r="J112" i="81"/>
  <c r="I111" i="81"/>
  <c r="I112" i="81"/>
  <c r="H111" i="81"/>
  <c r="H112" i="81"/>
  <c r="G111" i="81"/>
  <c r="G112" i="81"/>
  <c r="F111" i="81"/>
  <c r="F112" i="81"/>
  <c r="E111" i="81"/>
  <c r="E112" i="81"/>
  <c r="D111" i="81"/>
  <c r="D112" i="81"/>
  <c r="C111" i="81"/>
  <c r="C112" i="81"/>
  <c r="M101" i="81"/>
  <c r="N101" i="81"/>
  <c r="K101" i="81"/>
  <c r="J101" i="81"/>
  <c r="F93" i="81"/>
  <c r="H101" i="81"/>
  <c r="D101" i="81"/>
  <c r="B101" i="81"/>
  <c r="M100" i="81"/>
  <c r="N100" i="81"/>
  <c r="K100" i="81"/>
  <c r="J100" i="81"/>
  <c r="H100" i="81"/>
  <c r="D100" i="81"/>
  <c r="B100" i="81"/>
  <c r="M99" i="81"/>
  <c r="N99" i="81"/>
  <c r="K99" i="81"/>
  <c r="J99" i="81"/>
  <c r="H99" i="81"/>
  <c r="D99" i="81"/>
  <c r="C21" i="20"/>
  <c r="B99" i="81"/>
  <c r="M98" i="81"/>
  <c r="N98" i="81"/>
  <c r="K98" i="81"/>
  <c r="J98" i="81"/>
  <c r="H98" i="81"/>
  <c r="D98" i="81"/>
  <c r="M97" i="81"/>
  <c r="N97" i="81"/>
  <c r="K97" i="81"/>
  <c r="J97" i="81"/>
  <c r="H97" i="81"/>
  <c r="D97" i="81"/>
  <c r="B97" i="81"/>
  <c r="M96" i="81"/>
  <c r="N96" i="81"/>
  <c r="K96" i="81"/>
  <c r="J96" i="81"/>
  <c r="H96" i="81"/>
  <c r="D96" i="81"/>
  <c r="M95" i="81"/>
  <c r="N95" i="81"/>
  <c r="K95" i="81"/>
  <c r="J95" i="81"/>
  <c r="H95" i="81"/>
  <c r="D95" i="81"/>
  <c r="B95" i="81"/>
  <c r="M94" i="81"/>
  <c r="N94" i="81"/>
  <c r="K94" i="81"/>
  <c r="J94" i="81"/>
  <c r="H94" i="81"/>
  <c r="D94" i="81"/>
  <c r="B94" i="81"/>
  <c r="M93" i="81"/>
  <c r="N93" i="81"/>
  <c r="K93" i="81"/>
  <c r="J93" i="81"/>
  <c r="H93" i="81"/>
  <c r="D93" i="81"/>
  <c r="E93" i="81"/>
  <c r="B91" i="81"/>
  <c r="M90" i="81"/>
  <c r="N90" i="81"/>
  <c r="K90" i="81"/>
  <c r="J90" i="81"/>
  <c r="F83" i="81"/>
  <c r="H90" i="81"/>
  <c r="D90" i="81"/>
  <c r="B90" i="81"/>
  <c r="M89" i="81"/>
  <c r="N89" i="81"/>
  <c r="K89" i="81"/>
  <c r="J89" i="81"/>
  <c r="H89" i="81"/>
  <c r="D89" i="81"/>
  <c r="M88" i="81"/>
  <c r="N88" i="81"/>
  <c r="K88" i="81"/>
  <c r="J88" i="81"/>
  <c r="H88" i="81"/>
  <c r="D88" i="81"/>
  <c r="B88" i="81"/>
  <c r="M87" i="81"/>
  <c r="N87" i="81"/>
  <c r="K87" i="81"/>
  <c r="J87" i="81"/>
  <c r="H87" i="81"/>
  <c r="D87" i="81"/>
  <c r="B87" i="81"/>
  <c r="M86" i="81"/>
  <c r="N86" i="81"/>
  <c r="K86" i="81"/>
  <c r="J86" i="81"/>
  <c r="H86" i="81"/>
  <c r="D86" i="81"/>
  <c r="B86" i="81"/>
  <c r="M85" i="81"/>
  <c r="N85" i="81"/>
  <c r="K85" i="81"/>
  <c r="J85" i="81"/>
  <c r="H85" i="81"/>
  <c r="D85" i="81"/>
  <c r="B85" i="81"/>
  <c r="M84" i="81"/>
  <c r="N84" i="81"/>
  <c r="K84" i="81"/>
  <c r="J84" i="81"/>
  <c r="H84" i="81"/>
  <c r="D84" i="81"/>
  <c r="B84" i="81"/>
  <c r="M83" i="81"/>
  <c r="N83" i="81"/>
  <c r="K83" i="81"/>
  <c r="J83" i="81"/>
  <c r="H83" i="81"/>
  <c r="D83" i="81"/>
  <c r="E83" i="81"/>
  <c r="B83" i="81"/>
  <c r="B81" i="81"/>
  <c r="M80" i="81"/>
  <c r="N80" i="81"/>
  <c r="K80" i="81"/>
  <c r="J80" i="81"/>
  <c r="F72" i="81"/>
  <c r="H80" i="81"/>
  <c r="D80" i="81"/>
  <c r="M79" i="81"/>
  <c r="N79" i="81"/>
  <c r="K79" i="81"/>
  <c r="J79" i="81"/>
  <c r="H79" i="81"/>
  <c r="D79" i="81"/>
  <c r="B79" i="81"/>
  <c r="M78" i="81"/>
  <c r="N78" i="81"/>
  <c r="K78" i="81"/>
  <c r="J78" i="81"/>
  <c r="H78" i="81"/>
  <c r="D78" i="81"/>
  <c r="M77" i="81"/>
  <c r="N77" i="81"/>
  <c r="K77" i="81"/>
  <c r="J77" i="81"/>
  <c r="H77" i="81"/>
  <c r="D77" i="81"/>
  <c r="B77" i="81"/>
  <c r="M76" i="81"/>
  <c r="N76" i="81"/>
  <c r="K76" i="81"/>
  <c r="J76" i="81"/>
  <c r="H76" i="81"/>
  <c r="D76" i="81"/>
  <c r="B76" i="81"/>
  <c r="M75" i="81"/>
  <c r="N75" i="81"/>
  <c r="K75" i="81"/>
  <c r="J75" i="81"/>
  <c r="H75" i="81"/>
  <c r="D75" i="81"/>
  <c r="B75" i="81"/>
  <c r="M74" i="81"/>
  <c r="N74" i="81"/>
  <c r="K74" i="81"/>
  <c r="J74" i="81"/>
  <c r="H74" i="81"/>
  <c r="D74" i="81"/>
  <c r="B74" i="81"/>
  <c r="M73" i="81"/>
  <c r="N73" i="81"/>
  <c r="K73" i="81"/>
  <c r="J73" i="81"/>
  <c r="H73" i="81"/>
  <c r="D73" i="81"/>
  <c r="B73" i="81"/>
  <c r="M72" i="81"/>
  <c r="N72" i="81"/>
  <c r="K72" i="81"/>
  <c r="J72" i="81"/>
  <c r="H72" i="81"/>
  <c r="D72" i="81"/>
  <c r="E72" i="81"/>
  <c r="B72" i="81"/>
  <c r="B70" i="81"/>
  <c r="M69" i="81"/>
  <c r="N69" i="81"/>
  <c r="K69" i="81"/>
  <c r="J69" i="81"/>
  <c r="I2" i="81"/>
  <c r="N4" i="81"/>
  <c r="F61" i="81"/>
  <c r="H69" i="81"/>
  <c r="D69" i="81"/>
  <c r="B69" i="81"/>
  <c r="M68" i="81"/>
  <c r="N68" i="81"/>
  <c r="K68" i="81"/>
  <c r="J68" i="81"/>
  <c r="H68" i="81"/>
  <c r="D68" i="81"/>
  <c r="B68" i="81"/>
  <c r="M67" i="81"/>
  <c r="N67" i="81"/>
  <c r="K67" i="81"/>
  <c r="J67" i="81"/>
  <c r="H67" i="81"/>
  <c r="D67" i="81"/>
  <c r="B67" i="81"/>
  <c r="M66" i="81"/>
  <c r="N66" i="81"/>
  <c r="K66" i="81"/>
  <c r="J66" i="81"/>
  <c r="H66" i="81"/>
  <c r="D66" i="81"/>
  <c r="M65" i="81"/>
  <c r="N65" i="81"/>
  <c r="K65" i="81"/>
  <c r="J65" i="81"/>
  <c r="H65" i="81"/>
  <c r="D65" i="81"/>
  <c r="B65" i="81"/>
  <c r="M64" i="81"/>
  <c r="N64" i="81"/>
  <c r="K64" i="81"/>
  <c r="J64" i="81"/>
  <c r="H64" i="81"/>
  <c r="D64" i="81"/>
  <c r="M63" i="81"/>
  <c r="N63" i="81"/>
  <c r="K63" i="81"/>
  <c r="J63" i="81"/>
  <c r="H63" i="81"/>
  <c r="D63" i="81"/>
  <c r="B63" i="81"/>
  <c r="M62" i="81"/>
  <c r="N62" i="81"/>
  <c r="K62" i="81"/>
  <c r="J62" i="81"/>
  <c r="H62" i="81"/>
  <c r="D62" i="81"/>
  <c r="B62" i="81"/>
  <c r="M61" i="81"/>
  <c r="N61" i="81"/>
  <c r="K61" i="81"/>
  <c r="J61" i="81"/>
  <c r="H61" i="81"/>
  <c r="D61" i="81"/>
  <c r="E61" i="81"/>
  <c r="B61" i="81"/>
  <c r="B59" i="81"/>
  <c r="M58" i="81"/>
  <c r="N58" i="81"/>
  <c r="K58" i="81"/>
  <c r="J58" i="81"/>
  <c r="F50" i="81"/>
  <c r="H58" i="81"/>
  <c r="D58" i="81"/>
  <c r="B58" i="81"/>
  <c r="M57" i="81"/>
  <c r="N57" i="81"/>
  <c r="K57" i="81"/>
  <c r="J57" i="81"/>
  <c r="H57" i="81"/>
  <c r="D57" i="81"/>
  <c r="B57" i="81"/>
  <c r="M56" i="81"/>
  <c r="N56" i="81"/>
  <c r="K56" i="81"/>
  <c r="J56" i="81"/>
  <c r="H56" i="81"/>
  <c r="D56" i="81"/>
  <c r="B56" i="81"/>
  <c r="M55" i="81"/>
  <c r="N55" i="81"/>
  <c r="K55" i="81"/>
  <c r="J55" i="81"/>
  <c r="H55" i="81"/>
  <c r="D55" i="81"/>
  <c r="M54" i="81"/>
  <c r="N54" i="81"/>
  <c r="K54" i="81"/>
  <c r="J54" i="81"/>
  <c r="H54" i="81"/>
  <c r="D54" i="81"/>
  <c r="B54" i="81"/>
  <c r="M53" i="81"/>
  <c r="N53" i="81"/>
  <c r="K53" i="81"/>
  <c r="J53" i="81"/>
  <c r="H53" i="81"/>
  <c r="D53" i="81"/>
  <c r="M52" i="81"/>
  <c r="N52" i="81"/>
  <c r="K52" i="81"/>
  <c r="J52" i="81"/>
  <c r="H52" i="81"/>
  <c r="D52" i="81"/>
  <c r="B52" i="81"/>
  <c r="M51" i="81"/>
  <c r="N51" i="81"/>
  <c r="K51" i="81"/>
  <c r="J51" i="81"/>
  <c r="H51" i="81"/>
  <c r="D51" i="81"/>
  <c r="B51" i="81"/>
  <c r="M50" i="81"/>
  <c r="N50" i="81"/>
  <c r="K50" i="81"/>
  <c r="J50" i="81"/>
  <c r="H50" i="81"/>
  <c r="D50" i="81"/>
  <c r="E50" i="81"/>
  <c r="B50" i="81"/>
  <c r="B48" i="81"/>
  <c r="G24" i="81"/>
  <c r="E44" i="81"/>
  <c r="C44" i="81"/>
  <c r="M4" i="81"/>
  <c r="C6" i="81"/>
  <c r="C17" i="81"/>
  <c r="H21" i="81"/>
  <c r="I21" i="81"/>
  <c r="J21" i="81"/>
  <c r="K21" i="81"/>
  <c r="L21" i="81"/>
  <c r="M21" i="81"/>
  <c r="N21" i="81"/>
  <c r="O21" i="81"/>
  <c r="G21" i="81"/>
  <c r="E21" i="81"/>
  <c r="C21" i="81"/>
  <c r="C22" i="81"/>
  <c r="G23" i="81"/>
  <c r="W7" i="79"/>
  <c r="C23" i="81"/>
  <c r="F42" i="81"/>
  <c r="F41" i="81"/>
  <c r="J24" i="81"/>
  <c r="F40" i="81"/>
  <c r="F39" i="81"/>
  <c r="C39" i="81"/>
  <c r="G39" i="81"/>
  <c r="H39" i="81"/>
  <c r="I39" i="81"/>
  <c r="E39" i="81"/>
  <c r="F38" i="81"/>
  <c r="C38" i="81"/>
  <c r="G38" i="81"/>
  <c r="H38" i="81"/>
  <c r="I38" i="81"/>
  <c r="E38" i="81"/>
  <c r="L36" i="81"/>
  <c r="L37" i="81"/>
  <c r="Q37" i="81"/>
  <c r="P37" i="81"/>
  <c r="O37" i="81"/>
  <c r="N37" i="81"/>
  <c r="M37" i="81"/>
  <c r="F37" i="81"/>
  <c r="C37" i="81"/>
  <c r="G37" i="81"/>
  <c r="H37" i="81"/>
  <c r="I37" i="81"/>
  <c r="E37" i="81"/>
  <c r="Q36" i="81"/>
  <c r="P36" i="81"/>
  <c r="O36" i="81"/>
  <c r="N36" i="81"/>
  <c r="M36" i="81"/>
  <c r="C5" i="81"/>
  <c r="E26" i="81"/>
  <c r="G26" i="81"/>
  <c r="F26" i="81"/>
  <c r="H26" i="81"/>
  <c r="D26" i="81"/>
  <c r="C25" i="81"/>
  <c r="C33" i="81"/>
  <c r="C34" i="81"/>
  <c r="E34" i="81"/>
  <c r="E33" i="81"/>
  <c r="E24" i="81"/>
  <c r="Q32" i="81"/>
  <c r="P32" i="81"/>
  <c r="O32" i="81"/>
  <c r="N32" i="81"/>
  <c r="M32" i="81"/>
  <c r="C31" i="81"/>
  <c r="C30" i="81"/>
  <c r="P29" i="81"/>
  <c r="P28" i="81"/>
  <c r="P27" i="81"/>
  <c r="C27" i="81"/>
  <c r="P26" i="81"/>
  <c r="J26" i="81"/>
  <c r="P25" i="81"/>
  <c r="M24" i="81"/>
  <c r="O23" i="81"/>
  <c r="M23" i="81"/>
  <c r="I23" i="81"/>
  <c r="D21" i="81"/>
  <c r="I18" i="81"/>
  <c r="G18" i="81"/>
  <c r="G17" i="81"/>
  <c r="E17" i="81"/>
  <c r="T16" i="81"/>
  <c r="V16" i="81"/>
  <c r="T15" i="81"/>
  <c r="V15" i="81"/>
  <c r="T14" i="81"/>
  <c r="V14" i="81"/>
  <c r="T13" i="81"/>
  <c r="V13" i="81"/>
  <c r="C13" i="81"/>
  <c r="T12" i="81"/>
  <c r="V12" i="81"/>
  <c r="N12" i="81"/>
  <c r="M12" i="81"/>
  <c r="T11" i="81"/>
  <c r="V11" i="81"/>
  <c r="N11" i="81"/>
  <c r="M11" i="81"/>
  <c r="C10" i="81"/>
  <c r="C11" i="81"/>
  <c r="E11" i="81"/>
  <c r="AJ9" i="81"/>
  <c r="AJ10" i="81"/>
  <c r="AI9" i="81"/>
  <c r="AI10" i="81"/>
  <c r="AH9" i="81"/>
  <c r="AH10" i="81"/>
  <c r="AG9" i="81"/>
  <c r="AG10" i="81"/>
  <c r="AF9" i="81"/>
  <c r="AF10" i="81"/>
  <c r="AE9" i="81"/>
  <c r="AE10" i="81"/>
  <c r="AD9" i="81"/>
  <c r="AD10" i="81"/>
  <c r="AC9" i="81"/>
  <c r="AC10" i="81"/>
  <c r="AB9" i="81"/>
  <c r="AB10" i="81"/>
  <c r="AA9" i="81"/>
  <c r="AA10" i="81"/>
  <c r="Z9" i="81"/>
  <c r="Z10" i="81"/>
  <c r="Y10" i="81"/>
  <c r="T10" i="81"/>
  <c r="V10" i="81"/>
  <c r="N10" i="81"/>
  <c r="M10" i="81"/>
  <c r="E10" i="81"/>
  <c r="T9" i="81"/>
  <c r="V9" i="81"/>
  <c r="N9" i="81"/>
  <c r="M9" i="81"/>
  <c r="E9" i="81"/>
  <c r="C9" i="81"/>
  <c r="T8" i="81"/>
  <c r="V8" i="81"/>
  <c r="N8" i="81"/>
  <c r="M8" i="81"/>
  <c r="E8" i="81"/>
  <c r="Z7" i="81"/>
  <c r="X7" i="81"/>
  <c r="T7" i="81"/>
  <c r="V7" i="81"/>
  <c r="N7" i="81"/>
  <c r="M7" i="81"/>
  <c r="C7" i="81"/>
  <c r="S6" i="81"/>
  <c r="T6" i="81"/>
  <c r="V6" i="81"/>
  <c r="N6" i="81"/>
  <c r="M6" i="81"/>
  <c r="S5" i="81"/>
  <c r="T5" i="81"/>
  <c r="V5" i="81"/>
  <c r="N5" i="81"/>
  <c r="M5" i="81"/>
  <c r="S4" i="81"/>
  <c r="T4" i="81"/>
  <c r="V4" i="81"/>
  <c r="S3" i="81"/>
  <c r="T3" i="81"/>
  <c r="V3" i="81"/>
  <c r="N3" i="81"/>
  <c r="M3" i="81"/>
  <c r="B2" i="81"/>
  <c r="D1" i="81"/>
  <c r="B3" i="81"/>
  <c r="S2" i="81"/>
  <c r="T2" i="81"/>
  <c r="V2" i="81"/>
  <c r="N2" i="81"/>
  <c r="M2" i="81"/>
  <c r="N1" i="81"/>
  <c r="M1" i="81"/>
  <c r="G23" i="6"/>
  <c r="G22" i="6"/>
  <c r="G21" i="6"/>
  <c r="G20" i="6"/>
  <c r="F19" i="6"/>
  <c r="D3" i="4"/>
  <c r="E27" i="45"/>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I36" i="79"/>
  <c r="I37" i="79"/>
  <c r="I38" i="79"/>
  <c r="I39" i="79"/>
  <c r="I40" i="79"/>
  <c r="I41" i="79"/>
  <c r="I42" i="79"/>
  <c r="I43" i="79"/>
  <c r="I44" i="79"/>
  <c r="I45" i="79"/>
  <c r="I46" i="79"/>
  <c r="I47" i="79"/>
  <c r="I4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B2" i="1"/>
  <c r="G23" i="43"/>
  <c r="W5" i="79"/>
  <c r="C23" i="43"/>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B7" i="1"/>
  <c r="E7" i="1"/>
  <c r="A8" i="1"/>
  <c r="B8" i="1"/>
  <c r="E8" i="1"/>
  <c r="A9" i="1"/>
  <c r="A10"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G11" i="1"/>
  <c r="D15" i="4"/>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A4" i="51"/>
  <c r="B6" i="72"/>
  <c r="C48" i="35"/>
  <c r="D48" i="35"/>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B45" i="21"/>
  <c r="AB9" i="21"/>
  <c r="U9" i="21"/>
  <c r="AA32" i="21"/>
  <c r="S32" i="21"/>
  <c r="W9" i="21"/>
  <c r="AC9" i="21"/>
  <c r="AB32" i="21"/>
  <c r="U32" i="21"/>
  <c r="K120" i="9"/>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2" i="76"/>
  <c r="F26" i="15"/>
  <c r="F8" i="15"/>
  <c r="L47" i="67"/>
  <c r="M24" i="67"/>
  <c r="J15" i="15"/>
  <c r="F8" i="67"/>
  <c r="F16" i="67"/>
  <c r="C76" i="67"/>
  <c r="F37" i="15"/>
  <c r="E7" i="76"/>
  <c r="F9" i="67"/>
  <c r="C19" i="9"/>
  <c r="M22" i="67"/>
  <c r="F40" i="67"/>
  <c r="M26" i="15"/>
  <c r="F43" i="15"/>
  <c r="F36" i="67"/>
  <c r="F37" i="67"/>
  <c r="M8" i="15"/>
  <c r="F20" i="31"/>
  <c r="B10" i="76"/>
  <c r="D19" i="9"/>
  <c r="E9" i="76"/>
  <c r="F16" i="15"/>
  <c r="F36" i="15"/>
  <c r="L47" i="15"/>
  <c r="F6" i="73"/>
  <c r="M6" i="67"/>
  <c r="F26" i="67"/>
  <c r="F42" i="15"/>
  <c r="B13" i="76"/>
  <c r="F6" i="15"/>
  <c r="M28" i="15"/>
  <c r="L48" i="67"/>
  <c r="F43" i="67"/>
  <c r="M8" i="67"/>
  <c r="D34" i="9"/>
  <c r="F7" i="15"/>
  <c r="F13" i="67"/>
  <c r="AO13" i="1"/>
  <c r="F40" i="15"/>
  <c r="F3" i="73"/>
  <c r="F7" i="67"/>
  <c r="F13" i="15"/>
  <c r="F38" i="15"/>
  <c r="E8" i="76"/>
  <c r="M28" i="67"/>
  <c r="E13" i="76"/>
  <c r="M9" i="67"/>
  <c r="F38" i="67"/>
  <c r="L48" i="15"/>
  <c r="E10" i="76"/>
  <c r="B9" i="76"/>
  <c r="E2" i="69"/>
  <c r="F9" i="15"/>
  <c r="D35" i="9"/>
  <c r="B8" i="76"/>
  <c r="B11" i="76"/>
  <c r="F42" i="67"/>
  <c r="J15" i="67"/>
  <c r="E2" i="68"/>
  <c r="C20" i="9"/>
  <c r="M23" i="67"/>
  <c r="F7" i="73"/>
  <c r="D20" i="9"/>
  <c r="M29" i="67"/>
  <c r="M22" i="15"/>
  <c r="M9" i="15"/>
  <c r="M23" i="15"/>
  <c r="E11" i="76"/>
  <c r="M6" i="15"/>
  <c r="B12" i="76"/>
  <c r="F5" i="73"/>
  <c r="F6" i="67"/>
  <c r="M26" i="67"/>
  <c r="C76" i="15"/>
  <c r="M29" i="15"/>
  <c r="M24" i="15"/>
  <c r="B7" i="76"/>
  <c r="F9" i="1"/>
  <c r="G9" i="1"/>
  <c r="F10" i="1"/>
  <c r="G10" i="1"/>
  <c r="F8"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8"/>
  <c r="D3" i="73"/>
  <c r="D4" i="73"/>
  <c r="C16" i="15"/>
  <c r="C16" i="67"/>
  <c r="D7" i="73"/>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C9" i="68"/>
  <c r="E72" i="43"/>
  <c r="B70" i="43"/>
  <c r="F45" i="69"/>
  <c r="E60" i="40"/>
  <c r="F31" i="6"/>
  <c r="E51" i="40"/>
  <c r="E16" i="6"/>
  <c r="AC6" i="3"/>
  <c r="H6" i="3"/>
  <c r="E58" i="40"/>
  <c r="E62" i="39"/>
  <c r="E3" i="6"/>
  <c r="M14" i="1"/>
  <c r="J10" i="40"/>
  <c r="AC10" i="40"/>
  <c r="H10" i="39"/>
  <c r="U10" i="39"/>
  <c r="F10" i="40"/>
  <c r="S10" i="40"/>
  <c r="J10" i="39"/>
  <c r="W10" i="39"/>
  <c r="H10" i="40"/>
  <c r="AB10" i="40"/>
  <c r="D26" i="43"/>
  <c r="C7"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E6" i="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C35" i="9"/>
  <c r="M27" i="15"/>
  <c r="M27" i="67"/>
  <c r="F41" i="15"/>
  <c r="F22" i="68"/>
  <c r="F22" i="11"/>
  <c r="C23" i="11"/>
  <c r="F24" i="67"/>
  <c r="C24" i="67"/>
  <c r="F24" i="15"/>
  <c r="C24" i="15"/>
  <c r="F41" i="69"/>
  <c r="E49"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L16" i="1"/>
  <c r="G42" i="43"/>
  <c r="I42" i="43"/>
  <c r="H67" i="39"/>
  <c r="G69" i="39"/>
  <c r="G41" i="43"/>
  <c r="I41" i="43"/>
  <c r="G38" i="43"/>
  <c r="I38" i="43"/>
  <c r="G40" i="43"/>
  <c r="I40"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44" i="68"/>
  <c r="D41" i="68"/>
  <c r="C23" i="68"/>
  <c r="C26" i="68"/>
  <c r="D22" i="68"/>
  <c r="C26" i="12"/>
  <c r="D25" i="12"/>
  <c r="C44" i="11"/>
  <c r="D41" i="11"/>
  <c r="C26" i="11"/>
  <c r="D22" i="11"/>
  <c r="C34" i="9"/>
  <c r="C66" i="67"/>
  <c r="C60" i="67"/>
  <c r="D10" i="68"/>
  <c r="C17" i="67"/>
  <c r="C14" i="67"/>
  <c r="C17" i="15"/>
  <c r="C25" i="11"/>
  <c r="C24" i="11"/>
  <c r="C16" i="71"/>
  <c r="D17" i="71"/>
  <c r="C18" i="67"/>
  <c r="C15" i="67"/>
  <c r="H23" i="6"/>
  <c r="C31" i="43"/>
  <c r="H20" i="6"/>
  <c r="R20" i="6"/>
  <c r="E12" i="70"/>
  <c r="F34" i="11"/>
  <c r="F11" i="12"/>
  <c r="S16" i="1"/>
  <c r="E9" i="70"/>
  <c r="E2" i="70"/>
  <c r="AR9" i="1"/>
  <c r="AQ9" i="1"/>
  <c r="T9" i="1"/>
  <c r="AQ11" i="1"/>
  <c r="AR11" i="1"/>
  <c r="T11" i="1"/>
  <c r="AR12" i="1"/>
  <c r="T12" i="1"/>
  <c r="AQ12" i="1"/>
  <c r="AQ10" i="1"/>
  <c r="T10" i="1"/>
  <c r="AR10" i="1"/>
  <c r="AR7" i="1"/>
  <c r="AQ7" i="1"/>
  <c r="T7" i="1"/>
  <c r="M27" i="6"/>
  <c r="I19" i="6"/>
  <c r="D16" i="6"/>
  <c r="R26" i="6"/>
  <c r="R24" i="6"/>
  <c r="R22" i="6"/>
  <c r="C15" i="12"/>
  <c r="C12" i="12"/>
  <c r="R23" i="6"/>
  <c r="D27" i="6"/>
  <c r="D31" i="6"/>
  <c r="D8" i="74"/>
  <c r="D7" i="74"/>
  <c r="R21" i="6"/>
  <c r="C4" i="52"/>
  <c r="B45" i="72"/>
  <c r="A10" i="51"/>
  <c r="B9" i="72"/>
  <c r="A7" i="51"/>
  <c r="B7" i="72"/>
  <c r="C21" i="9"/>
  <c r="D21" i="9"/>
  <c r="G21" i="9"/>
  <c r="R25" i="6"/>
  <c r="C10" i="68"/>
  <c r="D19" i="68"/>
  <c r="H69" i="39"/>
  <c r="I67" i="39"/>
  <c r="G65" i="40"/>
  <c r="H63" i="40"/>
  <c r="C43" i="37"/>
  <c r="C42" i="37"/>
  <c r="I48" i="35"/>
  <c r="C48" i="33"/>
  <c r="C49" i="33"/>
  <c r="H58" i="21"/>
  <c r="E47" i="37"/>
  <c r="F47" i="37"/>
  <c r="E46" i="37"/>
  <c r="F46" i="37"/>
  <c r="I47" i="37"/>
  <c r="J47" i="37"/>
  <c r="E53" i="33"/>
  <c r="F53" i="33"/>
  <c r="E52" i="33"/>
  <c r="F52" i="33"/>
  <c r="C33" i="15"/>
  <c r="C33" i="67"/>
  <c r="J19" i="67"/>
  <c r="C34" i="68"/>
  <c r="B6" i="76"/>
  <c r="E6" i="76"/>
  <c r="C14" i="15"/>
  <c r="C22"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I5" i="6"/>
  <c r="I6" i="6"/>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8" i="11"/>
  <c r="C35" i="11"/>
  <c r="H27" i="6"/>
  <c r="R19" i="6"/>
  <c r="C27" i="12"/>
  <c r="C25" i="12"/>
  <c r="C20" i="68"/>
  <c r="C24" i="68"/>
  <c r="B3" i="76"/>
  <c r="J69" i="39"/>
  <c r="K67" i="39"/>
  <c r="U7" i="21"/>
  <c r="AB7" i="21"/>
  <c r="T48" i="21"/>
  <c r="G48" i="21"/>
  <c r="J63" i="40"/>
  <c r="I65" i="40"/>
  <c r="K48" i="35"/>
  <c r="L48" i="35"/>
  <c r="M48" i="35"/>
  <c r="N48" i="35"/>
  <c r="O48" i="35"/>
  <c r="H7" i="35"/>
  <c r="D14" i="71"/>
  <c r="C13" i="71"/>
  <c r="W7" i="21"/>
  <c r="AA7" i="21"/>
  <c r="R48" i="21"/>
  <c r="J7" i="35"/>
  <c r="W7" i="35"/>
  <c r="Q49" i="67"/>
  <c r="J14" i="67"/>
  <c r="J13" i="67"/>
  <c r="J23" i="67"/>
  <c r="C36" i="67"/>
  <c r="C57" i="67"/>
  <c r="C64" i="67"/>
  <c r="C13" i="67"/>
  <c r="Q70" i="67"/>
  <c r="C33" i="11"/>
  <c r="C39" i="11"/>
  <c r="C61" i="67"/>
  <c r="C42" i="68"/>
  <c r="C23" i="15"/>
  <c r="C29" i="15"/>
  <c r="R27" i="6"/>
  <c r="C25" i="68"/>
  <c r="C22" i="68"/>
  <c r="C43" i="68"/>
  <c r="L67" i="39"/>
  <c r="K69" i="39"/>
  <c r="J65" i="40"/>
  <c r="K63" i="40"/>
  <c r="I52" i="21"/>
  <c r="J52" i="21"/>
  <c r="U7" i="35"/>
  <c r="AB7" i="35"/>
  <c r="T38" i="35"/>
  <c r="G38" i="35"/>
  <c r="R49" i="21"/>
  <c r="E48" i="21"/>
  <c r="G52" i="21"/>
  <c r="H52" i="21"/>
  <c r="G53" i="21"/>
  <c r="H53" i="21"/>
  <c r="F7" i="35"/>
  <c r="M21" i="15"/>
  <c r="F35" i="15"/>
  <c r="M21" i="67"/>
  <c r="F35" i="67"/>
  <c r="AC7" i="35"/>
  <c r="V38" i="35"/>
  <c r="I38" i="35"/>
  <c r="C12" i="71"/>
  <c r="D13" i="71"/>
  <c r="C56" i="67"/>
  <c r="C65" i="67"/>
  <c r="J22" i="67"/>
  <c r="C37" i="67"/>
  <c r="C75" i="67"/>
  <c r="C36" i="15"/>
  <c r="J59" i="15"/>
  <c r="J60" i="15"/>
  <c r="Q48" i="15"/>
  <c r="C43" i="11"/>
  <c r="C42" i="11"/>
  <c r="C34" i="67"/>
  <c r="C31" i="67"/>
  <c r="F63" i="67"/>
  <c r="C62" i="67"/>
  <c r="C59" i="67"/>
  <c r="J20" i="67"/>
  <c r="J17" i="67"/>
  <c r="J19" i="15"/>
  <c r="C41"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J22" i="15"/>
  <c r="C61" i="15"/>
  <c r="C59" i="15"/>
  <c r="C64" i="15"/>
  <c r="C37" i="15"/>
  <c r="C56" i="15"/>
  <c r="C65" i="15"/>
  <c r="C75" i="15"/>
  <c r="J17" i="15"/>
  <c r="C31" i="15"/>
  <c r="M69" i="39"/>
  <c r="N67" i="39"/>
  <c r="R39" i="35"/>
  <c r="E38" i="35"/>
  <c r="M63" i="40"/>
  <c r="L65" i="40"/>
  <c r="D2" i="21"/>
  <c r="C10" i="71"/>
  <c r="D11" i="71"/>
  <c r="C80" i="67"/>
  <c r="C79" i="67"/>
  <c r="C40" i="67"/>
  <c r="C45" i="67"/>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4"/>
  <c r="D2" i="37"/>
  <c r="D2" i="35"/>
  <c r="D2" i="36"/>
  <c r="L51" i="15"/>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12" i="1"/>
  <c r="L46" i="15"/>
  <c r="B2" i="15"/>
  <c r="AO6" i="1"/>
  <c r="AO10" i="1"/>
  <c r="AO11" i="1"/>
  <c r="AO8" i="1"/>
  <c r="C7" i="71"/>
  <c r="D8" i="71"/>
  <c r="B3" i="15"/>
  <c r="Q66" i="15"/>
  <c r="Q75" i="15"/>
  <c r="Q62" i="15"/>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Q16" i="1"/>
  <c r="F27" i="11"/>
  <c r="C46" i="11"/>
  <c r="C45" i="11"/>
  <c r="C47" i="11"/>
  <c r="D45" i="11"/>
  <c r="C49" i="11"/>
  <c r="N16" i="1"/>
  <c r="F50" i="11"/>
  <c r="C51" i="11"/>
  <c r="C28" i="11"/>
  <c r="C27" i="11"/>
  <c r="C29" i="11"/>
  <c r="D27" i="11"/>
  <c r="C31" i="11"/>
  <c r="C52" i="11"/>
  <c r="C56" i="11"/>
  <c r="C57" i="11"/>
  <c r="F27" i="68"/>
  <c r="C46" i="68"/>
  <c r="C45" i="68"/>
  <c r="C47" i="68"/>
  <c r="D45" i="68"/>
  <c r="C49" i="68"/>
  <c r="F50" i="68"/>
  <c r="C51" i="68"/>
  <c r="C28" i="68"/>
  <c r="C27" i="68"/>
  <c r="C29" i="68"/>
  <c r="D27" i="68"/>
  <c r="C31" i="68"/>
  <c r="C52" i="68"/>
  <c r="C57" i="68"/>
  <c r="C56" i="68"/>
  <c r="F50" i="69"/>
  <c r="B2" i="11"/>
  <c r="B3" i="11"/>
  <c r="B2" i="68"/>
  <c r="B3" i="68"/>
  <c r="F28" i="12"/>
  <c r="C30" i="12"/>
  <c r="C28" i="12"/>
  <c r="C29" i="12"/>
  <c r="D28" i="12"/>
  <c r="C32" i="12"/>
  <c r="B2" i="12"/>
  <c r="B3" i="12"/>
  <c r="F45" i="68"/>
  <c r="F50" i="82"/>
  <c r="F45" i="82"/>
  <c r="F50" i="83"/>
  <c r="F45" i="83"/>
  <c r="F50" i="84"/>
  <c r="F45" i="84"/>
  <c r="F50" i="85"/>
  <c r="F45" i="85"/>
  <c r="F50" i="86"/>
  <c r="F45" i="86"/>
  <c r="B2" i="92"/>
  <c r="AO9" i="1"/>
  <c r="B9" i="70"/>
  <c r="B2" i="70"/>
  <c r="B3" i="70"/>
  <c r="C43" i="92"/>
  <c r="C45" i="92"/>
  <c r="C46" i="92"/>
  <c r="Q47" i="92"/>
  <c r="Q53" i="92"/>
  <c r="Q56" i="92"/>
  <c r="Q62" i="92"/>
  <c r="L51" i="92"/>
  <c r="Q67" i="92"/>
  <c r="Q69" i="92"/>
  <c r="Q68" i="92"/>
  <c r="Q65" i="92"/>
  <c r="Q75" i="92"/>
  <c r="C80" i="92"/>
  <c r="C79" i="92"/>
  <c r="C83" i="92"/>
  <c r="C82" i="92"/>
  <c r="C81" i="9"/>
  <c r="C104" i="9"/>
  <c r="H4" i="52"/>
  <c r="H119" i="9"/>
  <c r="H5" i="52"/>
  <c r="B30" i="72"/>
  <c r="C6" i="74"/>
  <c r="M54" i="9"/>
  <c r="D56" i="9"/>
  <c r="D58" i="9"/>
  <c r="C97" i="9"/>
  <c r="N58" i="9"/>
  <c r="P57" i="9"/>
  <c r="B47" i="72"/>
  <c r="D4" i="52"/>
  <c r="B20" i="72"/>
  <c r="D9" i="52"/>
  <c r="D123" i="9"/>
  <c r="D52" i="9"/>
  <c r="D53" i="9"/>
  <c r="C78" i="9"/>
  <c r="C73" i="9"/>
  <c r="M48" i="9"/>
  <c r="I4" i="52"/>
  <c r="C105" i="9"/>
  <c r="D118" i="9"/>
  <c r="D119" i="9"/>
  <c r="D5" i="52"/>
  <c r="B49" i="72"/>
  <c r="C68" i="9"/>
  <c r="D54" i="9"/>
  <c r="F4" i="52"/>
  <c r="B51" i="72"/>
  <c r="H108" i="9"/>
  <c r="D15" i="53"/>
  <c r="B31" i="72"/>
  <c r="D122" i="9"/>
  <c r="D8" i="52"/>
  <c r="C64" i="9"/>
  <c r="C63" i="9"/>
  <c r="C67" i="9"/>
  <c r="D59" i="9"/>
  <c r="M55" i="9"/>
  <c r="H107" i="9"/>
  <c r="D13" i="53"/>
  <c r="D14" i="53"/>
  <c r="B32" i="72"/>
  <c r="D5" i="53"/>
  <c r="D6" i="53"/>
  <c r="B22" i="72"/>
  <c r="N61" i="9"/>
  <c r="D55" i="9"/>
  <c r="M53" i="9"/>
  <c r="N57" i="9"/>
  <c r="N59" i="9"/>
  <c r="N60" i="9"/>
  <c r="H102" i="9"/>
  <c r="D7" i="53"/>
  <c r="B21" i="72"/>
  <c r="C72" i="9"/>
  <c r="C79" i="9"/>
  <c r="C80" i="9"/>
  <c r="E80" i="9"/>
  <c r="E81" i="9"/>
  <c r="G4" i="52"/>
  <c r="B52" i="72"/>
  <c r="E118" i="9"/>
  <c r="E4" i="52"/>
  <c r="B48" i="72"/>
  <c r="G118" i="9"/>
  <c r="F118" i="9"/>
  <c r="F119" i="9"/>
  <c r="F5" i="52"/>
  <c r="B53" i="72"/>
  <c r="C85" i="9"/>
  <c r="C95" i="9"/>
  <c r="C96" i="9"/>
  <c r="E96" i="9"/>
  <c r="E97"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85F0463-473A-4060-8F68-16092BE3AFA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7995FBEF-B67C-4549-A4CE-3295D63FABEE}">
      <text>
        <r>
          <rPr>
            <sz val="10"/>
            <color indexed="81"/>
            <rFont val="宋体"/>
            <family val="3"/>
            <charset val="134"/>
          </rPr>
          <t xml:space="preserve">需注意，采用基准地价系数修正法中土地结果计算时，土地报酬率应采用该方法中报酬率（还原率）。
</t>
        </r>
      </text>
    </comment>
    <comment ref="L55" authorId="0" shapeId="0" xr:uid="{521A470E-FDA0-44DC-BD64-382AD0E70C3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DC052B5-DA2B-4FC8-913F-242E1FD8D951}">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E2C874A-ABAF-4074-8481-42CDF411699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0BE3F0E-67F2-4E66-A7CE-CF6471F5650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1CDA174F-2AB5-46A2-AFBE-987BD911EBF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0822DA3-B9D3-410B-A6CF-11FB6BBEF029}">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BD8A76C-C5A6-4D9B-9B54-5DF049110A4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5C5E1B0-0DBB-4DD1-A9A3-9CA0AAE2F24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891767E-4290-4E10-8ACE-F8055CB24F7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E6A4267-7F45-460D-AF08-198357751D6F}">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38A4AC7-7696-47CE-A506-7A844BA154A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5838DF3-3938-4A8C-B3FA-253F7993F992}">
      <text>
        <r>
          <rPr>
            <sz val="10"/>
            <color indexed="81"/>
            <rFont val="宋体"/>
            <family val="3"/>
            <charset val="134"/>
          </rPr>
          <t xml:space="preserve">需注意，采用基准地价系数修正法中土地结果计算时，土地报酬率应采用该方法中报酬率（还原率）。
</t>
        </r>
      </text>
    </comment>
    <comment ref="L55" authorId="0" shapeId="0" xr:uid="{3A4CA063-9272-4707-BB63-5FFB96CB367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6248BD6-05A0-47AD-8CE8-07136075D82C}">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C1D129C-4EEB-472E-9876-DEA68D988B7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D9F6011-C7BD-4791-BAA8-F7D26E90D2C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E8CDC2AF-700E-4DBC-8DD6-BC1003A7C85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E9920F-81AA-41E0-BF20-6DFC3751404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8FF4515-8634-422F-A88C-8D7E00D82DC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B2A1296-7A44-4025-90E8-3457BB8DFF86}">
      <text>
        <r>
          <rPr>
            <sz val="10"/>
            <color indexed="81"/>
            <rFont val="宋体"/>
            <family val="3"/>
            <charset val="134"/>
          </rPr>
          <t xml:space="preserve">需注意，采用基准地价系数修正法中土地结果计算时，土地报酬率应采用该方法中报酬率（还原率）。
</t>
        </r>
      </text>
    </comment>
    <comment ref="L55" authorId="0" shapeId="0" xr:uid="{A04A6FD3-5EC2-42FE-96EC-C5895D7AADB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D5D9B11-3F2E-4272-8314-FE74AB35F92B}">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C91C48B-39DA-4D0B-9A61-D678104C3C28}">
      <text>
        <r>
          <rPr>
            <b/>
            <sz val="9"/>
            <color indexed="81"/>
            <rFont val="宋体"/>
            <family val="3"/>
            <charset val="134"/>
          </rPr>
          <t>对应区片地价表</t>
        </r>
        <r>
          <rPr>
            <sz val="9"/>
            <color indexed="81"/>
            <rFont val="宋体"/>
            <family val="3"/>
            <charset val="134"/>
          </rPr>
          <t xml:space="preserve">
</t>
        </r>
      </text>
    </comment>
    <comment ref="Y9" authorId="1" shapeId="0" xr:uid="{B9488EE2-4785-4C35-86D6-9495FA32D077}">
      <text>
        <r>
          <rPr>
            <sz val="11"/>
            <color indexed="81"/>
            <rFont val="宋体"/>
            <family val="3"/>
            <charset val="134"/>
          </rPr>
          <t xml:space="preserve">录入层数，将对应的结果录入至左侧相应层的楼层修正系数单元格中
</t>
        </r>
      </text>
    </comment>
    <comment ref="C16" authorId="1" shapeId="0" xr:uid="{A0C9BF17-68C3-441A-A1E4-B6F06B3608EE}">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995B7C12-A0A9-4FD1-BA63-9EB4507F27C3}">
      <text>
        <r>
          <rPr>
            <sz val="12"/>
            <color indexed="81"/>
            <rFont val="宋体"/>
            <family val="3"/>
            <charset val="134"/>
          </rPr>
          <t>1.05~1.1</t>
        </r>
        <r>
          <rPr>
            <sz val="9"/>
            <color indexed="81"/>
            <rFont val="宋体"/>
            <family val="3"/>
            <charset val="134"/>
          </rPr>
          <t xml:space="preserve">
</t>
        </r>
      </text>
    </comment>
    <comment ref="E16" authorId="1" shapeId="0" xr:uid="{7152B85D-67CA-4D10-A28C-FD23FD2663B3}">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C5EA3EB6-DE96-4194-8656-6B249D21F60E}">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3AA18D14-E208-4CCB-9204-E13ED2312EF8}">
      <text>
        <r>
          <rPr>
            <b/>
            <sz val="14"/>
            <color indexed="81"/>
            <rFont val="宋体"/>
            <family val="3"/>
            <charset val="134"/>
          </rPr>
          <t>工业选“中心城区”</t>
        </r>
        <r>
          <rPr>
            <sz val="9"/>
            <color indexed="81"/>
            <rFont val="宋体"/>
            <family val="3"/>
            <charset val="134"/>
          </rPr>
          <t xml:space="preserve">
</t>
        </r>
      </text>
    </comment>
    <comment ref="B35" authorId="4" shapeId="0" xr:uid="{9B5E3CD8-3893-482B-AF78-43FF32157056}">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53B7A796-4956-4536-8037-C1E1123D58FF}">
      <text>
        <r>
          <rPr>
            <sz val="9"/>
            <color indexed="81"/>
            <rFont val="宋体"/>
            <family val="3"/>
            <charset val="134"/>
          </rPr>
          <t xml:space="preserve">需在此处填写剩余土地年限
</t>
        </r>
      </text>
    </comment>
    <comment ref="C111" authorId="0" shapeId="0" xr:uid="{B4076DC1-EC02-4A43-9AAB-94053434742D}">
      <text>
        <r>
          <rPr>
            <b/>
            <sz val="9"/>
            <color indexed="81"/>
            <rFont val="宋体"/>
            <family val="3"/>
            <charset val="134"/>
          </rPr>
          <t xml:space="preserve">所在楼层
</t>
        </r>
        <r>
          <rPr>
            <sz val="9"/>
            <color indexed="81"/>
            <rFont val="宋体"/>
            <family val="3"/>
            <charset val="134"/>
          </rPr>
          <t xml:space="preserve">
</t>
        </r>
      </text>
    </comment>
    <comment ref="D111" authorId="0" shapeId="0" xr:uid="{094CC8A6-92D8-4461-8A2A-BC1C1EF046D5}">
      <text>
        <r>
          <rPr>
            <b/>
            <sz val="9"/>
            <color indexed="81"/>
            <rFont val="宋体"/>
            <family val="3"/>
            <charset val="134"/>
          </rPr>
          <t xml:space="preserve">所在楼层
</t>
        </r>
        <r>
          <rPr>
            <sz val="9"/>
            <color indexed="81"/>
            <rFont val="宋体"/>
            <family val="3"/>
            <charset val="134"/>
          </rPr>
          <t xml:space="preserve">
</t>
        </r>
      </text>
    </comment>
    <comment ref="E111" authorId="0" shapeId="0" xr:uid="{F6D74646-2F98-4055-9BFA-A2478F6898C4}">
      <text>
        <r>
          <rPr>
            <b/>
            <sz val="9"/>
            <color indexed="81"/>
            <rFont val="宋体"/>
            <family val="3"/>
            <charset val="134"/>
          </rPr>
          <t xml:space="preserve">所在楼层
</t>
        </r>
        <r>
          <rPr>
            <sz val="9"/>
            <color indexed="81"/>
            <rFont val="宋体"/>
            <family val="3"/>
            <charset val="134"/>
          </rPr>
          <t xml:space="preserve">
</t>
        </r>
      </text>
    </comment>
    <comment ref="F111" authorId="0" shapeId="0" xr:uid="{70E3C6A9-2861-4F0A-BECD-613849BE7FD7}">
      <text>
        <r>
          <rPr>
            <b/>
            <sz val="9"/>
            <color indexed="81"/>
            <rFont val="宋体"/>
            <family val="3"/>
            <charset val="134"/>
          </rPr>
          <t xml:space="preserve">所在楼层
</t>
        </r>
        <r>
          <rPr>
            <sz val="9"/>
            <color indexed="81"/>
            <rFont val="宋体"/>
            <family val="3"/>
            <charset val="134"/>
          </rPr>
          <t xml:space="preserve">
</t>
        </r>
      </text>
    </comment>
    <comment ref="G111" authorId="0" shapeId="0" xr:uid="{139BB398-F12B-45AE-B85F-39488FB001DC}">
      <text>
        <r>
          <rPr>
            <b/>
            <sz val="9"/>
            <color indexed="81"/>
            <rFont val="宋体"/>
            <family val="3"/>
            <charset val="134"/>
          </rPr>
          <t xml:space="preserve">所在楼层
</t>
        </r>
        <r>
          <rPr>
            <sz val="9"/>
            <color indexed="81"/>
            <rFont val="宋体"/>
            <family val="3"/>
            <charset val="134"/>
          </rPr>
          <t xml:space="preserve">
</t>
        </r>
      </text>
    </comment>
    <comment ref="H111" authorId="0" shapeId="0" xr:uid="{E81E9C7B-3605-41AA-B377-BA572D211B58}">
      <text>
        <r>
          <rPr>
            <b/>
            <sz val="9"/>
            <color indexed="81"/>
            <rFont val="宋体"/>
            <family val="3"/>
            <charset val="134"/>
          </rPr>
          <t xml:space="preserve">所在楼层
</t>
        </r>
        <r>
          <rPr>
            <sz val="9"/>
            <color indexed="81"/>
            <rFont val="宋体"/>
            <family val="3"/>
            <charset val="134"/>
          </rPr>
          <t xml:space="preserve">
</t>
        </r>
      </text>
    </comment>
    <comment ref="I111" authorId="0" shapeId="0" xr:uid="{8D698151-DF57-41B1-A581-AA1503662110}">
      <text>
        <r>
          <rPr>
            <b/>
            <sz val="9"/>
            <color indexed="81"/>
            <rFont val="宋体"/>
            <family val="3"/>
            <charset val="134"/>
          </rPr>
          <t xml:space="preserve">所在楼层
</t>
        </r>
        <r>
          <rPr>
            <sz val="9"/>
            <color indexed="81"/>
            <rFont val="宋体"/>
            <family val="3"/>
            <charset val="134"/>
          </rPr>
          <t xml:space="preserve">
</t>
        </r>
      </text>
    </comment>
    <comment ref="J111" authorId="0" shapeId="0" xr:uid="{29A14FC5-05E7-4E9A-93C5-CB6E736CDEB7}">
      <text>
        <r>
          <rPr>
            <b/>
            <sz val="9"/>
            <color indexed="81"/>
            <rFont val="宋体"/>
            <family val="3"/>
            <charset val="134"/>
          </rPr>
          <t xml:space="preserve">所在楼层
</t>
        </r>
        <r>
          <rPr>
            <sz val="9"/>
            <color indexed="81"/>
            <rFont val="宋体"/>
            <family val="3"/>
            <charset val="134"/>
          </rPr>
          <t xml:space="preserve">
</t>
        </r>
      </text>
    </comment>
    <comment ref="K111" authorId="0" shapeId="0" xr:uid="{21C0602B-BD82-49EF-B60D-47FC3ABC0CE4}">
      <text>
        <r>
          <rPr>
            <b/>
            <sz val="9"/>
            <color indexed="81"/>
            <rFont val="宋体"/>
            <family val="3"/>
            <charset val="134"/>
          </rPr>
          <t xml:space="preserve">所在楼层
</t>
        </r>
        <r>
          <rPr>
            <sz val="9"/>
            <color indexed="81"/>
            <rFont val="宋体"/>
            <family val="3"/>
            <charset val="134"/>
          </rPr>
          <t xml:space="preserve">
</t>
        </r>
      </text>
    </comment>
    <comment ref="L111" authorId="0" shapeId="0" xr:uid="{980D5C58-7E3A-4FB4-8B5A-E4EE508E74B0}">
      <text>
        <r>
          <rPr>
            <b/>
            <sz val="9"/>
            <color indexed="81"/>
            <rFont val="宋体"/>
            <family val="3"/>
            <charset val="134"/>
          </rPr>
          <t xml:space="preserve">所在楼层
</t>
        </r>
        <r>
          <rPr>
            <sz val="9"/>
            <color indexed="81"/>
            <rFont val="宋体"/>
            <family val="3"/>
            <charset val="134"/>
          </rPr>
          <t xml:space="preserve">
</t>
        </r>
      </text>
    </comment>
    <comment ref="M111" authorId="0" shapeId="0" xr:uid="{859FA417-A329-4AF9-BED1-794E30C515EF}">
      <text>
        <r>
          <rPr>
            <b/>
            <sz val="9"/>
            <color indexed="81"/>
            <rFont val="宋体"/>
            <family val="3"/>
            <charset val="134"/>
          </rPr>
          <t xml:space="preserve">所在楼层
</t>
        </r>
        <r>
          <rPr>
            <sz val="9"/>
            <color indexed="81"/>
            <rFont val="宋体"/>
            <family val="3"/>
            <charset val="134"/>
          </rPr>
          <t xml:space="preserve">
</t>
        </r>
      </text>
    </comment>
    <comment ref="N111" authorId="0" shapeId="0" xr:uid="{B8E07EC3-8806-4665-B7D2-A28B450CC7C7}">
      <text>
        <r>
          <rPr>
            <b/>
            <sz val="9"/>
            <color indexed="81"/>
            <rFont val="宋体"/>
            <family val="3"/>
            <charset val="134"/>
          </rPr>
          <t xml:space="preserve">所在楼层
</t>
        </r>
        <r>
          <rPr>
            <sz val="9"/>
            <color indexed="81"/>
            <rFont val="宋体"/>
            <family val="3"/>
            <charset val="134"/>
          </rPr>
          <t xml:space="preserve">
</t>
        </r>
      </text>
    </comment>
    <comment ref="D116" authorId="0" shapeId="0" xr:uid="{2CB5B7AA-141D-4E58-9E74-BA9630284F7C}">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<sst xmlns="http://schemas.openxmlformats.org/spreadsheetml/2006/main" count="11734" uniqueCount="3555">
  <si>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</si>
  <si>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</si>
  <si>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</si>
  <si>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</si>
  <si>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</si>
  <si>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</si>
  <si>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</si>
  <si>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</si>
  <si>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</si>
  <si>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</si>
  <si>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</si>
  <si>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</si>
  <si>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</si>
  <si>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</si>
  <si>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</si>
  <si>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</si>
  <si>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</si>
  <si>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</si>
  <si>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</si>
  <si>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</si>
  <si>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</si>
  <si>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</si>
  <si>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</si>
  <si>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</si>
  <si>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</si>
  <si>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</si>
  <si>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</si>
  <si>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</si>
  <si>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</si>
  <si>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</si>
  <si>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</si>
  <si>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</si>
  <si>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</si>
  <si>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</si>
  <si>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</si>
  <si>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</si>
  <si>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</si>
  <si>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</si>
  <si>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</si>
  <si>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</si>
  <si>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</si>
  <si>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</si>
  <si>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</si>
  <si>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</si>
  <si>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</si>
  <si>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</si>
  <si>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</si>
  <si>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</si>
  <si>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</si>
  <si>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</si>
  <si>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</si>
  <si>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</si>
  <si>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</si>
  <si>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</si>
  <si>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</si>
  <si>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</si>
  <si>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</si>
  <si>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</si>
  <si>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</si>
  <si>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</si>
  <si>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</si>
  <si>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</si>
  <si>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</si>
  <si>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</si>
  <si>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</si>
  <si>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</si>
  <si>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</si>
  <si>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</si>
  <si>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</si>
  <si>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</si>
  <si>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</si>
  <si>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</si>
  <si>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</si>
  <si>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</si>
  <si>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</si>
  <si>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</si>
  <si>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</si>
  <si>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</si>
  <si>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</si>
  <si>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</si>
  <si>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</si>
  <si>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</si>
  <si>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</si>
  <si>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</si>
  <si>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</si>
  <si>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</si>
  <si>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</si>
  <si>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</si>
  <si>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</si>
  <si>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</si>
  <si>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</si>
  <si>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</si>
  <si>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</si>
  <si>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</si>
  <si>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</si>
  <si>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</si>
  <si>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</si>
  <si>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</si>
  <si>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</si>
  <si>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</si>
  <si>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</si>
  <si>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</si>
  <si>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</si>
  <si>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</si>
  <si>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</si>
  <si>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</si>
  <si>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</si>
  <si>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</si>
  <si>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</si>
  <si>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</si>
  <si>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</si>
  <si>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</si>
  <si>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</si>
  <si>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</si>
  <si>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</si>
  <si>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</si>
  <si>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</si>
  <si>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</si>
  <si>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</si>
  <si>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</si>
  <si>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</si>
  <si>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</si>
  <si>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</si>
  <si>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</si>
  <si>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</si>
  <si>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</si>
  <si>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</si>
  <si>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</si>
  <si>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</si>
  <si>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</si>
  <si>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</si>
  <si>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</si>
  <si>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</si>
  <si>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</si>
  <si>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</si>
  <si>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</si>
  <si>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</si>
  <si>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</si>
  <si>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</si>
  <si>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</si>
  <si>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</si>
  <si>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</si>
  <si>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</si>
  <si>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</si>
  <si>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</si>
  <si>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</si>
  <si>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</si>
  <si>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</si>
  <si>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</si>
  <si>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</si>
  <si>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</si>
  <si>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</si>
  <si>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</si>
  <si>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</si>
  <si>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</si>
  <si>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</si>
  <si>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</si>
  <si>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</si>
  <si>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</si>
  <si>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</si>
  <si>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</si>
  <si>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</si>
  <si>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</si>
  <si>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</si>
  <si>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</si>
  <si>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</si>
  <si>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</si>
  <si>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</si>
  <si>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</si>
  <si>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</si>
  <si>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</si>
  <si>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</si>
  <si>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</si>
  <si>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</si>
  <si>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</si>
  <si>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</si>
  <si>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</si>
  <si>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</si>
  <si>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</si>
  <si>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</si>
  <si>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</si>
  <si>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</si>
  <si>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</si>
  <si>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</si>
  <si>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</si>
  <si>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</si>
  <si>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</si>
  <si>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</si>
  <si>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</si>
  <si>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</si>
  <si>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</si>
  <si>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</si>
  <si>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</si>
  <si>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</si>
  <si>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</si>
  <si>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</si>
  <si>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</si>
  <si>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</si>
  <si>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</si>
  <si>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</si>
  <si>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</si>
  <si>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</si>
  <si>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</si>
  <si>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</si>
  <si>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</si>
  <si>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</si>
  <si>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</si>
  <si>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</si>
  <si>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</si>
  <si>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</si>
  <si>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</si>
  <si>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</si>
  <si>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</si>
  <si>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</si>
  <si>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</si>
  <si>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</si>
  <si>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</si>
  <si>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</si>
  <si>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</si>
  <si>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</si>
  <si>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</si>
  <si>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</si>
  <si>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</si>
  <si>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</si>
  <si>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</si>
  <si>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</si>
  <si>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</si>
  <si>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</si>
  <si>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</si>
  <si>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</si>
  <si>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</si>
  <si>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</si>
  <si>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</si>
  <si>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</si>
  <si>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</si>
  <si>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</si>
  <si>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</si>
  <si>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</si>
  <si>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</si>
  <si>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</si>
  <si>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</si>
  <si>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</si>
  <si>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</si>
  <si>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</si>
  <si>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</si>
  <si>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</si>
  <si>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</si>
  <si>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</si>
  <si>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</si>
  <si>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</si>
  <si>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</si>
  <si>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</si>
  <si>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</si>
  <si>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</si>
  <si>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</si>
  <si>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</si>
  <si>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</si>
  <si>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</si>
  <si>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</si>
  <si>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</si>
  <si>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</si>
  <si>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</si>
  <si>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</si>
  <si>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</si>
  <si>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</si>
  <si>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</si>
  <si>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</si>
  <si>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</si>
  <si>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</si>
  <si>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</si>
  <si>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</si>
  <si>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</si>
  <si>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</si>
  <si>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</si>
  <si>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</si>
  <si>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</si>
  <si>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</si>
  <si>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</si>
  <si>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</si>
  <si>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</si>
  <si>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</si>
  <si>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</si>
  <si>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</si>
  <si>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</si>
  <si>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</si>
  <si>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</si>
  <si>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</si>
  <si>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</si>
  <si>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</si>
  <si>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</si>
  <si>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</si>
  <si>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</si>
  <si>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</si>
  <si>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</si>
  <si>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</si>
  <si>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</si>
  <si>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</si>
  <si>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</si>
  <si>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</si>
  <si>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</si>
  <si>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</si>
  <si>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</si>
  <si>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</si>
  <si>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</si>
  <si>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</si>
  <si>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</si>
  <si>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</si>
  <si>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</si>
  <si>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</si>
  <si>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</si>
  <si>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</si>
  <si>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</si>
  <si>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</si>
  <si>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</si>
  <si>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</si>
  <si>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</si>
  <si>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</si>
  <si>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</si>
  <si>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</si>
  <si>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</si>
  <si>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</si>
  <si>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</si>
  <si>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</si>
  <si>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</si>
  <si>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</si>
  <si>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</si>
  <si>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</si>
  <si>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</si>
  <si>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</si>
  <si>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</si>
  <si>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</si>
  <si>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</si>
  <si>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</si>
  <si>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</si>
  <si>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</si>
  <si>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</si>
  <si>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</si>
  <si>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</si>
  <si>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</si>
  <si>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</si>
  <si>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</si>
  <si>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</si>
  <si>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</si>
  <si>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</si>
  <si>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</si>
  <si>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</si>
  <si>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</si>
  <si>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</si>
  <si>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</si>
  <si>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</si>
  <si>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</si>
  <si>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</si>
  <si>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</si>
  <si>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</si>
  <si>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</si>
  <si>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</si>
  <si>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</si>
  <si>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</si>
  <si>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</si>
  <si>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</si>
  <si>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</si>
  <si>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</si>
  <si>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</si>
  <si>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</si>
  <si>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</si>
  <si>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</si>
  <si>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</si>
  <si>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</si>
  <si>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</si>
  <si>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</si>
  <si>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</si>
  <si>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</si>
  <si>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</si>
  <si>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</si>
  <si>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</si>
  <si>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</si>
  <si>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</si>
  <si>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</si>
  <si>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</si>
  <si>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</si>
  <si>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</si>
  <si>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</si>
  <si>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</si>
  <si>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</si>
  <si>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</si>
  <si>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</si>
  <si>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</si>
  <si>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</si>
  <si>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</si>
  <si>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</si>
  <si>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</si>
  <si>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</si>
  <si>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</si>
  <si>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</si>
  <si>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</si>
  <si>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</si>
  <si>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</si>
  <si>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</si>
  <si>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</si>
  <si>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</si>
  <si>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</si>
  <si>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</si>
  <si>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</si>
  <si>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</si>
  <si>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</si>
  <si>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</si>
  <si>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</si>
  <si>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</si>
  <si>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</si>
  <si>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</si>
  <si>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</si>
  <si>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</si>
  <si>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</si>
  <si>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</si>
  <si>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</si>
  <si>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</si>
  <si>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</si>
  <si>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</si>
  <si>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</si>
  <si>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</si>
  <si>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</si>
  <si>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</si>
  <si>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</si>
  <si>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</si>
  <si>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</si>
  <si>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</si>
  <si>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</si>
  <si>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</si>
  <si>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</si>
  <si>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</si>
  <si>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</si>
  <si>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</si>
  <si>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</si>
  <si>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</si>
  <si>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</si>
  <si>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</si>
  <si>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</si>
  <si>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</si>
  <si>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</si>
  <si>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</si>
  <si>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</si>
  <si>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</si>
  <si>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</si>
  <si>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</si>
  <si>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</si>
  <si>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</si>
  <si>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</si>
  <si>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</si>
  <si>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</si>
  <si>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</si>
  <si>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</si>
  <si>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</si>
  <si>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</si>
  <si>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</si>
  <si>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</si>
  <si>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</si>
  <si>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</si>
  <si>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</si>
  <si>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</si>
  <si>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</si>
  <si>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</si>
  <si>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</si>
  <si>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</si>
  <si>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</si>
  <si>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</si>
  <si>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</si>
  <si>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</si>
  <si>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</si>
  <si>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</si>
  <si>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</si>
  <si>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</si>
  <si>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</si>
  <si>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</si>
  <si>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</si>
  <si>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</si>
  <si>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</si>
  <si>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</si>
  <si>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</si>
  <si>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</si>
  <si>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</si>
  <si>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</si>
  <si>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</si>
  <si>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</si>
  <si>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</si>
  <si>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</si>
  <si>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</si>
  <si>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</si>
  <si>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</si>
  <si>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</si>
  <si>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</si>
  <si>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</si>
  <si>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</si>
  <si>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</si>
  <si>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</si>
  <si>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</si>
  <si>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</si>
  <si>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</si>
  <si>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</si>
  <si>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</si>
  <si>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</si>
  <si>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</si>
  <si>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</si>
  <si>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</si>
  <si>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</si>
  <si>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</si>
  <si>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</si>
  <si>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</si>
  <si>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</si>
  <si>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</si>
  <si>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</si>
  <si>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</si>
  <si>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</si>
  <si>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</si>
  <si>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</si>
  <si>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</si>
  <si>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</si>
  <si>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</si>
  <si>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</si>
  <si>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</si>
  <si>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</si>
  <si>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</si>
  <si>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</si>
  <si>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</si>
  <si>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</si>
  <si>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</si>
  <si>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</si>
  <si>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</si>
  <si>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</si>
  <si>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</si>
  <si>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</si>
  <si>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</si>
  <si>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</si>
  <si>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</si>
  <si>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</si>
  <si>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</si>
  <si>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</si>
  <si>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</si>
  <si>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</si>
  <si>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</si>
  <si>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</si>
  <si>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</si>
  <si>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</si>
  <si>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</si>
  <si>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</si>
  <si>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</si>
  <si>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</si>
  <si>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</si>
  <si>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</si>
  <si>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</si>
  <si>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</si>
  <si>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</si>
  <si>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</si>
  <si>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</si>
  <si>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</si>
  <si>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</si>
  <si>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</si>
  <si>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</si>
  <si>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</si>
  <si>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</si>
  <si>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</si>
  <si>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</si>
  <si>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</si>
  <si>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</si>
  <si>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</si>
  <si>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</si>
  <si>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</si>
  <si>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</si>
  <si>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</si>
  <si>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</si>
  <si>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</si>
  <si>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</si>
  <si>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</si>
  <si>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</si>
  <si>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</si>
  <si>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</si>
  <si>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</si>
  <si>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</si>
  <si>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</si>
  <si>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</si>
  <si>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</si>
  <si>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</si>
  <si>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</si>
  <si>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</si>
  <si>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</si>
  <si>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</si>
  <si>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</si>
  <si>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</si>
  <si>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</si>
  <si>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</si>
  <si>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</si>
  <si>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</si>
  <si>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</si>
  <si>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</si>
  <si>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</si>
  <si>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</si>
  <si>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</si>
  <si>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</si>
  <si>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</si>
  <si>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</si>
  <si>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</si>
  <si>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</si>
  <si>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</si>
  <si>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</si>
  <si>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</si>
  <si>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</si>
  <si>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</si>
  <si>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</si>
  <si>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</si>
  <si>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</si>
  <si>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</si>
  <si>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</si>
  <si>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</si>
  <si>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</si>
  <si>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</si>
  <si>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</si>
  <si>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</si>
  <si>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</si>
  <si>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</si>
  <si>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</si>
  <si>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</si>
  <si>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</si>
  <si>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</si>
  <si>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</si>
  <si>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</si>
  <si>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</si>
  <si>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</si>
  <si>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</si>
  <si>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</si>
  <si>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</si>
  <si>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</si>
  <si>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</si>
  <si>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</si>
  <si>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</si>
  <si>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</si>
  <si>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</si>
  <si>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</si>
  <si>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</si>
  <si>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</si>
  <si>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</si>
  <si>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</si>
  <si>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</si>
  <si>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</si>
  <si>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</si>
  <si>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</si>
  <si>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</si>
  <si>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</si>
  <si>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</si>
  <si>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</si>
  <si>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</si>
  <si>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</si>
  <si>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</si>
  <si>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</si>
  <si>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</si>
  <si>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</si>
  <si>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</si>
  <si>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</si>
  <si>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</si>
  <si>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</si>
  <si>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</si>
  <si>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</si>
  <si>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</si>
  <si>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</si>
  <si>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</si>
  <si>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</si>
  <si>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</si>
  <si>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</si>
  <si>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</si>
  <si>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</si>
  <si>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</si>
  <si>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</si>
  <si>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</si>
  <si>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</si>
  <si>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</si>
  <si>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</si>
  <si>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</si>
  <si>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</si>
  <si>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</si>
  <si>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</si>
  <si>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</si>
  <si>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</si>
  <si>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</si>
  <si>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</si>
  <si>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</si>
  <si>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</si>
  <si>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</si>
  <si>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</si>
  <si>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</si>
  <si>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</si>
  <si>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</si>
  <si>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</si>
  <si>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</si>
  <si>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</si>
  <si>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</si>
  <si>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</si>
  <si>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</si>
  <si>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</si>
  <si>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</si>
  <si>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</si>
  <si>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</si>
  <si>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</si>
  <si>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</si>
  <si>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</si>
  <si>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</si>
  <si>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</si>
  <si>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</si>
  <si>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</si>
  <si>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</si>
  <si>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</si>
  <si>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</si>
  <si>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</si>
  <si>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</si>
  <si>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</si>
  <si>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</si>
  <si>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</si>
  <si>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</si>
  <si>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</si>
  <si>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</si>
  <si>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</si>
  <si>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</si>
  <si>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</si>
  <si>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</si>
  <si>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</si>
  <si>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</si>
  <si>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</si>
  <si>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</si>
  <si>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</si>
  <si>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</si>
  <si>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</si>
  <si>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</si>
  <si>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</si>
  <si>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</si>
  <si>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</si>
  <si>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</si>
  <si>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</si>
  <si>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</si>
  <si>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</si>
  <si>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</si>
  <si>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</si>
  <si>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</si>
  <si>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</si>
  <si>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</si>
  <si>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</si>
  <si>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</si>
  <si>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</si>
  <si>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</si>
  <si>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</si>
  <si>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</si>
  <si>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</si>
  <si>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</si>
  <si>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</si>
  <si>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</si>
  <si>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</si>
  <si>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</si>
  <si>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</si>
  <si>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</si>
  <si>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</si>
  <si>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</si>
  <si>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</si>
  <si>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</si>
  <si>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</si>
  <si>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</si>
  <si>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</si>
  <si>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</si>
  <si>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</si>
  <si>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</si>
  <si>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</si>
  <si>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</si>
  <si>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</si>
  <si>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</si>
  <si>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</si>
  <si>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</si>
  <si>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</si>
  <si>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</si>
  <si>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</si>
  <si>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</si>
  <si>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</si>
  <si>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</si>
  <si>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</si>
  <si>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</si>
  <si>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</si>
  <si>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</si>
  <si>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</si>
  <si>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</si>
  <si>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</si>
  <si>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</si>
  <si>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</si>
  <si>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</si>
  <si>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</si>
  <si>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</si>
  <si>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</si>
  <si>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</si>
  <si>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</si>
  <si>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</si>
  <si>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</si>
  <si>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</si>
  <si>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</si>
  <si>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</si>
  <si>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</si>
  <si>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</si>
  <si>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</si>
  <si>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</si>
  <si>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</si>
  <si>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</si>
  <si>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</si>
  <si>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</si>
  <si>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</si>
  <si>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</si>
  <si>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</si>
  <si>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</si>
  <si>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</si>
  <si>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</si>
  <si>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</si>
  <si>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</si>
  <si>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</si>
  <si>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</si>
  <si>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</si>
  <si>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</si>
  <si>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</si>
  <si>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</si>
  <si>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</si>
  <si>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</si>
  <si>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</si>
  <si>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</si>
  <si>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</si>
  <si>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</si>
  <si>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</si>
  <si>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</si>
  <si>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</si>
  <si>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</si>
  <si>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</si>
  <si>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</si>
  <si>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</si>
  <si>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</si>
  <si>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</si>
  <si>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</si>
  <si>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</si>
  <si>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</si>
  <si>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</si>
  <si>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</si>
  <si>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</si>
  <si>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</si>
  <si>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</si>
  <si>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</si>
  <si>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</si>
  <si>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</si>
  <si>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</si>
  <si>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</si>
  <si>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</si>
  <si>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</si>
  <si>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</si>
  <si>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</si>
  <si>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</si>
  <si>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</si>
  <si>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</si>
  <si>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</si>
  <si>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</si>
  <si>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</si>
  <si>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</si>
  <si>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</si>
  <si>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</si>
  <si>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</si>
  <si>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</si>
  <si>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</si>
  <si>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</si>
  <si>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</si>
  <si>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</si>
  <si>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</si>
  <si>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</si>
  <si>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</si>
  <si>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</si>
  <si>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</si>
  <si>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</si>
  <si>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</si>
  <si>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</si>
  <si>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</si>
  <si>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</si>
  <si>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</si>
  <si>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</si>
  <si>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</si>
  <si>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</si>
  <si>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</si>
  <si>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</si>
  <si>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</si>
  <si>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</si>
  <si>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</si>
  <si>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</si>
  <si>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</si>
  <si>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</si>
  <si>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</si>
  <si>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</si>
  <si>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</si>
  <si>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</si>
  <si>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</si>
  <si>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</si>
  <si>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</si>
  <si>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</si>
  <si>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</si>
  <si>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</si>
  <si>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</si>
  <si>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</si>
  <si>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</si>
  <si>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</si>
  <si>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</si>
  <si>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</si>
  <si>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</si>
  <si>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</si>
  <si>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</si>
  <si>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</si>
  <si>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</si>
  <si>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</si>
  <si>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</si>
  <si>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</si>
  <si>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</si>
  <si>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</si>
  <si>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</si>
  <si>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</si>
  <si>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</si>
  <si>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</si>
  <si>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</si>
  <si>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</si>
  <si>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</si>
  <si>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</si>
  <si>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</si>
  <si>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</si>
  <si>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</si>
  <si>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</si>
  <si>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</si>
  <si>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</si>
  <si>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</si>
  <si>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</si>
  <si>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</si>
  <si>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</si>
  <si>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</si>
  <si>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</si>
  <si>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</si>
  <si>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</si>
  <si>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</si>
  <si>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</si>
  <si>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</si>
  <si>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</si>
  <si>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</si>
  <si>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</si>
  <si>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</si>
  <si>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</si>
  <si>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</si>
  <si>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</si>
  <si>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</si>
  <si>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</si>
  <si>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</si>
  <si>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</si>
  <si>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</si>
  <si>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</si>
  <si>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</si>
  <si>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</si>
  <si>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</si>
  <si>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</si>
  <si>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</si>
  <si>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</si>
  <si>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</si>
  <si>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</si>
  <si>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</si>
  <si>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</si>
  <si>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</si>
  <si>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</si>
  <si>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</si>
  <si>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</si>
  <si>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</si>
  <si>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</si>
  <si>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</si>
  <si>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</si>
  <si>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</si>
  <si>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</si>
  <si>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</si>
  <si>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</si>
  <si>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</si>
  <si>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</si>
  <si>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</si>
  <si>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</si>
  <si>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</si>
  <si>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</si>
  <si>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</si>
  <si>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</si>
  <si>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</si>
  <si>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</si>
  <si>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</si>
  <si>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</si>
  <si>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</si>
  <si>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</si>
  <si>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</si>
  <si>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</si>
  <si>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</si>
  <si>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</si>
  <si>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</si>
  <si>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</si>
  <si>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</si>
  <si>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</si>
  <si>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</si>
  <si>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</si>
  <si>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</si>
  <si>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</si>
  <si>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</si>
  <si>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</si>
  <si>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</si>
  <si>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</si>
  <si>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</si>
  <si>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</si>
  <si>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</si>
  <si>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</si>
  <si>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</si>
  <si>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</si>
  <si>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</si>
  <si>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</si>
  <si>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</si>
  <si>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</si>
  <si>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</si>
  <si>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</si>
  <si>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</si>
  <si>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</si>
  <si>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</si>
  <si>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</si>
  <si>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</si>
  <si>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</si>
  <si>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</si>
  <si>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</si>
  <si>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</si>
  <si>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</si>
  <si>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</si>
  <si>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</si>
  <si>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</si>
  <si>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</si>
  <si>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</si>
  <si>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</si>
  <si>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</si>
  <si>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</si>
  <si>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</si>
  <si>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</si>
  <si>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</si>
  <si>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</si>
  <si>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</si>
  <si>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</si>
  <si>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</si>
  <si>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</si>
  <si>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</si>
  <si>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</si>
  <si>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</si>
  <si>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</si>
  <si>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</si>
  <si>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</si>
  <si>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</si>
  <si>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</si>
  <si>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</si>
  <si>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</si>
  <si>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</si>
  <si>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</si>
  <si>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</si>
  <si>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</si>
  <si>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</si>
  <si>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</si>
  <si>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</si>
  <si>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</si>
  <si>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</si>
  <si>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</si>
  <si>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</si>
  <si>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</si>
  <si>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</si>
  <si>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</si>
  <si>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</si>
  <si>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</si>
  <si>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</si>
  <si>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</si>
  <si>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</si>
  <si>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</si>
  <si>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</si>
  <si>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</si>
  <si>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</si>
  <si>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</si>
  <si>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</si>
  <si>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</si>
  <si>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</si>
  <si>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</si>
  <si>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</si>
  <si>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</si>
  <si>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</si>
  <si>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</si>
  <si>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</si>
  <si>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</si>
  <si>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</si>
  <si>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</si>
  <si>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</si>
  <si>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</si>
  <si>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</si>
  <si>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</si>
  <si>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</si>
  <si>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</si>
  <si>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</si>
  <si>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</si>
  <si>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</si>
  <si>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</si>
  <si>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</si>
  <si>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</si>
  <si>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</si>
  <si>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</si>
  <si>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</si>
  <si>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</si>
  <si>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</si>
  <si>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</si>
  <si>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</si>
  <si>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</si>
  <si>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</si>
  <si>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</si>
  <si>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</si>
  <si>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</si>
  <si>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</si>
  <si>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</si>
  <si>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</si>
  <si>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</si>
  <si>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</si>
  <si>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</si>
  <si>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</si>
  <si>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</si>
  <si>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</si>
  <si>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</si>
  <si>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</si>
  <si>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</si>
  <si>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</si>
  <si>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</si>
  <si>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</si>
  <si>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</si>
  <si>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</si>
  <si>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</si>
  <si>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</si>
  <si>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</si>
  <si>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</si>
  <si>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</si>
  <si>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</si>
  <si>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</si>
  <si>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</si>
  <si>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</si>
  <si>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</si>
  <si>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</si>
  <si>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</si>
  <si>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</si>
  <si>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</si>
  <si>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</si>
  <si>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</si>
  <si>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</si>
  <si>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</si>
  <si>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</si>
  <si>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</si>
  <si>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</si>
  <si>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</si>
  <si>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</si>
  <si>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</si>
  <si>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</si>
  <si>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</si>
  <si>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</si>
  <si>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</si>
  <si>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</si>
  <si>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</si>
  <si>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</si>
  <si>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</si>
  <si>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</si>
  <si>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</si>
  <si>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</si>
  <si>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</si>
  <si>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</si>
  <si>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</si>
  <si>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</si>
  <si>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</si>
  <si>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</si>
  <si>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</si>
  <si>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</si>
  <si>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</si>
  <si>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</si>
  <si>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</si>
  <si>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</si>
  <si>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</si>
  <si>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</si>
  <si>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</si>
  <si>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</si>
  <si>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</si>
  <si>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</si>
  <si>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</si>
  <si>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</si>
  <si>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</si>
  <si>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</si>
  <si>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</si>
  <si>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</si>
  <si>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</si>
  <si>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</si>
  <si>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</si>
  <si>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</si>
  <si>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</si>
  <si>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</si>
  <si>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</si>
  <si>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</si>
  <si>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</si>
  <si>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</si>
  <si>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</si>
  <si>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</si>
  <si>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</si>
  <si>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</si>
  <si>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</si>
  <si>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</si>
  <si>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</si>
  <si>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</si>
  <si>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</si>
  <si>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</si>
  <si>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</si>
  <si>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</si>
  <si>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</si>
  <si>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</si>
  <si>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</si>
  <si>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</si>
  <si>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</si>
  <si>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</si>
  <si>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</si>
  <si>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</si>
  <si>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</si>
  <si>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</si>
  <si>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</si>
  <si>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</si>
  <si>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</si>
  <si>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</si>
  <si>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</si>
  <si>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</si>
  <si>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</si>
  <si>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</si>
  <si>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</si>
  <si>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</si>
  <si>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</si>
  <si>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</si>
  <si>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</si>
  <si>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</si>
  <si>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</si>
  <si>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</si>
  <si>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</si>
  <si>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</si>
  <si>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</si>
  <si>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</si>
  <si>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</si>
  <si>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</si>
  <si>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</si>
  <si>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</si>
  <si>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</si>
  <si>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</si>
  <si>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</si>
  <si>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</si>
  <si>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</si>
  <si>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</si>
  <si>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</si>
  <si>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</si>
  <si>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</si>
  <si>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</si>
  <si>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</si>
  <si>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</si>
  <si>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</si>
  <si>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</si>
  <si>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</si>
  <si>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</si>
  <si>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</si>
  <si>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</si>
  <si>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</si>
  <si>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</si>
  <si>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</si>
  <si>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</si>
  <si>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</si>
  <si>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</si>
  <si>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</si>
  <si>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</si>
  <si>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</si>
  <si>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</si>
  <si>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</si>
  <si>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</si>
  <si>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</si>
  <si>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</si>
  <si>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</si>
  <si>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</si>
  <si>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</si>
  <si>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</si>
  <si>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</si>
  <si>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</si>
  <si>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</si>
  <si>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</si>
  <si>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</si>
  <si>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</si>
  <si>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</si>
  <si>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</si>
  <si>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</si>
  <si>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</si>
  <si>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</si>
  <si>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</si>
  <si>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</si>
  <si>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</si>
  <si>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</si>
  <si>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</si>
  <si>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</si>
  <si>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</si>
  <si>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</si>
  <si>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</si>
  <si>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</si>
  <si>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</si>
  <si>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</si>
  <si>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</si>
  <si>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</si>
  <si>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</si>
  <si>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</si>
  <si>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</si>
  <si>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</si>
  <si>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</si>
  <si>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</si>
  <si>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</si>
  <si>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</si>
  <si>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</si>
  <si>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</si>
  <si>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</si>
  <si>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</si>
  <si>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</si>
  <si>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</si>
  <si>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</si>
  <si>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</si>
  <si>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</si>
  <si>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</si>
  <si>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</si>
  <si>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</si>
  <si>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</si>
  <si>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</si>
  <si>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</si>
  <si>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</si>
  <si>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</si>
  <si>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</si>
  <si>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</si>
  <si>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</si>
  <si>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</si>
  <si>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</si>
  <si>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</si>
  <si>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</si>
  <si>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</si>
  <si>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</si>
  <si>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</si>
  <si>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</si>
  <si>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</si>
  <si>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</si>
  <si>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</si>
  <si>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</si>
  <si>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</si>
  <si>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</si>
  <si>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</si>
  <si>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</si>
  <si>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</si>
  <si>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</si>
  <si>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</si>
  <si>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</si>
  <si>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</si>
  <si>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</si>
  <si>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</si>
  <si>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</si>
  <si>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</si>
  <si>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</si>
  <si>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</si>
  <si>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</si>
  <si>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</si>
  <si>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</si>
  <si>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</si>
  <si>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</si>
  <si>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</si>
  <si>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</si>
  <si>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</si>
  <si>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</si>
  <si>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</si>
  <si>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</si>
  <si>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</si>
  <si>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</si>
  <si>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</si>
  <si>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</si>
  <si>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</si>
  <si>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</si>
  <si>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</si>
  <si>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</si>
  <si>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</si>
  <si>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</si>
  <si>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</si>
  <si>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</si>
  <si>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</si>
  <si>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</si>
  <si>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</si>
  <si>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</si>
  <si>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</si>
  <si>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</si>
  <si>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</si>
  <si>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</si>
  <si>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</si>
  <si>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</si>
  <si>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</si>
  <si>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</si>
  <si>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</si>
  <si>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</si>
  <si>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</si>
  <si>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</si>
  <si>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</si>
  <si>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</si>
  <si>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</si>
  <si>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</si>
  <si>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</si>
  <si>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</si>
  <si>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</si>
  <si>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</si>
  <si>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</si>
  <si>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</si>
  <si>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</si>
  <si>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</si>
  <si>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</si>
  <si>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</si>
  <si>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</si>
  <si>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</si>
  <si>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</si>
  <si>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</si>
  <si>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</si>
  <si>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</si>
  <si>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</si>
  <si>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</si>
  <si>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</si>
  <si>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</si>
  <si>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</si>
  <si>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</si>
  <si>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</si>
  <si>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</si>
  <si>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</si>
  <si>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</si>
  <si>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</si>
  <si>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</si>
  <si>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</si>
  <si>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</si>
  <si>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</si>
  <si>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</si>
  <si>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</si>
  <si>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</si>
  <si>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</si>
  <si>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</si>
  <si>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</si>
  <si>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</si>
  <si>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</si>
  <si>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</si>
  <si>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</si>
  <si>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</si>
  <si>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</si>
  <si>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</si>
  <si>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</si>
  <si>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</si>
  <si>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</si>
  <si>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</si>
  <si>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</si>
  <si>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</si>
  <si>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</si>
  <si>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</si>
  <si>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</si>
  <si>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</si>
  <si>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</si>
  <si>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</si>
  <si>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</si>
  <si>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</si>
  <si>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</si>
  <si>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</si>
  <si>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</si>
  <si>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</si>
  <si>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</si>
  <si>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</si>
  <si>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</si>
  <si>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</si>
  <si>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</si>
  <si>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</si>
  <si>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</si>
  <si>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</si>
  <si>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</si>
  <si>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</si>
  <si>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</si>
  <si>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</si>
  <si>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</si>
  <si>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</si>
  <si>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</si>
  <si>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</si>
  <si>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</si>
  <si>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</si>
  <si>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</si>
  <si>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</si>
  <si>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</si>
  <si>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</si>
  <si>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</si>
  <si>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</si>
  <si>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</si>
  <si>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</si>
  <si>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</si>
  <si>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</si>
  <si>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</si>
  <si>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</si>
  <si>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</si>
  <si>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</si>
  <si>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</si>
  <si>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</si>
  <si>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</si>
  <si>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</si>
  <si>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</si>
  <si>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</si>
  <si>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</si>
  <si>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</si>
  <si>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</si>
  <si>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</si>
  <si>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</si>
  <si>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</si>
  <si>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</si>
  <si>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</si>
  <si>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</si>
  <si>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</si>
  <si>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</si>
  <si>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</si>
  <si>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</si>
  <si>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</si>
  <si>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</si>
  <si>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</si>
  <si>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</si>
  <si>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</si>
  <si>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</si>
  <si>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</si>
  <si>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</si>
  <si>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</si>
  <si>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</si>
  <si>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</si>
  <si>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</si>
  <si>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</si>
  <si>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</si>
  <si>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</si>
  <si>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</si>
  <si>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</si>
  <si>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</si>
  <si>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</si>
  <si>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</si>
  <si>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</si>
  <si>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</si>
  <si>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</si>
  <si>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</si>
  <si>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</si>
  <si>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</si>
  <si>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</si>
  <si>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</si>
  <si>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</si>
  <si>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</si>
  <si>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</si>
  <si>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</si>
  <si>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</si>
  <si>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</si>
  <si>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</si>
  <si>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</si>
  <si>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</si>
  <si>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</si>
  <si>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</si>
  <si>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</si>
  <si>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</si>
  <si>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</si>
  <si>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</si>
  <si>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</si>
  <si>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</si>
  <si>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</si>
  <si>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</si>
  <si>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</si>
  <si>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</si>
  <si>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</si>
  <si>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</si>
  <si>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</si>
  <si>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</si>
  <si>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</si>
  <si>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</si>
  <si>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</si>
  <si>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</si>
  <si>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</si>
  <si>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</si>
  <si>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</si>
  <si>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</si>
  <si>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</si>
  <si>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</si>
  <si>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</si>
  <si>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</si>
  <si>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</si>
  <si>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</si>
  <si>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</si>
  <si>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</si>
  <si>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</si>
  <si>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</si>
  <si>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</si>
  <si>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</si>
  <si>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</si>
  <si>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</si>
  <si>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</si>
  <si>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</si>
  <si>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</si>
  <si>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</si>
  <si>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</si>
  <si>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</si>
  <si>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</si>
  <si>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</si>
  <si>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</si>
  <si>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</si>
  <si>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</si>
  <si>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</si>
  <si>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</si>
  <si>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</si>
  <si>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</si>
  <si>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</si>
  <si>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</si>
  <si>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</si>
  <si>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</si>
  <si>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</si>
  <si>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</si>
  <si>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</si>
  <si>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</si>
  <si>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</si>
  <si>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</si>
  <si>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</si>
  <si>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</si>
  <si>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</si>
  <si>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</si>
  <si>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</si>
  <si>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</si>
  <si>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</si>
  <si>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</si>
  <si>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</si>
  <si>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</si>
  <si>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</si>
  <si>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</si>
  <si>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</si>
  <si>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</si>
  <si>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</si>
  <si>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</si>
  <si>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</si>
  <si>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</si>
  <si>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</si>
  <si>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</si>
  <si>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</si>
  <si>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</si>
  <si>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</si>
  <si>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</si>
  <si>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</si>
  <si>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</si>
  <si>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</si>
  <si>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</si>
  <si>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</si>
  <si>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</si>
  <si>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</si>
  <si>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</si>
  <si>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</si>
  <si>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</si>
  <si>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</si>
  <si>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</si>
  <si>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</si>
  <si>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</si>
  <si>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</si>
  <si>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</si>
  <si>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</si>
  <si>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</si>
  <si>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</si>
  <si>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</si>
  <si>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</si>
  <si>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</si>
  <si>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</si>
  <si>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</si>
  <si>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</si>
  <si>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</si>
  <si>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</si>
  <si>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</si>
  <si>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</si>
  <si>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</si>
  <si>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</si>
  <si>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</si>
  <si>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</si>
  <si>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</si>
  <si>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</si>
  <si>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</si>
  <si>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</si>
  <si>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</si>
  <si>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</si>
  <si>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</si>
  <si>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</si>
  <si>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</si>
  <si>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</si>
  <si>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</si>
  <si>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</si>
  <si>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</si>
  <si>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</si>
  <si>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</si>
  <si>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</si>
  <si>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</si>
  <si>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</si>
  <si>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</si>
  <si>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</si>
  <si>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</si>
  <si>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</si>
  <si>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</si>
  <si>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</si>
  <si>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</si>
  <si>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</si>
  <si>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</si>
  <si>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</si>
  <si>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</si>
  <si>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</si>
  <si>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</si>
  <si>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</si>
  <si>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</si>
  <si>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</si>
  <si>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</si>
  <si>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</si>
  <si>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</si>
  <si>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</si>
  <si>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</si>
  <si>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</si>
  <si>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</si>
  <si>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</si>
  <si>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</si>
  <si>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</si>
  <si>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</si>
  <si>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</si>
  <si>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</si>
  <si>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</si>
  <si>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</si>
  <si>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</si>
  <si>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</si>
  <si>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</si>
  <si>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</si>
  <si>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</si>
  <si>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</si>
  <si>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</si>
  <si>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</si>
  <si>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</si>
  <si>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</si>
  <si>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</si>
  <si>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</si>
  <si>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</si>
  <si>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</si>
  <si>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</si>
  <si>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</si>
  <si>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</si>
  <si>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</si>
  <si>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</si>
  <si>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</si>
  <si>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</si>
  <si>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</si>
  <si>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</si>
  <si>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</si>
  <si>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</si>
  <si>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</si>
  <si>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</si>
  <si>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</si>
  <si>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</si>
  <si>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</si>
  <si>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</si>
  <si>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</si>
  <si>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</si>
  <si>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</si>
  <si>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</si>
  <si>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</si>
  <si>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</si>
  <si>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</si>
  <si>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</si>
  <si>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</si>
  <si>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</si>
  <si>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</si>
  <si>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</si>
  <si>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</si>
  <si>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</si>
  <si>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</si>
  <si>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</si>
  <si>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</si>
  <si>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</si>
  <si>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</si>
  <si>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</si>
  <si>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</si>
  <si>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</si>
  <si>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</si>
  <si>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</si>
  <si>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</si>
  <si>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</si>
  <si>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</si>
  <si>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</si>
  <si>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</si>
  <si>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</si>
  <si>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</si>
  <si>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</si>
  <si>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</si>
  <si>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</si>
  <si>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</si>
  <si>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</si>
  <si>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</si>
  <si>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</si>
  <si>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</si>
  <si>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</si>
  <si>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</si>
  <si>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</si>
  <si>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</si>
  <si>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</si>
  <si>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</si>
  <si>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</si>
  <si>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</si>
  <si>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</si>
  <si>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</si>
  <si>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</si>
  <si>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</si>
  <si>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</si>
  <si>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</si>
  <si>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</si>
  <si>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</si>
  <si>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</si>
  <si>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</si>
  <si>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</si>
  <si>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</si>
  <si>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</si>
  <si>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</si>
  <si>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</si>
  <si>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</si>
  <si>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</si>
  <si>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</si>
  <si>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</si>
  <si>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</si>
  <si>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</si>
  <si>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</si>
  <si>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</si>
  <si>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</si>
  <si>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</si>
  <si>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</si>
  <si>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</si>
  <si>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</si>
  <si>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</si>
  <si>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</si>
  <si>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</si>
  <si>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</si>
  <si>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</si>
  <si>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</si>
  <si>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</si>
  <si>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</si>
  <si>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</si>
  <si>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</si>
  <si>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</si>
  <si>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</si>
  <si>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</si>
  <si>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</si>
  <si>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</si>
  <si>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</si>
  <si>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</si>
  <si>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</si>
  <si>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</si>
  <si>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</si>
  <si>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</si>
  <si>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</si>
  <si>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</si>
  <si>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</si>
  <si>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</si>
  <si>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</si>
  <si>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</si>
  <si>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</si>
  <si>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</si>
  <si>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</si>
  <si>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</si>
  <si>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</si>
  <si>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</si>
  <si>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</si>
  <si>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</si>
  <si>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</si>
  <si>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</si>
  <si>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</si>
  <si>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</si>
  <si>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</si>
  <si>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</si>
  <si>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</si>
  <si>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</si>
  <si>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</si>
  <si>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</si>
  <si>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</si>
  <si>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</si>
  <si>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</si>
  <si>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</si>
  <si>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</si>
  <si>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</si>
  <si>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</si>
  <si>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</si>
  <si>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</si>
  <si>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</si>
  <si>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</si>
  <si>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</si>
  <si>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</si>
  <si>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</si>
  <si>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</si>
  <si>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</si>
  <si>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</si>
  <si>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</si>
  <si>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</si>
  <si>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</si>
  <si>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</si>
  <si>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</si>
  <si>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</si>
  <si>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</si>
  <si>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</si>
  <si>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</si>
  <si>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</si>
  <si>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</si>
  <si>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</si>
  <si>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</si>
  <si>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</si>
  <si>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</si>
  <si>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</si>
  <si>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</si>
  <si>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</si>
  <si>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</si>
  <si>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</si>
  <si>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</si>
  <si>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</si>
  <si>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</si>
  <si>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</si>
  <si>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</si>
  <si>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</si>
  <si>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</si>
  <si>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</si>
  <si>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</si>
  <si>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</si>
  <si>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</si>
  <si>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</si>
  <si>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</si>
  <si>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</si>
  <si>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</si>
  <si>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</si>
  <si>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</si>
  <si>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</si>
  <si>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</si>
  <si>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</si>
  <si>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</si>
  <si>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</si>
  <si>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</si>
  <si>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</si>
  <si>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</si>
  <si>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</si>
  <si>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</si>
  <si>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</si>
  <si>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</si>
  <si>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</si>
  <si>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</si>
  <si>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</si>
  <si>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</si>
  <si>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</si>
  <si>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</si>
  <si>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</si>
  <si>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</si>
  <si>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</si>
  <si>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</si>
  <si>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</si>
  <si>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</si>
  <si>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</si>
  <si>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</si>
  <si>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</si>
  <si>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</si>
  <si>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</si>
  <si>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</si>
  <si>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</si>
  <si>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</si>
  <si>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</si>
  <si>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</si>
  <si>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</si>
  <si>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</si>
  <si>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</si>
  <si>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</si>
  <si>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</si>
  <si>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</si>
  <si>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</si>
  <si>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</si>
  <si>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</si>
  <si>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</si>
  <si>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</si>
  <si>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</si>
  <si>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</si>
  <si>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</si>
  <si>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</si>
  <si>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</si>
  <si>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</si>
  <si>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</si>
  <si>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</si>
  <si>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</si>
  <si>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</si>
  <si>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</si>
  <si>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</si>
  <si>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</si>
  <si>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</si>
  <si>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</si>
  <si>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</si>
  <si>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</si>
  <si>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</si>
  <si>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</si>
  <si>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</si>
  <si>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</si>
  <si>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</si>
  <si>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</si>
  <si>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</si>
  <si>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</si>
  <si>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</si>
  <si>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</si>
  <si>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</si>
  <si>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</si>
  <si>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</si>
  <si>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</si>
  <si>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</si>
  <si>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</si>
  <si>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</si>
  <si>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</si>
  <si>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</si>
  <si>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</si>
  <si>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</si>
  <si>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</si>
  <si>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</si>
  <si>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</si>
  <si>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</si>
  <si>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</si>
  <si>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</si>
  <si>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</si>
  <si>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</si>
  <si>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</si>
  <si>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</si>
  <si>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</si>
  <si>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</si>
  <si>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</si>
  <si>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</si>
  <si>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</si>
  <si>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</si>
  <si>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</si>
  <si>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</si>
  <si>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</si>
  <si>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</si>
  <si>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</si>
  <si>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</si>
  <si>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</si>
  <si>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</si>
  <si>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</si>
  <si>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</si>
  <si>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</si>
  <si>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</si>
  <si>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</si>
  <si>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</si>
  <si>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</si>
  <si>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</si>
  <si>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</si>
  <si>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</si>
  <si>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</si>
  <si>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</si>
  <si>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</si>
  <si>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</si>
  <si>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</si>
  <si>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</si>
  <si>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</si>
  <si>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</si>
  <si>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</si>
  <si>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</si>
  <si>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</si>
  <si>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</si>
  <si>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</si>
  <si>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</si>
  <si>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</si>
  <si>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</si>
  <si>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</si>
  <si>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</si>
  <si>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</si>
  <si>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</si>
  <si>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</si>
  <si>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</si>
  <si>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</si>
  <si>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</si>
  <si>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</si>
  <si>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</si>
  <si>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</si>
  <si>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</si>
  <si>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</si>
  <si>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</si>
  <si>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</si>
  <si>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</si>
  <si>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</si>
  <si>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</si>
  <si>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</si>
  <si>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</si>
  <si>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</si>
  <si>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</si>
  <si>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</si>
  <si>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</si>
  <si>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</si>
  <si>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</si>
  <si>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</si>
  <si>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</si>
  <si>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</si>
  <si>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</si>
  <si>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</si>
  <si>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</si>
  <si>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</si>
  <si>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</si>
  <si>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</si>
  <si>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</si>
  <si>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</si>
  <si>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</si>
  <si>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</si>
  <si>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</si>
  <si>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</si>
  <si>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</si>
  <si>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</si>
  <si>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</si>
  <si>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</si>
  <si>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</si>
  <si>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</si>
  <si>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</si>
  <si>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</si>
  <si>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</si>
  <si>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</si>
  <si>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</si>
  <si>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</si>
  <si>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</si>
  <si>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</si>
  <si>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</si>
  <si>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</si>
  <si>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</si>
  <si>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</si>
  <si>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</si>
  <si>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</si>
  <si>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</si>
  <si>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</si>
  <si>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</si>
  <si>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</si>
  <si>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</si>
  <si>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</si>
  <si>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</si>
  <si>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</si>
  <si>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</si>
  <si>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</si>
  <si>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</si>
  <si>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</si>
  <si>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</si>
  <si>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</si>
  <si>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</si>
  <si>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</si>
  <si>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</si>
  <si>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</si>
  <si>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</si>
  <si>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</si>
  <si>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</si>
  <si>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</si>
  <si>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</si>
  <si>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</si>
  <si>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</si>
  <si>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</si>
  <si>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</si>
  <si>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</si>
  <si>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</si>
  <si>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</si>
  <si>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</si>
  <si>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</si>
  <si>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</si>
  <si>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</si>
  <si>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</si>
  <si>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</si>
  <si>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</si>
  <si>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</si>
  <si>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</si>
  <si>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</si>
  <si>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</si>
  <si>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</si>
  <si>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</si>
  <si>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</si>
  <si>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</si>
  <si>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</si>
  <si>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</si>
  <si>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</si>
  <si>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</si>
  <si>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</si>
  <si>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</si>
  <si>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</si>
  <si>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</si>
  <si>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</si>
  <si>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</si>
  <si>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</si>
  <si>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</si>
  <si>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</si>
  <si>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</si>
  <si>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</si>
  <si>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</si>
  <si>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</si>
  <si>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</si>
  <si>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</si>
  <si>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</si>
  <si>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</si>
  <si>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</si>
  <si>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</si>
  <si>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</si>
  <si>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</si>
  <si>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</si>
  <si>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</si>
  <si>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</si>
  <si>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</si>
  <si>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</si>
  <si>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</si>
  <si>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</si>
  <si>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</si>
  <si>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</si>
  <si>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</si>
  <si>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</si>
  <si>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</si>
  <si>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</si>
  <si>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</si>
  <si>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</si>
  <si>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</si>
  <si>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</si>
  <si>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</si>
  <si>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</si>
  <si>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</si>
  <si>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</si>
  <si>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</si>
  <si>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</si>
  <si>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</si>
  <si>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</si>
  <si>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</si>
  <si>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</si>
  <si>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</si>
  <si>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</si>
  <si>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</si>
  <si>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</si>
  <si>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</si>
  <si>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</si>
  <si>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</si>
  <si>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</si>
  <si>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</si>
  <si>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</si>
  <si>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</si>
  <si>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</si>
  <si>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</si>
  <si>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</si>
  <si>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</si>
  <si>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</si>
  <si>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</si>
  <si>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</si>
  <si>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</si>
  <si>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</si>
  <si>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</si>
  <si>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</si>
  <si>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</si>
  <si>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</si>
  <si>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</si>
  <si>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</si>
  <si>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</si>
  <si>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</si>
  <si>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</si>
  <si>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</si>
  <si>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</si>
  <si>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</si>
  <si>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</si>
  <si>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</si>
  <si>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</si>
  <si>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</si>
  <si>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</si>
  <si>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</si>
  <si>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</si>
  <si>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</si>
  <si>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</si>
  <si>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</si>
  <si>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</si>
  <si>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</si>
  <si>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</si>
  <si>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</si>
  <si>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</si>
  <si>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</si>
  <si>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</si>
  <si>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</si>
  <si>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</si>
  <si>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</si>
  <si>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</si>
  <si>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</si>
  <si>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</si>
  <si>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</si>
  <si>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</si>
  <si>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</si>
  <si>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</si>
  <si>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</si>
  <si>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</si>
  <si>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</si>
  <si>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</si>
  <si>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</si>
  <si>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</si>
  <si>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</si>
  <si>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</si>
  <si>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</si>
  <si>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</si>
  <si>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</si>
  <si>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</si>
  <si>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</si>
  <si>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</si>
  <si>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</si>
  <si>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</si>
  <si>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</si>
  <si>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</si>
  <si>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</si>
  <si>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</si>
  <si>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</si>
  <si>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</si>
  <si>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</si>
  <si>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</si>
  <si>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</si>
  <si>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</si>
  <si>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</si>
  <si>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</si>
  <si>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</si>
  <si>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</si>
  <si>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</si>
  <si>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</si>
  <si>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</si>
  <si>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</si>
  <si>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</si>
  <si>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</si>
  <si>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</si>
  <si>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</si>
  <si>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</si>
  <si>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</si>
  <si>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</si>
  <si>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</si>
  <si>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</si>
  <si>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</si>
  <si>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</si>
  <si>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</si>
  <si>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</si>
  <si>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</si>
  <si>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</si>
  <si>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</si>
  <si>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</si>
  <si>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</si>
  <si>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</si>
  <si>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</si>
  <si>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</si>
  <si>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</si>
  <si>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</si>
  <si>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</si>
  <si>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</si>
  <si>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</si>
  <si>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</si>
  <si>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</si>
  <si>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</si>
  <si>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</si>
  <si>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</si>
  <si>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</si>
  <si>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</si>
  <si>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</si>
  <si>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</si>
  <si>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</si>
  <si>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</si>
  <si>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</si>
  <si>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</si>
  <si>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</si>
  <si>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</si>
  <si>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</si>
  <si>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</si>
  <si>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</si>
  <si>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</si>
  <si>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</si>
  <si>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</si>
  <si>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</si>
  <si>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</si>
  <si>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</si>
  <si>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</si>
  <si>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</si>
  <si>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</si>
  <si>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</si>
  <si>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</si>
  <si>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</si>
  <si>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</si>
  <si>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</si>
  <si>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</si>
  <si>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</si>
  <si>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</si>
  <si>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</si>
  <si>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</si>
  <si>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</si>
  <si>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</si>
  <si>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</si>
  <si>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</si>
  <si>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</si>
  <si>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</si>
  <si>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</si>
  <si>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</si>
  <si>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</si>
  <si>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</si>
  <si>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</si>
  <si>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</si>
  <si>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</si>
  <si>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</si>
  <si>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</si>
  <si>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</si>
  <si>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</si>
  <si>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</si>
  <si>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</si>
  <si>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</si>
  <si>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</si>
  <si>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</si>
  <si>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</si>
  <si>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</si>
  <si>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</si>
  <si>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</si>
  <si>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</si>
  <si>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</si>
  <si>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</si>
  <si>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</si>
  <si>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</si>
  <si>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</si>
  <si>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</si>
  <si>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</si>
  <si>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</si>
  <si>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</si>
  <si>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</si>
  <si>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</si>
  <si>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</si>
  <si>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</si>
  <si>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</si>
  <si>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</si>
  <si>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</si>
  <si>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</si>
  <si>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</si>
  <si>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</si>
  <si>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</si>
  <si>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</si>
  <si>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</si>
  <si>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</si>
  <si>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</si>
  <si>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</si>
  <si>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</si>
  <si>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</si>
  <si>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</si>
  <si>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</si>
  <si>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</si>
  <si>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</si>
  <si>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</si>
  <si>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</si>
  <si>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</si>
  <si>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</si>
  <si>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</si>
  <si>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</si>
  <si>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</si>
  <si>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</si>
  <si>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</si>
  <si>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</si>
  <si>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</si>
  <si>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</si>
  <si>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</si>
  <si>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</si>
  <si>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</si>
  <si>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</si>
  <si>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</si>
  <si>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</si>
  <si>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</si>
  <si>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</si>
  <si>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</si>
  <si>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</si>
  <si>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</si>
  <si>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</si>
  <si>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</si>
  <si>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</si>
  <si>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</si>
  <si>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</si>
  <si>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</si>
  <si>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</si>
  <si>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</si>
  <si>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</si>
  <si>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</si>
  <si>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</si>
  <si>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</si>
  <si>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</si>
  <si>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</si>
  <si>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</si>
  <si>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</si>
  <si>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</si>
  <si>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</si>
  <si>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</si>
  <si>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</si>
  <si>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</si>
  <si>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</si>
  <si>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</si>
  <si>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</si>
  <si>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</si>
  <si>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</si>
  <si>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</si>
  <si>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</si>
  <si>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</si>
  <si>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</si>
  <si>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</si>
  <si>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</si>
  <si>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</si>
  <si>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</si>
  <si>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</si>
  <si>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</si>
  <si>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</si>
  <si>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</si>
  <si>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</si>
  <si>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</si>
  <si>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</si>
  <si>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</si>
  <si>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</si>
  <si>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</si>
  <si>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</si>
  <si>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</si>
  <si>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</si>
  <si>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</si>
  <si>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</si>
  <si>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</si>
  <si>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</si>
  <si>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</si>
  <si>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</si>
  <si>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</si>
  <si>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</si>
  <si>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</si>
  <si>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</si>
  <si>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</si>
  <si>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</si>
  <si>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</si>
  <si>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</si>
  <si>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</si>
  <si>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</si>
  <si>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</si>
  <si>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</si>
  <si>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</si>
  <si>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</si>
  <si>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</si>
  <si>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</si>
  <si>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</si>
  <si>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</si>
  <si>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</si>
  <si>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</si>
  <si>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</si>
  <si>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</si>
  <si>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</si>
  <si>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</si>
  <si>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</si>
  <si>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</si>
  <si>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</si>
  <si>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</si>
  <si>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</si>
  <si>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</si>
  <si>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</si>
  <si>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</si>
  <si>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</si>
  <si>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</si>
  <si>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</si>
  <si>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</si>
  <si>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</si>
  <si>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</si>
  <si>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</si>
  <si>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</si>
  <si>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</si>
  <si>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</si>
  <si>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</si>
  <si>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</si>
  <si>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</si>
  <si>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</si>
  <si>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</si>
  <si>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</si>
  <si>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</si>
  <si>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</si>
  <si>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</si>
  <si>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</si>
  <si>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</si>
  <si>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</si>
  <si>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</si>
  <si>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</si>
  <si>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</si>
  <si>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</si>
  <si>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</si>
  <si>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</si>
  <si>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</si>
  <si>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</si>
  <si>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</si>
  <si>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</si>
  <si>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</si>
  <si>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</si>
  <si>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</si>
  <si>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</si>
  <si>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</si>
  <si>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</si>
  <si>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</si>
  <si>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</si>
  <si>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</si>
  <si>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</si>
  <si>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</si>
  <si>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</si>
  <si>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</si>
  <si>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</si>
  <si>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</si>
  <si>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</si>
  <si>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</si>
  <si>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</si>
  <si>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</si>
  <si>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</si>
  <si>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</si>
  <si>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</si>
  <si>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</si>
  <si>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</si>
  <si>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</si>
  <si>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</si>
  <si>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</si>
  <si>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</si>
  <si>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</si>
  <si>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</si>
  <si>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</si>
  <si>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</si>
  <si>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</si>
  <si>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</si>
  <si>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</si>
  <si>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</si>
  <si>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</si>
  <si>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</si>
  <si>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</si>
  <si>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</si>
  <si>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</si>
  <si>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</si>
  <si>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</si>
  <si>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</si>
  <si>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</si>
  <si>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</si>
  <si>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</si>
  <si>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</si>
  <si>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</si>
  <si>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</si>
  <si>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</si>
  <si>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</si>
  <si>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</si>
  <si>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</si>
  <si>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</si>
  <si>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</si>
  <si>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</si>
  <si>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</si>
  <si>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</si>
  <si>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</si>
  <si>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</si>
  <si>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</si>
  <si>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</si>
  <si>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</si>
  <si>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</si>
  <si>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</si>
  <si>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</si>
  <si>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</si>
  <si>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</si>
  <si>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</si>
  <si>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</si>
  <si>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</si>
  <si>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</si>
  <si>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</si>
  <si>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</si>
  <si>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</si>
  <si>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</si>
  <si>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</si>
  <si>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</si>
  <si>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</si>
  <si>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</si>
  <si>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</si>
  <si>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</si>
  <si>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</si>
  <si>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</si>
  <si>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</si>
  <si>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</si>
  <si>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</si>
  <si>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</si>
  <si>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</si>
  <si>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</si>
  <si>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</si>
  <si>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</si>
  <si>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</si>
  <si>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</si>
  <si>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</si>
  <si>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</si>
  <si>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</si>
  <si>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</si>
  <si>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</si>
  <si>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</si>
  <si>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</si>
  <si>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</si>
  <si>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</si>
  <si>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</si>
  <si>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</si>
  <si>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</si>
  <si>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</si>
  <si>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</si>
  <si>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</si>
  <si>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</si>
  <si>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</si>
  <si>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</si>
  <si>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</si>
  <si>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</si>
  <si>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</si>
  <si>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</si>
  <si>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</si>
  <si>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</si>
  <si>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</si>
  <si>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</si>
  <si>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</si>
  <si>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</si>
  <si>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</si>
  <si>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</si>
  <si>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</si>
  <si>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</si>
  <si>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</si>
  <si>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</si>
  <si>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</si>
  <si>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</si>
  <si>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</si>
  <si>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</si>
  <si>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</si>
  <si>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</si>
  <si>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</si>
  <si>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</si>
  <si>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</si>
  <si>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</si>
  <si>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</si>
  <si>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</si>
  <si>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</si>
  <si>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</si>
  <si>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</si>
  <si>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</si>
  <si>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</si>
  <si>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</si>
  <si>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</si>
  <si>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</si>
  <si>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</si>
  <si>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</si>
  <si>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</si>
  <si>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</si>
  <si>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</si>
  <si>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</si>
  <si>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</si>
  <si>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</si>
  <si>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</si>
  <si>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</si>
  <si>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</si>
  <si>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</si>
  <si>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</si>
  <si>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</si>
  <si>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</si>
  <si>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</si>
  <si>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</si>
  <si>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</si>
  <si>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</si>
  <si>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</si>
  <si>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</si>
  <si>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</si>
  <si>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</si>
  <si>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</si>
  <si>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</si>
  <si>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</si>
  <si>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</si>
  <si>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</si>
  <si>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</si>
  <si>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</si>
  <si>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</si>
  <si>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</si>
  <si>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</si>
  <si>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</si>
  <si>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</si>
  <si>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</si>
  <si>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</si>
  <si>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</si>
  <si>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</si>
  <si>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</si>
  <si>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</si>
  <si>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</si>
  <si>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</si>
  <si>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</si>
  <si>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</si>
  <si>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</si>
  <si>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</si>
  <si>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</si>
  <si>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</si>
  <si>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</si>
  <si>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</si>
  <si>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</si>
  <si>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</si>
  <si>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</si>
  <si>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</si>
  <si>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</si>
  <si>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</si>
  <si>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</si>
  <si>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</si>
  <si>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</si>
  <si>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</si>
  <si>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</si>
  <si>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</si>
  <si>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</si>
  <si>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</si>
  <si>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</si>
  <si>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</si>
  <si>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</si>
  <si>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</si>
  <si>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</si>
  <si>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</si>
  <si>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</si>
  <si>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</si>
  <si>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</si>
  <si>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</si>
  <si>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</si>
  <si>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</si>
  <si>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</si>
  <si>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</si>
  <si>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</si>
  <si>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</si>
  <si>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</si>
  <si>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</si>
  <si>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</si>
  <si>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</si>
  <si>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</si>
  <si>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</si>
  <si>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</si>
  <si>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</si>
  <si>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</si>
  <si>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</si>
  <si>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</si>
  <si>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</si>
  <si>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</si>
  <si>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</si>
  <si>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</si>
  <si>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</si>
  <si>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</si>
  <si>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</si>
  <si>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</si>
  <si>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</si>
  <si>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</si>
  <si>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</si>
  <si>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</si>
  <si>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</si>
  <si>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</si>
  <si>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</si>
  <si>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</si>
  <si>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</si>
  <si>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</si>
  <si>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</si>
  <si>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</si>
  <si>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</si>
  <si>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</si>
  <si>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</si>
  <si>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</si>
  <si>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</si>
  <si>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</si>
  <si>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</si>
  <si>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</si>
  <si>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</si>
  <si>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</si>
  <si>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</si>
  <si>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</si>
  <si>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</si>
  <si>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</si>
  <si>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</si>
  <si>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</si>
  <si>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</si>
  <si>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</si>
  <si>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</si>
  <si>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</si>
  <si>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</si>
  <si>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</si>
  <si>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</si>
  <si>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</si>
  <si>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</si>
  <si>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</si>
  <si>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</si>
  <si>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</si>
  <si>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</si>
  <si>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</si>
  <si>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</si>
  <si>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</si>
  <si>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</si>
  <si>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</si>
  <si>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</si>
  <si>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</si>
  <si>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</si>
  <si>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</si>
  <si>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</si>
  <si>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</si>
  <si>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</si>
  <si>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</si>
  <si>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</si>
  <si>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</si>
  <si>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</si>
  <si>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</si>
  <si>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</si>
  <si>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</si>
  <si>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</si>
  <si>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</si>
  <si>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</si>
  <si>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</si>
  <si>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</si>
  <si>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</si>
  <si>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</si>
  <si>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</si>
  <si>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</si>
  <si>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</si>
  <si>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</si>
  <si>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</si>
  <si>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</si>
  <si>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</si>
  <si>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</si>
  <si>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</si>
  <si>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</si>
  <si>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</si>
  <si>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</si>
  <si>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</si>
  <si>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</si>
  <si>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</si>
  <si>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</si>
  <si>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</si>
  <si>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</si>
  <si>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</si>
  <si>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</si>
  <si>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</si>
  <si>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</si>
  <si>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</si>
  <si>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</si>
  <si>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</si>
  <si>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</si>
  <si>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</si>
  <si>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</si>
  <si>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</si>
  <si>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</si>
  <si>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</si>
  <si>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</si>
  <si>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</si>
  <si>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</si>
  <si>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</si>
  <si>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</si>
  <si>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</si>
  <si>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</si>
  <si>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</si>
  <si>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</si>
  <si>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</si>
  <si>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</si>
  <si>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</si>
  <si>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</si>
  <si>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</si>
  <si>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</si>
  <si>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</si>
  <si>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</si>
  <si>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</si>
  <si>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</si>
  <si>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</si>
  <si>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</si>
  <si>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</si>
  <si>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</si>
  <si>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</si>
  <si>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</si>
  <si>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</si>
  <si>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</si>
  <si>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</si>
  <si>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</si>
  <si>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</si>
  <si>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</si>
  <si>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</si>
  <si>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</si>
  <si>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</si>
  <si>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</si>
  <si>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</si>
  <si>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</si>
  <si>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</si>
  <si>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</si>
  <si>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</si>
  <si>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</si>
  <si>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</si>
  <si>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</si>
  <si>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</si>
  <si>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</si>
  <si>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</si>
  <si>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</si>
  <si>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</si>
  <si>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</si>
  <si>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</si>
  <si>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</si>
  <si>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</si>
  <si>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</si>
  <si>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</si>
  <si>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</si>
  <si>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</si>
  <si>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</si>
  <si>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</si>
  <si>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</si>
  <si>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</si>
  <si>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</si>
  <si>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</si>
  <si>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</si>
  <si>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</si>
  <si>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</si>
  <si>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</si>
  <si>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</si>
  <si>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</si>
  <si>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</si>
  <si>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</si>
  <si>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</si>
  <si>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</si>
  <si>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</si>
  <si>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</si>
  <si>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</si>
  <si>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</si>
  <si>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</si>
  <si>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</si>
  <si>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</si>
  <si>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</si>
  <si>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</si>
  <si>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</si>
  <si>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</si>
  <si>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</si>
  <si>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</si>
  <si>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</si>
  <si>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</si>
  <si>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</si>
  <si>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</si>
  <si>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</si>
  <si>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</si>
  <si>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</si>
  <si>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</si>
  <si>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</si>
  <si>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</si>
  <si>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</si>
  <si>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</si>
  <si>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</si>
  <si>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</si>
  <si>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</si>
  <si>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</si>
  <si>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</si>
  <si>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</si>
  <si>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</si>
  <si>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</si>
  <si>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</si>
  <si>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</si>
  <si>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</si>
  <si>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</si>
  <si>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</si>
  <si>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</si>
  <si>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</si>
  <si>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</si>
  <si>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</si>
  <si>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</si>
  <si>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</si>
  <si>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</si>
  <si>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</si>
  <si>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</si>
  <si>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</si>
  <si>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</si>
  <si>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</si>
  <si>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</si>
  <si>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</si>
  <si>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</si>
  <si>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</si>
  <si>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</si>
  <si>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</si>
  <si>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</si>
  <si>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</si>
  <si>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</si>
  <si>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</si>
  <si>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</si>
  <si>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</si>
  <si>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</si>
  <si>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</si>
  <si>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</si>
  <si>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</si>
  <si>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</si>
  <si>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</si>
  <si>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</si>
  <si>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</si>
  <si>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</si>
  <si>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</si>
  <si>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</si>
  <si>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</si>
  <si>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</si>
  <si>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</si>
  <si>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</si>
  <si>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</si>
  <si>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</si>
  <si>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</si>
  <si>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</si>
  <si>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</si>
  <si>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</si>
  <si>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</si>
  <si>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</si>
  <si>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</si>
  <si>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</si>
  <si>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</si>
  <si>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</si>
  <si>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</si>
  <si>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</si>
  <si>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</si>
  <si>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</si>
  <si>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</si>
  <si>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</si>
  <si>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</si>
  <si>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</si>
  <si>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</si>
  <si>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</si>
  <si>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</si>
  <si>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</si>
  <si>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</si>
  <si>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</si>
  <si>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</si>
  <si>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</si>
  <si>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</si>
  <si>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</si>
  <si>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</si>
  <si>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</si>
  <si>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</si>
  <si>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</si>
  <si>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</si>
  <si>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</si>
  <si>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</si>
  <si>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</si>
  <si>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</si>
  <si>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</si>
  <si>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</si>
  <si>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</si>
  <si>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</si>
  <si>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</si>
  <si>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</si>
  <si>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</si>
  <si>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</si>
  <si>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</si>
  <si>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</si>
  <si>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</si>
  <si>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</si>
  <si>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</si>
  <si>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</si>
  <si>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</si>
  <si>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</si>
  <si>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</si>
  <si>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</si>
  <si>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</si>
  <si>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</si>
  <si>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</si>
  <si>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</si>
  <si>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</si>
  <si>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</si>
  <si>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</si>
  <si>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</si>
  <si>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</si>
  <si>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</si>
  <si>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</si>
  <si>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</si>
  <si>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</si>
  <si>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</si>
  <si>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</si>
  <si>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</si>
  <si>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</si>
  <si>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</si>
  <si>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</si>
  <si>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</si>
  <si>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</si>
  <si>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</si>
  <si>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</si>
  <si>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</si>
  <si>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</si>
  <si>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</si>
  <si>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</si>
  <si>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</si>
  <si>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</si>
  <si>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</si>
  <si>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</si>
  <si>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</si>
  <si>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</si>
  <si>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</si>
  <si>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</si>
  <si>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</si>
  <si>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</si>
  <si>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</si>
  <si>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</si>
  <si>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</si>
  <si>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</si>
  <si>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</si>
  <si>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</si>
  <si>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</si>
  <si>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</si>
  <si>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</si>
  <si>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</si>
  <si>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</si>
  <si>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</si>
  <si>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</si>
  <si>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</si>
  <si>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</si>
  <si>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</si>
  <si>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</si>
  <si>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</si>
  <si>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</si>
  <si>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</si>
  <si>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</si>
  <si>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</si>
  <si>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</si>
  <si>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</si>
  <si>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</si>
  <si>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</si>
  <si>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</si>
  <si>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</si>
  <si>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</si>
  <si>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</si>
  <si>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</si>
  <si>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</si>
  <si>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</si>
  <si>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</si>
  <si>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</si>
  <si>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</si>
  <si>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</si>
  <si>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</si>
  <si>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</si>
  <si>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</si>
  <si>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</si>
  <si>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</si>
  <si>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</si>
  <si>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</si>
  <si>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</si>
  <si>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</si>
  <si>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</si>
  <si>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</si>
  <si>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</si>
  <si>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</si>
  <si>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</si>
  <si>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</si>
  <si>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</si>
  <si>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</si>
  <si>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</si>
  <si>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</si>
  <si>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</si>
  <si>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</si>
  <si>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</si>
  <si>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</si>
  <si>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</si>
  <si>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</si>
  <si>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</si>
  <si>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</si>
  <si>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</si>
  <si>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</si>
  <si>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</si>
  <si>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</si>
  <si>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</si>
  <si>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</si>
  <si>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</si>
  <si>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</si>
  <si>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</si>
  <si>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</si>
  <si>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</si>
  <si>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</si>
  <si>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</si>
  <si>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</si>
  <si>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</si>
  <si>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</si>
  <si>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</si>
  <si>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</si>
  <si>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</si>
  <si>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</si>
  <si>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</si>
  <si>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</si>
  <si>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</si>
  <si>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</si>
  <si>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</si>
  <si>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</si>
  <si>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</si>
  <si>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</si>
  <si>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</si>
  <si>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</si>
  <si>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</si>
  <si>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</si>
  <si>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</si>
  <si>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</si>
  <si>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</si>
  <si>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</si>
  <si>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</si>
  <si>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</si>
  <si>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</si>
  <si>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</si>
  <si>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</si>
  <si>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</si>
  <si>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</si>
  <si>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</si>
  <si>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</si>
  <si>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</si>
  <si>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</si>
  <si>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</si>
  <si>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</si>
  <si>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</si>
  <si>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</si>
  <si>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</si>
  <si>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</si>
  <si>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</si>
  <si>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</si>
  <si>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</si>
  <si>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</si>
  <si>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</si>
  <si>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</si>
  <si>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</si>
  <si>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</si>
  <si>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</si>
  <si>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</si>
  <si>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</si>
  <si>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</si>
  <si>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</si>
  <si>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</si>
  <si>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</si>
  <si>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</si>
  <si>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</si>
  <si>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</si>
  <si>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</si>
  <si>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</si>
  <si>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</si>
  <si>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</si>
  <si>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</si>
  <si>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</si>
  <si>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</si>
  <si>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</si>
  <si>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</si>
  <si>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</si>
  <si>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</si>
  <si>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</si>
  <si>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</si>
  <si>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</si>
  <si>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</si>
  <si>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</si>
  <si>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</si>
  <si>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</si>
  <si>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</si>
  <si>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</si>
  <si>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</si>
  <si>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</si>
  <si>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</si>
  <si>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</si>
  <si>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</si>
  <si>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</si>
  <si>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</si>
  <si>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</si>
  <si>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</si>
  <si>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</si>
  <si>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</si>
  <si>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</si>
  <si>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</si>
  <si>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</si>
  <si>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</si>
  <si>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</si>
  <si>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</si>
  <si>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</si>
  <si>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</si>
  <si>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</si>
  <si>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</si>
  <si>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</si>
  <si>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</si>
  <si>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</si>
  <si>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</si>
  <si>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</si>
  <si>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</si>
  <si>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</si>
  <si>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</si>
  <si>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</si>
  <si>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</si>
  <si>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</si>
  <si>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</si>
  <si>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</si>
  <si>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</si>
  <si>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</si>
  <si>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</si>
  <si>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</si>
  <si>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</si>
  <si>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</si>
  <si>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</si>
  <si>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</si>
  <si>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</si>
  <si>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</si>
  <si>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</si>
  <si>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</si>
  <si>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</si>
  <si>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</si>
  <si>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</si>
  <si>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</si>
  <si>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</si>
  <si>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</si>
  <si>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</si>
  <si>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</si>
  <si>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</si>
  <si>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</si>
  <si>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</si>
  <si>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</si>
  <si>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</si>
  <si>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</si>
  <si>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</si>
  <si>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</si>
  <si>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</si>
  <si>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</si>
  <si>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</si>
  <si>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</si>
  <si>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</si>
  <si>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</si>
  <si>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</si>
  <si>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</si>
  <si>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</si>
  <si>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</si>
  <si>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</si>
  <si>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</si>
  <si>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</si>
  <si>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</si>
  <si>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</si>
  <si>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</si>
  <si>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</si>
  <si>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</si>
  <si>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</si>
  <si>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</si>
  <si>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</si>
  <si>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</si>
  <si>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</si>
  <si>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</si>
  <si>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</si>
  <si>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</si>
  <si>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</si>
  <si>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</si>
  <si>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</si>
  <si>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</si>
  <si>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</si>
  <si>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</si>
  <si>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</si>
  <si>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</si>
  <si>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</si>
  <si>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</si>
  <si>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</si>
  <si>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</si>
  <si>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商业</t>
    <phoneticPr fontId="134" type="noConversion"/>
  </si>
  <si>
    <t>IV-通1</t>
    <phoneticPr fontId="134" type="noConversion"/>
  </si>
  <si>
    <t>Ⅳ-通1</t>
  </si>
  <si>
    <t>地上</t>
  </si>
  <si>
    <t>平层住宅</t>
  </si>
  <si>
    <t>抵押</t>
  </si>
  <si>
    <t>房地产市场价值</t>
  </si>
  <si>
    <t>北京市</t>
  </si>
  <si>
    <t>企业</t>
  </si>
  <si>
    <t>地下</t>
  </si>
  <si>
    <t>车库—办公</t>
  </si>
  <si>
    <t>商业</t>
    <phoneticPr fontId="7" type="noConversion"/>
  </si>
  <si>
    <t>仓储</t>
    <phoneticPr fontId="7" type="noConversion"/>
  </si>
  <si>
    <t>车库</t>
    <phoneticPr fontId="7" type="noConversion"/>
  </si>
  <si>
    <t>车库-办公</t>
    <phoneticPr fontId="7" type="noConversion"/>
  </si>
  <si>
    <t>估价对象位于北京城市副中心商务中心区，周边商业氛围较成熟，人流量较大，商业繁华度较好</t>
    <phoneticPr fontId="24" type="noConversion"/>
  </si>
  <si>
    <t>估价对象位于北京城市副中心商务中心区，周边办公楼项目较多，入驻率较高，办公集聚程度较好</t>
    <phoneticPr fontId="24" type="noConversion"/>
  </si>
  <si>
    <t>估价对象周边有316路、342路、582路、587路等多条公交线路及地铁6号线通州北关站，综合评价交通便捷度较好</t>
    <phoneticPr fontId="40" type="noConversion"/>
  </si>
  <si>
    <t>估价对象周边有北关清真寺、三教庙等人文景观，西海子公园、北运河水系等自然景观，综合评价环境状况较好。</t>
    <phoneticPr fontId="3" type="noConversion"/>
  </si>
  <si>
    <t>自定义容积率</t>
  </si>
  <si>
    <r>
      <rPr>
        <sz val="10"/>
        <rFont val="宋体"/>
        <family val="3"/>
        <charset val="134"/>
      </rPr>
      <t>直线</t>
    </r>
    <r>
      <rPr>
        <sz val="10"/>
        <rFont val="Arial"/>
        <family val="2"/>
      </rPr>
      <t>170</t>
    </r>
    <phoneticPr fontId="134" type="noConversion"/>
  </si>
  <si>
    <t>与级别开发程度一致</t>
  </si>
  <si>
    <t>较好</t>
  </si>
  <si>
    <t>好</t>
  </si>
  <si>
    <t>一般</t>
  </si>
  <si>
    <t>库房</t>
    <phoneticPr fontId="134" type="noConversion"/>
  </si>
  <si>
    <t>机械车位</t>
    <phoneticPr fontId="134" type="noConversion"/>
  </si>
  <si>
    <t>车位</t>
    <phoneticPr fontId="134" type="noConversion"/>
  </si>
  <si>
    <t>地下办公</t>
    <phoneticPr fontId="134" type="noConversion"/>
  </si>
  <si>
    <t>地下商业</t>
    <phoneticPr fontId="134" type="noConversion"/>
  </si>
  <si>
    <t>楼层修正</t>
  </si>
  <si>
    <t>不临65条商业街</t>
  </si>
  <si>
    <t>中心城区以外</t>
  </si>
  <si>
    <t>建筑面积</t>
  </si>
  <si>
    <t>1层</t>
  </si>
  <si>
    <t>2层</t>
  </si>
  <si>
    <t>3层</t>
  </si>
  <si>
    <t>4层</t>
  </si>
  <si>
    <t>地下商业</t>
    <phoneticPr fontId="7" type="noConversion"/>
  </si>
  <si>
    <t>成新度</t>
  </si>
  <si>
    <t>地下办公</t>
    <phoneticPr fontId="7" type="noConversion"/>
  </si>
  <si>
    <t>平均</t>
    <phoneticPr fontId="134" type="noConversion"/>
  </si>
  <si>
    <r>
      <t>新光大企业长租6</t>
    </r>
    <r>
      <rPr>
        <sz val="11"/>
        <color theme="1"/>
        <rFont val="宋体"/>
        <family val="3"/>
        <charset val="134"/>
        <scheme val="minor"/>
      </rPr>
      <t>75/月</t>
    </r>
    <phoneticPr fontId="134" type="noConversion"/>
  </si>
  <si>
    <t>商业租金</t>
    <phoneticPr fontId="134" type="noConversion"/>
  </si>
  <si>
    <t>楼层</t>
    <phoneticPr fontId="134" type="noConversion"/>
  </si>
  <si>
    <t>系数</t>
    <phoneticPr fontId="134" type="noConversion"/>
  </si>
  <si>
    <t>平均租金</t>
    <phoneticPr fontId="134" type="noConversion"/>
  </si>
  <si>
    <t>楼层系数</t>
    <phoneticPr fontId="134" type="noConversion"/>
  </si>
  <si>
    <t>用途系数</t>
    <phoneticPr fontId="134" type="noConversion"/>
  </si>
  <si>
    <t>机械车位</t>
  </si>
  <si>
    <t>个数</t>
    <phoneticPr fontId="134" type="noConversion"/>
  </si>
  <si>
    <t>地下仓储</t>
    <phoneticPr fontId="134" type="noConversion"/>
  </si>
  <si>
    <t>仓储</t>
    <phoneticPr fontId="134" type="noConversion"/>
  </si>
  <si>
    <t>未包含在土地购买价格中</t>
  </si>
  <si>
    <t>已包含在土地取得成本中</t>
  </si>
  <si>
    <t>地下办公</t>
  </si>
  <si>
    <t>地下商业</t>
  </si>
  <si>
    <t>车库-办公</t>
  </si>
  <si>
    <t>建面</t>
  </si>
  <si>
    <t>套数</t>
  </si>
  <si>
    <t>设备造价</t>
    <phoneticPr fontId="134" type="noConversion"/>
  </si>
  <si>
    <r>
      <rPr>
        <sz val="11"/>
        <color indexed="8"/>
        <rFont val="宋体"/>
        <family val="3"/>
        <charset val="134"/>
      </rPr>
      <t>机械车位用车库</t>
    </r>
    <r>
      <rPr>
        <sz val="11"/>
        <color indexed="8"/>
        <rFont val="Arial"/>
        <family val="2"/>
      </rPr>
      <t>-</t>
    </r>
    <r>
      <rPr>
        <sz val="11"/>
        <color indexed="8"/>
        <rFont val="宋体"/>
        <family val="3"/>
        <charset val="134"/>
      </rPr>
      <t>办公代</t>
    </r>
    <phoneticPr fontId="3" type="noConversion"/>
  </si>
  <si>
    <t>收益法 (元)地上商业</t>
  </si>
  <si>
    <t>收益法 (元)地上商业</t>
    <phoneticPr fontId="16" type="noConversion"/>
  </si>
  <si>
    <t>收益法 (元) 地下商业</t>
  </si>
  <si>
    <t>收益法 (元) 地下商业</t>
    <phoneticPr fontId="16" type="noConversion"/>
  </si>
  <si>
    <t>收益法 (元) 地下办公</t>
  </si>
  <si>
    <t>收益法 (元) 地下办公</t>
    <phoneticPr fontId="16" type="noConversion"/>
  </si>
  <si>
    <t>收益法 (元)机械车位</t>
  </si>
  <si>
    <t>收益法 (元)机械车位</t>
    <phoneticPr fontId="16" type="noConversion"/>
  </si>
  <si>
    <t>收益法 (元)车位</t>
  </si>
  <si>
    <t>收益法 (元)车位</t>
    <phoneticPr fontId="16" type="noConversion"/>
  </si>
  <si>
    <t>收益法（元）仓储</t>
  </si>
  <si>
    <t>收益法（元）仓储</t>
    <phoneticPr fontId="16" type="noConversion"/>
  </si>
  <si>
    <t>押一</t>
  </si>
  <si>
    <t>钢混</t>
  </si>
  <si>
    <t>非生产用房</t>
  </si>
  <si>
    <t>否</t>
  </si>
  <si>
    <t>成本法</t>
    <phoneticPr fontId="134" type="noConversion"/>
  </si>
  <si>
    <t>收益法</t>
    <phoneticPr fontId="134" type="noConversion"/>
  </si>
  <si>
    <t>权重</t>
    <phoneticPr fontId="134" type="noConversion"/>
  </si>
  <si>
    <t>建筑面积</t>
    <phoneticPr fontId="134" type="noConversion"/>
  </si>
  <si>
    <t>地上商业</t>
    <phoneticPr fontId="134" type="noConversion"/>
  </si>
  <si>
    <t>总价（万元）</t>
    <phoneticPr fontId="134" type="noConversion"/>
  </si>
  <si>
    <t>北京东湾</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</si>
  <si>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</si>
  <si>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</si>
  <si>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</si>
  <si>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</si>
  <si>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</si>
  <si>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</si>
  <si>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</si>
  <si>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</si>
  <si>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</si>
  <si>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</si>
  <si>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</si>
  <si>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</si>
  <si>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</si>
  <si>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</si>
  <si>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</si>
  <si>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6#</t>
  </si>
  <si>
    <t>B2063</t>
  </si>
  <si>
    <t>京(2022)通不动产权第0028720号</t>
  </si>
  <si>
    <t>车库/车位</t>
  </si>
  <si>
    <t>其他</t>
  </si>
  <si>
    <t>8号楼</t>
  </si>
  <si>
    <t>B204</t>
  </si>
  <si>
    <t>现：京(2022)通不动产权第0028713号</t>
  </si>
  <si>
    <t>10号楼</t>
  </si>
  <si>
    <t>现：京(2022)通不动产权第0028714号</t>
  </si>
  <si>
    <t>3号楼</t>
  </si>
  <si>
    <t>B216</t>
  </si>
  <si>
    <t>现：京(2022)通不动产权第0028717号</t>
  </si>
  <si>
    <t>市调</t>
    <phoneticPr fontId="134" type="noConversion"/>
  </si>
  <si>
    <t>华业·新北京中心</t>
    <phoneticPr fontId="134" type="noConversion"/>
  </si>
  <si>
    <t>1#</t>
  </si>
  <si>
    <t>京(2018)通不动产权第0058486号</t>
  </si>
  <si>
    <t>通州富力中心</t>
    <phoneticPr fontId="134" type="noConversion"/>
  </si>
  <si>
    <t>B1064</t>
  </si>
  <si>
    <t>京(2020)通不动产权第0022323号</t>
  </si>
  <si>
    <t>B1061</t>
  </si>
  <si>
    <t>B1065</t>
  </si>
  <si>
    <t>永泰嘉园</t>
    <phoneticPr fontId="134" type="noConversion"/>
  </si>
  <si>
    <t>4、6#地下车库</t>
  </si>
  <si>
    <t>X京房权证顺字第295828号</t>
  </si>
  <si>
    <t>禹洲朗廷湾</t>
    <phoneticPr fontId="134" type="noConversion"/>
  </si>
  <si>
    <t>B1001至B1134号、B10001至B10450号</t>
  </si>
  <si>
    <t>B10133</t>
  </si>
  <si>
    <t>现：京(2023)通不动产权第0019539号</t>
  </si>
  <si>
    <t>B10238</t>
  </si>
  <si>
    <t>23号楼</t>
  </si>
  <si>
    <t>23-1</t>
  </si>
  <si>
    <t>现：京(2023)通不动产权第0012009号</t>
  </si>
  <si>
    <t>万元/个</t>
    <phoneticPr fontId="134" type="noConversion"/>
  </si>
  <si>
    <t>国用建设用地使用权价值</t>
    <phoneticPr fontId="134" type="noConversion"/>
  </si>
  <si>
    <t>比例</t>
    <phoneticPr fontId="134" type="noConversion"/>
  </si>
  <si>
    <t>建筑物价值</t>
    <phoneticPr fontId="134" type="noConversion"/>
  </si>
  <si>
    <t>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</si>
</sst>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name val="Arial"/>
      <family val="3"/>
      <charset val="134"/>
    </font>
    <font>
      <sz val="11"/>
      <color rgb="FF00000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6" borderId="64" xfId="0" applyFont="1" applyFill="1" applyBorder="1" applyAlignment="1" applyProtection="1">
      <alignment horizontal="left" vertical="center" wrapText="1"/>
      <protection locked="0"/>
    </xf>
    <xf numFmtId="0" fontId="0" fillId="0" borderId="0" xfId="0" applyAlignment="1">
      <alignment horizontal="center" vertical="center"/>
    </xf>
    <xf numFmtId="0" fontId="272" fillId="0" borderId="0" xfId="0" applyFont="1" applyAlignment="1">
      <alignment horizontal="center" vertical="center"/>
    </xf>
    <xf numFmtId="0" fontId="273" fillId="12" borderId="0" xfId="0" applyFont="1" applyFill="1" applyProtection="1">
      <alignment vertical="center"/>
      <protection locked="0"/>
    </xf>
    <xf numFmtId="0" fontId="95" fillId="0" borderId="1" xfId="0" applyFont="1" applyBorder="1" applyAlignment="1">
      <alignment horizontal="center" vertical="center"/>
    </xf>
    <xf numFmtId="0" fontId="0" fillId="0" borderId="1" xfId="0" applyBorder="1" applyAlignment="1">
      <alignment horizontal="center" vertical="center"/>
    </xf>
    <xf numFmtId="9" fontId="0" fillId="0" borderId="1" xfId="17" applyFont="1" applyBorder="1" applyAlignment="1">
      <alignment horizontal="center" vertical="center"/>
    </xf>
    <xf numFmtId="0" fontId="95" fillId="0" borderId="0" xfId="1" applyAlignment="1"/>
    <xf numFmtId="14" fontId="95" fillId="0" borderId="0" xfId="1" applyNumberFormat="1" applyAlignment="1"/>
    <xf numFmtId="181" fontId="0" fillId="0" borderId="1" xfId="17" applyNumberFormat="1" applyFont="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5" fillId="0" borderId="1" xfId="0" applyFont="1" applyBorder="1" applyAlignment="1">
      <alignment horizontal="center" vertical="center"/>
    </xf>
    <xf numFmtId="0" fontId="0" fillId="0" borderId="1" xfId="0"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0" applyFont="1" applyAlignment="1">
      <alignment horizontal="center" vertical="center" wrapText="1"/>
    </xf>
    <xf numFmtId="0" fontId="0" fillId="0" borderId="0" xfId="0"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47624</xdr:colOff>
      <xdr:row>1</xdr:row>
      <xdr:rowOff>88459</xdr:rowOff>
    </xdr:from>
    <xdr:to>
      <xdr:col>15</xdr:col>
      <xdr:colOff>365499</xdr:colOff>
      <xdr:row>53</xdr:row>
      <xdr:rowOff>47625</xdr:rowOff>
    </xdr:to>
    <xdr:pic>
      <xdr:nvPicPr>
        <xdr:cNvPr id="2" name="图片 1">
          <a:extLst>
            <a:ext uri="{FF2B5EF4-FFF2-40B4-BE49-F238E27FC236}">
              <a16:creationId xmlns:a16="http://schemas.microsoft.com/office/drawing/2014/main" id="{865CB3EB-7BC3-E0C8-DBE7-61302E956C05}"/>
            </a:ext>
          </a:extLst>
        </xdr:cNvPr>
        <xdr:cNvPicPr>
          <a:picLocks noChangeAspect="1"/>
        </xdr:cNvPicPr>
      </xdr:nvPicPr>
      <xdr:blipFill>
        <a:blip xmlns:r="http://schemas.openxmlformats.org/officeDocument/2006/relationships" r:embed="rId1"/>
        <a:stretch>
          <a:fillRect/>
        </a:stretch>
      </xdr:blipFill>
      <xdr:spPr>
        <a:xfrm>
          <a:off x="47624" y="259909"/>
          <a:ext cx="10604875" cy="8874566"/>
        </a:xfrm>
        <a:prstGeom prst="rect">
          <a:avLst/>
        </a:prstGeom>
      </xdr:spPr>
    </xdr:pic>
    <xdr:clientData/>
  </xdr:twoCellAnchor>
  <xdr:twoCellAnchor editAs="oneCell">
    <xdr:from>
      <xdr:col>17</xdr:col>
      <xdr:colOff>314325</xdr:colOff>
      <xdr:row>1</xdr:row>
      <xdr:rowOff>149231</xdr:rowOff>
    </xdr:from>
    <xdr:to>
      <xdr:col>36</xdr:col>
      <xdr:colOff>251737</xdr:colOff>
      <xdr:row>51</xdr:row>
      <xdr:rowOff>85725</xdr:rowOff>
    </xdr:to>
    <xdr:pic>
      <xdr:nvPicPr>
        <xdr:cNvPr id="3" name="图片 2">
          <a:extLst>
            <a:ext uri="{FF2B5EF4-FFF2-40B4-BE49-F238E27FC236}">
              <a16:creationId xmlns:a16="http://schemas.microsoft.com/office/drawing/2014/main" id="{DE655FA7-A455-E6EB-916D-31996A1EBB66}"/>
            </a:ext>
          </a:extLst>
        </xdr:cNvPr>
        <xdr:cNvPicPr>
          <a:picLocks noChangeAspect="1"/>
        </xdr:cNvPicPr>
      </xdr:nvPicPr>
      <xdr:blipFill>
        <a:blip xmlns:r="http://schemas.openxmlformats.org/officeDocument/2006/relationships" r:embed="rId2"/>
        <a:stretch>
          <a:fillRect/>
        </a:stretch>
      </xdr:blipFill>
      <xdr:spPr>
        <a:xfrm>
          <a:off x="11972925" y="320681"/>
          <a:ext cx="12967612" cy="8508994"/>
        </a:xfrm>
        <a:prstGeom prst="rect">
          <a:avLst/>
        </a:prstGeom>
      </xdr:spPr>
    </xdr:pic>
    <xdr:clientData/>
  </xdr:twoCellAnchor>
  <xdr:twoCellAnchor editAs="oneCell">
    <xdr:from>
      <xdr:col>6</xdr:col>
      <xdr:colOff>142875</xdr:colOff>
      <xdr:row>55</xdr:row>
      <xdr:rowOff>104774</xdr:rowOff>
    </xdr:from>
    <xdr:to>
      <xdr:col>22</xdr:col>
      <xdr:colOff>200003</xdr:colOff>
      <xdr:row>86</xdr:row>
      <xdr:rowOff>9525</xdr:rowOff>
    </xdr:to>
    <xdr:pic>
      <xdr:nvPicPr>
        <xdr:cNvPr id="4" name="图片 3">
          <a:extLst>
            <a:ext uri="{FF2B5EF4-FFF2-40B4-BE49-F238E27FC236}">
              <a16:creationId xmlns:a16="http://schemas.microsoft.com/office/drawing/2014/main" id="{7DAA1295-A548-503D-6C87-0EDF802D571E}"/>
            </a:ext>
          </a:extLst>
        </xdr:cNvPr>
        <xdr:cNvPicPr>
          <a:picLocks noChangeAspect="1"/>
        </xdr:cNvPicPr>
      </xdr:nvPicPr>
      <xdr:blipFill>
        <a:blip xmlns:r="http://schemas.openxmlformats.org/officeDocument/2006/relationships" r:embed="rId3"/>
        <a:stretch>
          <a:fillRect/>
        </a:stretch>
      </xdr:blipFill>
      <xdr:spPr>
        <a:xfrm>
          <a:off x="4257675" y="9534524"/>
          <a:ext cx="11029928" cy="52197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xdr:row>
      <xdr:rowOff>114300</xdr:rowOff>
    </xdr:from>
    <xdr:to>
      <xdr:col>9</xdr:col>
      <xdr:colOff>254606</xdr:colOff>
      <xdr:row>41</xdr:row>
      <xdr:rowOff>109814</xdr:rowOff>
    </xdr:to>
    <xdr:pic>
      <xdr:nvPicPr>
        <xdr:cNvPr id="2" name="图片 1">
          <a:extLst>
            <a:ext uri="{FF2B5EF4-FFF2-40B4-BE49-F238E27FC236}">
              <a16:creationId xmlns:a16="http://schemas.microsoft.com/office/drawing/2014/main" id="{134AE0CC-098A-AF7E-80BC-7D06D94A732A}"/>
            </a:ext>
          </a:extLst>
        </xdr:cNvPr>
        <xdr:cNvPicPr>
          <a:picLocks noChangeAspect="1"/>
        </xdr:cNvPicPr>
      </xdr:nvPicPr>
      <xdr:blipFill>
        <a:blip xmlns:r="http://schemas.openxmlformats.org/officeDocument/2006/relationships" r:embed="rId1"/>
        <a:stretch>
          <a:fillRect/>
        </a:stretch>
      </xdr:blipFill>
      <xdr:spPr>
        <a:xfrm>
          <a:off x="47625" y="285750"/>
          <a:ext cx="6379181" cy="6853514"/>
        </a:xfrm>
        <a:prstGeom prst="rect">
          <a:avLst/>
        </a:prstGeom>
      </xdr:spPr>
    </xdr:pic>
    <xdr:clientData/>
  </xdr:twoCellAnchor>
  <xdr:twoCellAnchor editAs="oneCell">
    <xdr:from>
      <xdr:col>10</xdr:col>
      <xdr:colOff>276226</xdr:colOff>
      <xdr:row>1</xdr:row>
      <xdr:rowOff>85725</xdr:rowOff>
    </xdr:from>
    <xdr:to>
      <xdr:col>20</xdr:col>
      <xdr:colOff>450974</xdr:colOff>
      <xdr:row>41</xdr:row>
      <xdr:rowOff>125875</xdr:rowOff>
    </xdr:to>
    <xdr:pic>
      <xdr:nvPicPr>
        <xdr:cNvPr id="3" name="图片 2">
          <a:extLst>
            <a:ext uri="{FF2B5EF4-FFF2-40B4-BE49-F238E27FC236}">
              <a16:creationId xmlns:a16="http://schemas.microsoft.com/office/drawing/2014/main" id="{5BF5F6DC-A8AC-E3C5-0917-79AD2CC85912}"/>
            </a:ext>
          </a:extLst>
        </xdr:cNvPr>
        <xdr:cNvPicPr>
          <a:picLocks noChangeAspect="1"/>
        </xdr:cNvPicPr>
      </xdr:nvPicPr>
      <xdr:blipFill>
        <a:blip xmlns:r="http://schemas.openxmlformats.org/officeDocument/2006/relationships" r:embed="rId2"/>
        <a:stretch>
          <a:fillRect/>
        </a:stretch>
      </xdr:blipFill>
      <xdr:spPr>
        <a:xfrm>
          <a:off x="7134226" y="257175"/>
          <a:ext cx="7032748" cy="6898150"/>
        </a:xfrm>
        <a:prstGeom prst="rect">
          <a:avLst/>
        </a:prstGeom>
      </xdr:spPr>
    </xdr:pic>
    <xdr:clientData/>
  </xdr:twoCellAnchor>
  <xdr:twoCellAnchor editAs="oneCell">
    <xdr:from>
      <xdr:col>21</xdr:col>
      <xdr:colOff>0</xdr:colOff>
      <xdr:row>2</xdr:row>
      <xdr:rowOff>137456</xdr:rowOff>
    </xdr:from>
    <xdr:to>
      <xdr:col>31</xdr:col>
      <xdr:colOff>485776</xdr:colOff>
      <xdr:row>41</xdr:row>
      <xdr:rowOff>107014</xdr:rowOff>
    </xdr:to>
    <xdr:pic>
      <xdr:nvPicPr>
        <xdr:cNvPr id="4" name="图片 3">
          <a:extLst>
            <a:ext uri="{FF2B5EF4-FFF2-40B4-BE49-F238E27FC236}">
              <a16:creationId xmlns:a16="http://schemas.microsoft.com/office/drawing/2014/main" id="{029BB8E4-5939-CBAE-652E-0D345D67913F}"/>
            </a:ext>
          </a:extLst>
        </xdr:cNvPr>
        <xdr:cNvPicPr>
          <a:picLocks noChangeAspect="1"/>
        </xdr:cNvPicPr>
      </xdr:nvPicPr>
      <xdr:blipFill>
        <a:blip xmlns:r="http://schemas.openxmlformats.org/officeDocument/2006/relationships" r:embed="rId3"/>
        <a:stretch>
          <a:fillRect/>
        </a:stretch>
      </xdr:blipFill>
      <xdr:spPr>
        <a:xfrm>
          <a:off x="14401800" y="480356"/>
          <a:ext cx="7343776" cy="6656108"/>
        </a:xfrm>
        <a:prstGeom prst="rect">
          <a:avLst/>
        </a:prstGeom>
      </xdr:spPr>
    </xdr:pic>
    <xdr:clientData/>
  </xdr:twoCellAnchor>
  <xdr:twoCellAnchor editAs="oneCell">
    <xdr:from>
      <xdr:col>0</xdr:col>
      <xdr:colOff>85725</xdr:colOff>
      <xdr:row>47</xdr:row>
      <xdr:rowOff>85725</xdr:rowOff>
    </xdr:from>
    <xdr:to>
      <xdr:col>11</xdr:col>
      <xdr:colOff>103110</xdr:colOff>
      <xdr:row>89</xdr:row>
      <xdr:rowOff>141625</xdr:rowOff>
    </xdr:to>
    <xdr:pic>
      <xdr:nvPicPr>
        <xdr:cNvPr id="5" name="图片 4">
          <a:extLst>
            <a:ext uri="{FF2B5EF4-FFF2-40B4-BE49-F238E27FC236}">
              <a16:creationId xmlns:a16="http://schemas.microsoft.com/office/drawing/2014/main" id="{C5CF8502-F259-A734-B6DC-3FF65B932A15}"/>
            </a:ext>
          </a:extLst>
        </xdr:cNvPr>
        <xdr:cNvPicPr>
          <a:picLocks noChangeAspect="1"/>
        </xdr:cNvPicPr>
      </xdr:nvPicPr>
      <xdr:blipFill>
        <a:blip xmlns:r="http://schemas.openxmlformats.org/officeDocument/2006/relationships" r:embed="rId4"/>
        <a:stretch>
          <a:fillRect/>
        </a:stretch>
      </xdr:blipFill>
      <xdr:spPr>
        <a:xfrm>
          <a:off x="85725" y="8143875"/>
          <a:ext cx="7561185" cy="7256800"/>
        </a:xfrm>
        <a:prstGeom prst="rect">
          <a:avLst/>
        </a:prstGeom>
      </xdr:spPr>
    </xdr:pic>
    <xdr:clientData/>
  </xdr:twoCellAnchor>
  <xdr:twoCellAnchor editAs="oneCell">
    <xdr:from>
      <xdr:col>0</xdr:col>
      <xdr:colOff>0</xdr:colOff>
      <xdr:row>93</xdr:row>
      <xdr:rowOff>76199</xdr:rowOff>
    </xdr:from>
    <xdr:to>
      <xdr:col>13</xdr:col>
      <xdr:colOff>162845</xdr:colOff>
      <xdr:row>119</xdr:row>
      <xdr:rowOff>161160</xdr:rowOff>
    </xdr:to>
    <xdr:pic>
      <xdr:nvPicPr>
        <xdr:cNvPr id="6" name="图片 5">
          <a:extLst>
            <a:ext uri="{FF2B5EF4-FFF2-40B4-BE49-F238E27FC236}">
              <a16:creationId xmlns:a16="http://schemas.microsoft.com/office/drawing/2014/main" id="{30832A8C-2A3B-A19B-4D15-E5D35F42DF6A}"/>
            </a:ext>
          </a:extLst>
        </xdr:cNvPr>
        <xdr:cNvPicPr>
          <a:picLocks noChangeAspect="1"/>
        </xdr:cNvPicPr>
      </xdr:nvPicPr>
      <xdr:blipFill>
        <a:blip xmlns:r="http://schemas.openxmlformats.org/officeDocument/2006/relationships" r:embed="rId5"/>
        <a:stretch>
          <a:fillRect/>
        </a:stretch>
      </xdr:blipFill>
      <xdr:spPr>
        <a:xfrm>
          <a:off x="0" y="16021049"/>
          <a:ext cx="9078245" cy="4542661"/>
        </a:xfrm>
        <a:prstGeom prst="rect">
          <a:avLst/>
        </a:prstGeom>
      </xdr:spPr>
    </xdr:pic>
    <xdr:clientData/>
  </xdr:twoCellAnchor>
  <xdr:twoCellAnchor editAs="oneCell">
    <xdr:from>
      <xdr:col>13</xdr:col>
      <xdr:colOff>543182</xdr:colOff>
      <xdr:row>92</xdr:row>
      <xdr:rowOff>133350</xdr:rowOff>
    </xdr:from>
    <xdr:to>
      <xdr:col>21</xdr:col>
      <xdr:colOff>94550</xdr:colOff>
      <xdr:row>131</xdr:row>
      <xdr:rowOff>103850</xdr:rowOff>
    </xdr:to>
    <xdr:pic>
      <xdr:nvPicPr>
        <xdr:cNvPr id="7" name="图片 6">
          <a:extLst>
            <a:ext uri="{FF2B5EF4-FFF2-40B4-BE49-F238E27FC236}">
              <a16:creationId xmlns:a16="http://schemas.microsoft.com/office/drawing/2014/main" id="{CECEAC50-F475-5E50-DC23-162C53254832}"/>
            </a:ext>
          </a:extLst>
        </xdr:cNvPr>
        <xdr:cNvPicPr>
          <a:picLocks noChangeAspect="1"/>
        </xdr:cNvPicPr>
      </xdr:nvPicPr>
      <xdr:blipFill>
        <a:blip xmlns:r="http://schemas.openxmlformats.org/officeDocument/2006/relationships" r:embed="rId6"/>
        <a:stretch>
          <a:fillRect/>
        </a:stretch>
      </xdr:blipFill>
      <xdr:spPr>
        <a:xfrm>
          <a:off x="9458582" y="15906750"/>
          <a:ext cx="5037768" cy="6657050"/>
        </a:xfrm>
        <a:prstGeom prst="rect">
          <a:avLst/>
        </a:prstGeom>
      </xdr:spPr>
    </xdr:pic>
    <xdr:clientData/>
  </xdr:twoCellAnchor>
  <xdr:twoCellAnchor editAs="oneCell">
    <xdr:from>
      <xdr:col>12</xdr:col>
      <xdr:colOff>220260</xdr:colOff>
      <xdr:row>48</xdr:row>
      <xdr:rowOff>95249</xdr:rowOff>
    </xdr:from>
    <xdr:to>
      <xdr:col>24</xdr:col>
      <xdr:colOff>428625</xdr:colOff>
      <xdr:row>87</xdr:row>
      <xdr:rowOff>85986</xdr:rowOff>
    </xdr:to>
    <xdr:pic>
      <xdr:nvPicPr>
        <xdr:cNvPr id="8" name="图片 7">
          <a:extLst>
            <a:ext uri="{FF2B5EF4-FFF2-40B4-BE49-F238E27FC236}">
              <a16:creationId xmlns:a16="http://schemas.microsoft.com/office/drawing/2014/main" id="{0DA2BBB3-EFB6-5771-0B38-28DA0C01A232}"/>
            </a:ext>
          </a:extLst>
        </xdr:cNvPr>
        <xdr:cNvPicPr>
          <a:picLocks noChangeAspect="1"/>
        </xdr:cNvPicPr>
      </xdr:nvPicPr>
      <xdr:blipFill>
        <a:blip xmlns:r="http://schemas.openxmlformats.org/officeDocument/2006/relationships" r:embed="rId7"/>
        <a:stretch>
          <a:fillRect/>
        </a:stretch>
      </xdr:blipFill>
      <xdr:spPr>
        <a:xfrm>
          <a:off x="8449860" y="8324849"/>
          <a:ext cx="8437965" cy="6677287"/>
        </a:xfrm>
        <a:prstGeom prst="rect">
          <a:avLst/>
        </a:prstGeom>
      </xdr:spPr>
    </xdr:pic>
    <xdr:clientData/>
  </xdr:twoCellAnchor>
  <xdr:twoCellAnchor editAs="oneCell">
    <xdr:from>
      <xdr:col>0</xdr:col>
      <xdr:colOff>238125</xdr:colOff>
      <xdr:row>121</xdr:row>
      <xdr:rowOff>104775</xdr:rowOff>
    </xdr:from>
    <xdr:to>
      <xdr:col>6</xdr:col>
      <xdr:colOff>275706</xdr:colOff>
      <xdr:row>125</xdr:row>
      <xdr:rowOff>9451</xdr:rowOff>
    </xdr:to>
    <xdr:pic>
      <xdr:nvPicPr>
        <xdr:cNvPr id="9" name="图片 8">
          <a:extLst>
            <a:ext uri="{FF2B5EF4-FFF2-40B4-BE49-F238E27FC236}">
              <a16:creationId xmlns:a16="http://schemas.microsoft.com/office/drawing/2014/main" id="{25FD0276-076F-569E-D951-1E7339F306E3}"/>
            </a:ext>
          </a:extLst>
        </xdr:cNvPr>
        <xdr:cNvPicPr>
          <a:picLocks noChangeAspect="1"/>
        </xdr:cNvPicPr>
      </xdr:nvPicPr>
      <xdr:blipFill>
        <a:blip xmlns:r="http://schemas.openxmlformats.org/officeDocument/2006/relationships" r:embed="rId8"/>
        <a:stretch>
          <a:fillRect/>
        </a:stretch>
      </xdr:blipFill>
      <xdr:spPr>
        <a:xfrm>
          <a:off x="238125" y="20850225"/>
          <a:ext cx="4152381" cy="590476"/>
        </a:xfrm>
        <a:prstGeom prst="rect">
          <a:avLst/>
        </a:prstGeom>
      </xdr:spPr>
    </xdr:pic>
    <xdr:clientData/>
  </xdr:twoCellAnchor>
  <xdr:twoCellAnchor editAs="oneCell">
    <xdr:from>
      <xdr:col>23</xdr:col>
      <xdr:colOff>133350</xdr:colOff>
      <xdr:row>93</xdr:row>
      <xdr:rowOff>133146</xdr:rowOff>
    </xdr:from>
    <xdr:to>
      <xdr:col>40</xdr:col>
      <xdr:colOff>322069</xdr:colOff>
      <xdr:row>127</xdr:row>
      <xdr:rowOff>132474</xdr:rowOff>
    </xdr:to>
    <xdr:pic>
      <xdr:nvPicPr>
        <xdr:cNvPr id="10" name="图片 9">
          <a:extLst>
            <a:ext uri="{FF2B5EF4-FFF2-40B4-BE49-F238E27FC236}">
              <a16:creationId xmlns:a16="http://schemas.microsoft.com/office/drawing/2014/main" id="{5237E49A-A437-0805-2B1C-5F6A206CCF59}"/>
            </a:ext>
          </a:extLst>
        </xdr:cNvPr>
        <xdr:cNvPicPr>
          <a:picLocks noChangeAspect="1"/>
        </xdr:cNvPicPr>
      </xdr:nvPicPr>
      <xdr:blipFill>
        <a:blip xmlns:r="http://schemas.openxmlformats.org/officeDocument/2006/relationships" r:embed="rId9"/>
        <a:stretch>
          <a:fillRect/>
        </a:stretch>
      </xdr:blipFill>
      <xdr:spPr>
        <a:xfrm>
          <a:off x="15906750" y="16077996"/>
          <a:ext cx="11847319" cy="58286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北京市房地产市场价值预评估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受贵公司委托，我公司对北京市房地产市场价值进行了预评估。</v>
      </c>
    </row>
    <row r="7" spans="1:2">
      <c r="A7" s="1117" t="s">
        <v>566</v>
      </c>
      <c r="B7" s="1118" t="str">
        <f>'预评函-1'!A7</f>
        <v>估价对象为北京市房地产，为所有。根据《国有土地使用证》[]，估价对象（分摊）出让国有建设用地使用权面积为0平方米，建筑面积为41825.5平方米。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估价对象为北京市房地产,属开发建设的，该项目尚在开发建设中。根据《国有土地使用证》[]，估价对象（分摊）出让国有建设用地使用权面积为0平方米，规划建筑面积为41825.5平方米。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2025年8月15日（评估专业人员实地查勘之日）</v>
      </c>
    </row>
    <row r="13" spans="1:2">
      <c r="A13" s="1117" t="s">
        <v>529</v>
      </c>
      <c r="B13" s="1118" t="str">
        <f>'预评函-1'!A18</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v>
      </c>
    </row>
    <row r="16" spans="1:2">
      <c r="A16" s="1117" t="s">
        <v>532</v>
      </c>
      <c r="B16" s="1118" t="str">
        <f>'预评函-1'!A21</f>
        <v>——</v>
      </c>
    </row>
    <row r="17" spans="1:2">
      <c r="A17" s="1117" t="s">
        <v>533</v>
      </c>
      <c r="B17" s="1118" t="str">
        <f>'预评函-1'!A22</f>
        <v>——</v>
      </c>
    </row>
    <row r="18" spans="1:2" s="1113" customFormat="1" ht="15" thickBot="1">
      <c r="A18" s="1120" t="s">
        <v>534</v>
      </c>
      <c r="B18" s="1121" t="str">
        <f>'预评函-1'!A24</f>
        <v>本次评估采用的主估价方法为基准地价系数修正法和基准地价系数修正法。</v>
      </c>
    </row>
    <row r="19" spans="1:2" s="1116" customFormat="1" ht="15" thickTop="1">
      <c r="A19" s="1114" t="s">
        <v>535</v>
      </c>
      <c r="B19" s="11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41825.5</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6" sqref="F26"/>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8" width="15.125" style="1443" customWidth="1"/>
    <col min="29" max="16384" width="9" style="1403"/>
  </cols>
  <sheetData>
    <row r="1" spans="1:28" s="1438" customFormat="1" ht="40.5">
      <c r="A1" s="1434" t="s">
        <v>44</v>
      </c>
      <c r="B1" s="1435" t="s">
        <v>977</v>
      </c>
      <c r="C1" s="1436" t="s">
        <v>314</v>
      </c>
      <c r="D1" s="1437" t="s">
        <v>3348</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c r="X1" s="1436" t="s">
        <v>673</v>
      </c>
      <c r="Y1" s="1436" t="s">
        <v>21</v>
      </c>
      <c r="Z1" s="1436" t="s">
        <v>3404</v>
      </c>
      <c r="AA1" s="1436" t="s">
        <v>3403</v>
      </c>
      <c r="AB1" s="1436" t="s">
        <v>3</v>
      </c>
    </row>
    <row r="2" spans="1:28">
      <c r="A2" s="1439" t="s">
        <v>19</v>
      </c>
      <c r="B2" s="1439" t="s">
        <v>993</v>
      </c>
      <c r="C2" s="1440" t="s">
        <v>315</v>
      </c>
      <c r="D2" s="1441" t="s">
        <v>994</v>
      </c>
      <c r="E2" s="1441" t="s">
        <v>995</v>
      </c>
      <c r="F2" s="1441" t="s">
        <v>996</v>
      </c>
      <c r="G2" s="1441">
        <v>20</v>
      </c>
      <c r="H2" s="1441" t="s">
        <v>996</v>
      </c>
      <c r="I2" s="1441" t="s">
        <v>3334</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c r="X2" s="1443" t="s">
        <v>2436</v>
      </c>
      <c r="Y2" s="1443" t="s">
        <v>3411</v>
      </c>
      <c r="Z2" s="1443" t="s">
        <v>2449</v>
      </c>
      <c r="AA2" s="1443" t="s">
        <v>3412</v>
      </c>
      <c r="AB2" s="1443" t="s">
        <v>2476</v>
      </c>
    </row>
    <row r="3" spans="1:28">
      <c r="A3" s="1439" t="s">
        <v>1001</v>
      </c>
      <c r="B3" s="1442" t="s">
        <v>448</v>
      </c>
      <c r="C3" s="1440" t="s">
        <v>316</v>
      </c>
      <c r="D3" s="1441" t="s">
        <v>1002</v>
      </c>
      <c r="E3" s="1441" t="s">
        <v>13</v>
      </c>
      <c r="F3" s="1441" t="s">
        <v>1003</v>
      </c>
      <c r="G3" s="1441">
        <v>40</v>
      </c>
      <c r="H3" s="1441" t="s">
        <v>1003</v>
      </c>
      <c r="I3" s="1441" t="s">
        <v>3335</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c r="X3" s="1443" t="s">
        <v>2438</v>
      </c>
      <c r="Z3" s="1443" t="s">
        <v>2451</v>
      </c>
      <c r="AB3" s="1443" t="s">
        <v>2478</v>
      </c>
    </row>
    <row r="4" spans="1:28">
      <c r="A4" s="1439" t="s">
        <v>1008</v>
      </c>
      <c r="B4" s="1439" t="s">
        <v>1009</v>
      </c>
      <c r="C4" s="1440" t="s">
        <v>317</v>
      </c>
      <c r="D4" s="1441" t="s">
        <v>389</v>
      </c>
      <c r="E4" s="1441" t="s">
        <v>1010</v>
      </c>
      <c r="F4" s="1441" t="s">
        <v>1011</v>
      </c>
      <c r="G4" s="1441">
        <v>50</v>
      </c>
      <c r="H4" s="1441" t="s">
        <v>1011</v>
      </c>
      <c r="I4" s="1441" t="s">
        <v>3336</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c r="X4" s="1443" t="s">
        <v>2440</v>
      </c>
      <c r="Z4" s="1443" t="s">
        <v>2453</v>
      </c>
      <c r="AB4" s="1443" t="s">
        <v>2480</v>
      </c>
    </row>
    <row r="5" spans="1:28">
      <c r="A5" s="1439" t="s">
        <v>1014</v>
      </c>
      <c r="B5" s="1439" t="s">
        <v>1015</v>
      </c>
      <c r="C5" s="1440" t="s">
        <v>318</v>
      </c>
      <c r="F5" s="1441" t="s">
        <v>1016</v>
      </c>
      <c r="G5" s="1441">
        <v>70</v>
      </c>
      <c r="H5" s="1441" t="s">
        <v>1017</v>
      </c>
      <c r="I5" s="1441" t="s">
        <v>3337</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c r="X5" s="1443" t="s">
        <v>2442</v>
      </c>
      <c r="Z5" s="1443" t="s">
        <v>2455</v>
      </c>
      <c r="AB5" s="1443" t="s">
        <v>3413</v>
      </c>
    </row>
    <row r="6" spans="1:28">
      <c r="A6" s="1439" t="s">
        <v>1020</v>
      </c>
      <c r="B6" s="1442" t="s">
        <v>449</v>
      </c>
      <c r="C6" s="1444" t="s">
        <v>24</v>
      </c>
      <c r="F6" s="1441" t="s">
        <v>1017</v>
      </c>
      <c r="H6" s="1441" t="s">
        <v>1021</v>
      </c>
      <c r="I6" s="1441" t="s">
        <v>3338</v>
      </c>
      <c r="K6" s="1441" t="s">
        <v>1022</v>
      </c>
      <c r="L6" s="1441" t="s">
        <v>1022</v>
      </c>
      <c r="M6" s="1441" t="s">
        <v>1022</v>
      </c>
      <c r="N6" s="1441" t="s">
        <v>1022</v>
      </c>
      <c r="O6" s="1441" t="s">
        <v>1022</v>
      </c>
      <c r="P6" s="1441" t="s">
        <v>1022</v>
      </c>
      <c r="Q6" s="1441" t="s">
        <v>1022</v>
      </c>
      <c r="R6" s="1441" t="s">
        <v>446</v>
      </c>
      <c r="S6" s="1441" t="s">
        <v>1022</v>
      </c>
      <c r="T6" s="1441"/>
      <c r="U6" s="1441" t="s">
        <v>1022</v>
      </c>
      <c r="W6" s="1441" t="s">
        <v>1022</v>
      </c>
      <c r="X6" s="1443" t="s">
        <v>2444</v>
      </c>
      <c r="Z6" s="1443" t="s">
        <v>2457</v>
      </c>
      <c r="AB6" s="1443" t="s">
        <v>2483</v>
      </c>
    </row>
    <row r="7" spans="1:28">
      <c r="A7" s="1439" t="s">
        <v>1023</v>
      </c>
      <c r="B7" s="1442" t="s">
        <v>450</v>
      </c>
      <c r="C7" s="1440" t="s">
        <v>25</v>
      </c>
      <c r="F7" s="1441" t="s">
        <v>1024</v>
      </c>
      <c r="H7" s="1441" t="s">
        <v>1025</v>
      </c>
      <c r="I7" s="1441" t="s">
        <v>3339</v>
      </c>
      <c r="X7" s="1443" t="s">
        <v>2446</v>
      </c>
      <c r="Z7" s="1443" t="s">
        <v>2459</v>
      </c>
      <c r="AB7" s="1443" t="s">
        <v>2485</v>
      </c>
    </row>
    <row r="8" spans="1:28">
      <c r="A8" s="1439" t="s">
        <v>1026</v>
      </c>
      <c r="B8" s="1439" t="s">
        <v>1027</v>
      </c>
      <c r="C8" s="1440" t="s">
        <v>319</v>
      </c>
      <c r="F8" s="1441" t="s">
        <v>1028</v>
      </c>
      <c r="H8" s="1441" t="s">
        <v>2574</v>
      </c>
      <c r="I8" s="1441" t="s">
        <v>3340</v>
      </c>
      <c r="X8" s="1443" t="s">
        <v>3414</v>
      </c>
      <c r="Z8" s="1443" t="s">
        <v>2461</v>
      </c>
      <c r="AB8" s="1443" t="s">
        <v>2487</v>
      </c>
    </row>
    <row r="9" spans="1:28">
      <c r="A9" s="1439" t="s">
        <v>1029</v>
      </c>
      <c r="B9" s="1439" t="s">
        <v>1030</v>
      </c>
      <c r="C9" s="1440" t="s">
        <v>320</v>
      </c>
      <c r="F9" s="1441" t="s">
        <v>1031</v>
      </c>
      <c r="H9" s="1441"/>
      <c r="I9" s="1443" t="s">
        <v>3341</v>
      </c>
      <c r="X9" s="1443" t="s">
        <v>3415</v>
      </c>
      <c r="Z9" s="1443" t="s">
        <v>2463</v>
      </c>
      <c r="AB9" s="1443" t="s">
        <v>2489</v>
      </c>
    </row>
    <row r="10" spans="1:28">
      <c r="A10" s="1439" t="s">
        <v>1032</v>
      </c>
      <c r="B10" s="1439" t="s">
        <v>1033</v>
      </c>
      <c r="C10" s="1440" t="s">
        <v>321</v>
      </c>
      <c r="F10" s="1441" t="s">
        <v>2575</v>
      </c>
      <c r="I10" s="1443" t="s">
        <v>3342</v>
      </c>
      <c r="Z10" s="1443" t="s">
        <v>2465</v>
      </c>
      <c r="AB10" s="1443" t="s">
        <v>2491</v>
      </c>
    </row>
    <row r="11" spans="1:28">
      <c r="A11" s="1439" t="s">
        <v>1034</v>
      </c>
      <c r="B11" s="1439" t="s">
        <v>1035</v>
      </c>
      <c r="C11" s="1440" t="s">
        <v>322</v>
      </c>
      <c r="F11" s="1441" t="s">
        <v>13</v>
      </c>
      <c r="I11" s="1443" t="s">
        <v>3343</v>
      </c>
      <c r="Z11" s="1443" t="s">
        <v>2467</v>
      </c>
      <c r="AB11" s="1443" t="s">
        <v>2493</v>
      </c>
    </row>
    <row r="12" spans="1:28">
      <c r="A12" s="1439" t="s">
        <v>1036</v>
      </c>
      <c r="B12" s="1439" t="s">
        <v>1037</v>
      </c>
      <c r="C12" s="1440" t="s">
        <v>323</v>
      </c>
      <c r="I12" s="1443" t="s">
        <v>3344</v>
      </c>
      <c r="Z12" s="1443" t="s">
        <v>2469</v>
      </c>
      <c r="AB12" s="1443" t="s">
        <v>2495</v>
      </c>
    </row>
    <row r="13" spans="1:28">
      <c r="A13" s="1439" t="s">
        <v>1038</v>
      </c>
      <c r="B13" s="1439" t="s">
        <v>1039</v>
      </c>
      <c r="C13" s="1440" t="s">
        <v>324</v>
      </c>
      <c r="I13" s="1443" t="s">
        <v>3345</v>
      </c>
      <c r="Z13" s="1443" t="s">
        <v>2471</v>
      </c>
    </row>
    <row r="14" spans="1:28">
      <c r="A14" s="1439" t="s">
        <v>1040</v>
      </c>
      <c r="B14" s="1439" t="s">
        <v>1041</v>
      </c>
      <c r="C14" s="1441" t="s">
        <v>13</v>
      </c>
      <c r="I14" s="1443" t="s">
        <v>3346</v>
      </c>
      <c r="Z14" s="1443" t="s">
        <v>2473</v>
      </c>
    </row>
    <row r="15" spans="1:28">
      <c r="A15" s="1439" t="s">
        <v>1042</v>
      </c>
      <c r="B15" s="1439" t="s">
        <v>1043</v>
      </c>
      <c r="C15" s="1440"/>
      <c r="I15" s="1443" t="s">
        <v>3347</v>
      </c>
    </row>
    <row r="16" spans="1:28">
      <c r="A16" s="1439" t="s">
        <v>1044</v>
      </c>
      <c r="B16" s="1439" t="s">
        <v>312</v>
      </c>
      <c r="C16" s="1440"/>
    </row>
    <row r="17" spans="1:3">
      <c r="A17" s="1439" t="s">
        <v>1045</v>
      </c>
      <c r="B17" s="1439" t="s">
        <v>2290</v>
      </c>
      <c r="C17" s="1440"/>
    </row>
    <row r="18" spans="1:3">
      <c r="A18" s="1439" t="s">
        <v>1046</v>
      </c>
      <c r="B18" s="1439" t="s">
        <v>2430</v>
      </c>
      <c r="C18" s="1440"/>
    </row>
    <row r="19" spans="1:3">
      <c r="A19" s="1439" t="s">
        <v>1047</v>
      </c>
      <c r="B19" s="1439" t="s">
        <v>3480</v>
      </c>
      <c r="C19" s="1440"/>
    </row>
    <row r="20" spans="1:3">
      <c r="A20" s="1439" t="s">
        <v>1048</v>
      </c>
      <c r="B20" s="1439" t="s">
        <v>3482</v>
      </c>
      <c r="C20" s="1440"/>
    </row>
    <row r="21" spans="1:3">
      <c r="A21" s="1439" t="s">
        <v>1049</v>
      </c>
      <c r="B21" s="1439" t="s">
        <v>3484</v>
      </c>
      <c r="C21" s="1440"/>
    </row>
    <row r="22" spans="1:3">
      <c r="A22" s="1439" t="s">
        <v>1050</v>
      </c>
      <c r="B22" s="1439" t="s">
        <v>3486</v>
      </c>
      <c r="C22" s="1440"/>
    </row>
    <row r="23" spans="1:3">
      <c r="A23" s="1439" t="s">
        <v>1051</v>
      </c>
      <c r="B23" s="1439" t="s">
        <v>3488</v>
      </c>
      <c r="C23" s="1440"/>
    </row>
    <row r="24" spans="1:3">
      <c r="A24" s="1439" t="s">
        <v>1052</v>
      </c>
      <c r="B24" s="1439" t="s">
        <v>3490</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9"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5" t="s">
        <v>385</v>
      </c>
      <c r="C54" s="1443" t="s">
        <v>583</v>
      </c>
    </row>
    <row r="55" spans="1:4">
      <c r="A55" s="3219"/>
      <c r="B55" s="1445" t="s">
        <v>386</v>
      </c>
      <c r="C55" s="1443" t="s">
        <v>584</v>
      </c>
    </row>
    <row r="56" spans="1:4">
      <c r="A56" s="3219"/>
      <c r="B56" s="1445" t="s">
        <v>387</v>
      </c>
      <c r="C56" s="1443" t="s">
        <v>588</v>
      </c>
    </row>
    <row r="57" spans="1:4">
      <c r="A57" s="3219"/>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220" t="s">
        <v>2577</v>
      </c>
      <c r="J2" s="3220"/>
      <c r="K2" s="3220"/>
      <c r="L2" s="3220"/>
      <c r="M2" s="3220"/>
      <c r="N2" s="3220"/>
      <c r="O2" s="3220"/>
      <c r="P2" s="3220"/>
      <c r="Q2" s="3220"/>
      <c r="R2" s="3220"/>
    </row>
    <row r="3" spans="1:18">
      <c r="A3" s="2760" t="s">
        <v>2498</v>
      </c>
      <c r="B3" s="2761">
        <f>项目基本情况!D3</f>
        <v>45884</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1.34</v>
      </c>
      <c r="D5" s="2765">
        <f>IF(ISERROR(ROUND(POWER(1+E5,A5-C5)*(POWER(1+E5,C5)-1)/(POWER(1+E5,A5)-1),3)),0,ROUND(POWER(1+E5,A5-C5)*(POWER(1+E5,C5)-1)/(POWER(1+E5,A5)-1),4))</f>
        <v>6.4699999999999994E-2</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11.35</v>
      </c>
      <c r="D6" s="2765">
        <f>IF(ISERROR(ROUND(POWER(1+E6,A6-C6)*(POWER(1+E6,C6)-1)/(POWER(1+E6,A6)-1),3)),0,ROUND(POWER(1+E6,A6-C6)*(POWER(1+E6,C6)-1)/(POWER(1+E6,A6)-1),4))</f>
        <v>0.41810000000000003</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31.36</v>
      </c>
      <c r="D7" s="2765">
        <f>IF(ISERROR(ROUND(POWER(1+E7,A7-C7)*(POWER(1+E7,C7)-1)/(POWER(1+E7,A7)-1),3)),0,ROUND(POWER(1+E7,A7-C7)*(POWER(1+E7,C7)-1)/(POWER(1+E7,A7)-1),4))</f>
        <v>0.75629999999999997</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70</v>
      </c>
      <c r="C11" s="2763" t="s">
        <v>2507</v>
      </c>
      <c r="D11" s="2768">
        <v>4.4999999999999998E-2</v>
      </c>
      <c r="E11" s="2763" t="s">
        <v>2508</v>
      </c>
      <c r="F11" s="2769">
        <f>ROUND(1-(1/(POWER(1+D11,B11))),4)</f>
        <v>0.95409999999999995</v>
      </c>
    </row>
    <row r="12" spans="1:18">
      <c r="A12" s="2760" t="s">
        <v>2509</v>
      </c>
      <c r="B12" s="2768">
        <v>40</v>
      </c>
      <c r="C12" s="2763" t="s">
        <v>2510</v>
      </c>
      <c r="D12" s="2768">
        <v>4.4999999999999998E-2</v>
      </c>
      <c r="E12" s="2763" t="s">
        <v>2511</v>
      </c>
      <c r="F12" s="2769">
        <f>ROUND(1-(1/(POWER(1+D12,B12))),4)</f>
        <v>0.82809999999999995</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4339.6899999999996</v>
      </c>
      <c r="C15" s="2763">
        <f>ROUND(F12/F11,4)</f>
        <v>0.8679</v>
      </c>
      <c r="D15" s="2758"/>
      <c r="E15" s="2758"/>
      <c r="F15" s="2759"/>
    </row>
    <row r="16" spans="1:18">
      <c r="A16" s="2760" t="s">
        <v>2515</v>
      </c>
      <c r="B16" s="2763"/>
      <c r="C16" s="2763"/>
      <c r="D16" s="2758"/>
      <c r="E16" s="2758"/>
      <c r="F16" s="2759"/>
    </row>
    <row r="17" spans="1:14">
      <c r="A17" s="2760" t="s">
        <v>2514</v>
      </c>
      <c r="B17" s="2768">
        <v>4810</v>
      </c>
      <c r="C17" s="2762"/>
      <c r="D17" s="2758"/>
      <c r="E17" s="2758"/>
      <c r="F17" s="2759"/>
    </row>
    <row r="18" spans="1:14" ht="14.25" thickBot="1">
      <c r="A18" s="2770" t="s">
        <v>2513</v>
      </c>
      <c r="B18" s="2771">
        <f>ROUND(B17*F11/F12,2)</f>
        <v>5541.87</v>
      </c>
      <c r="C18" s="2771">
        <f>ROUND(F11/F12,4)</f>
        <v>1.1521999999999999</v>
      </c>
      <c r="D18" s="2772"/>
      <c r="E18" s="2772"/>
      <c r="F18" s="2773"/>
    </row>
    <row r="19" spans="1:14" ht="14.25" thickBot="1"/>
    <row r="20" spans="1:14" s="2806" customFormat="1" ht="14.25" thickTop="1">
      <c r="A20" s="2803" t="s">
        <v>2516</v>
      </c>
      <c r="B20" s="2804"/>
      <c r="C20" s="2804"/>
      <c r="D20" s="2804"/>
      <c r="E20" s="2804"/>
      <c r="F20" s="2804"/>
      <c r="G20" s="2805"/>
      <c r="I20" s="2807" t="s">
        <v>2561</v>
      </c>
      <c r="J20" s="2807" t="s">
        <v>2566</v>
      </c>
      <c r="K20" s="2807"/>
      <c r="L20" s="2807"/>
      <c r="M20" s="2807"/>
    </row>
    <row r="21" spans="1:14">
      <c r="A21" s="2774"/>
      <c r="B21" s="2775" t="s">
        <v>2517</v>
      </c>
      <c r="C21" s="2775" t="s">
        <v>2518</v>
      </c>
      <c r="D21" s="2775" t="s">
        <v>2519</v>
      </c>
      <c r="E21" s="2775" t="s">
        <v>2520</v>
      </c>
      <c r="F21" s="2775" t="s">
        <v>2521</v>
      </c>
      <c r="G21" s="2776" t="s">
        <v>2522</v>
      </c>
      <c r="I21" s="2797">
        <v>5</v>
      </c>
      <c r="J21" s="2797">
        <v>54.2</v>
      </c>
    </row>
    <row r="22" spans="1:14">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N23" s="3150" t="s">
        <v>2565</v>
      </c>
    </row>
    <row r="24" spans="1:14">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N24" s="3150">
        <v>10</v>
      </c>
    </row>
    <row r="25" spans="1:14">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N25" s="3150">
        <v>8</v>
      </c>
    </row>
    <row r="26" spans="1:14">
      <c r="A26" s="2779"/>
      <c r="B26" s="2780"/>
      <c r="C26" s="2780"/>
      <c r="D26" s="2780"/>
      <c r="E26" s="2780"/>
      <c r="F26" s="2780"/>
      <c r="G26" s="2781"/>
      <c r="I26" s="2797">
        <v>30</v>
      </c>
      <c r="J26" s="2797">
        <v>90.5</v>
      </c>
      <c r="K26" s="2797">
        <f t="shared" si="2"/>
        <v>4.2000000000000028</v>
      </c>
      <c r="L26" s="2797" t="s">
        <v>2568</v>
      </c>
      <c r="N26" s="3150">
        <v>5</v>
      </c>
    </row>
    <row r="27" spans="1:14">
      <c r="A27" s="2779" t="s">
        <v>2527</v>
      </c>
      <c r="B27" s="2780"/>
      <c r="C27" s="2780"/>
      <c r="D27" s="2780"/>
      <c r="E27" s="2780"/>
      <c r="F27" s="2780"/>
      <c r="G27" s="2781"/>
      <c r="I27" s="2797">
        <v>35</v>
      </c>
      <c r="J27" s="2797">
        <v>93.8</v>
      </c>
      <c r="K27" s="2797">
        <f t="shared" si="2"/>
        <v>3.2999999999999972</v>
      </c>
      <c r="L27" s="2797" t="s">
        <v>2569</v>
      </c>
      <c r="N27" s="3150">
        <v>3</v>
      </c>
    </row>
    <row r="28" spans="1:14">
      <c r="A28" s="2779" t="s">
        <v>2528</v>
      </c>
      <c r="B28" s="2780"/>
      <c r="C28" s="2780"/>
      <c r="D28" s="2780"/>
      <c r="E28" s="2780"/>
      <c r="F28" s="2780"/>
      <c r="G28" s="2781"/>
      <c r="I28" s="2797">
        <v>40</v>
      </c>
      <c r="J28" s="2797">
        <v>96.4</v>
      </c>
      <c r="K28" s="2797">
        <f t="shared" si="2"/>
        <v>2.6000000000000085</v>
      </c>
      <c r="L28" s="2797" t="s">
        <v>2570</v>
      </c>
      <c r="N28" s="3150">
        <v>2</v>
      </c>
    </row>
    <row r="29" spans="1:14">
      <c r="A29" s="2779" t="s">
        <v>2529</v>
      </c>
      <c r="B29" s="2780"/>
      <c r="C29" s="2780"/>
      <c r="D29" s="2780"/>
      <c r="E29" s="2780"/>
      <c r="F29" s="2780"/>
      <c r="G29" s="2781"/>
      <c r="I29" s="2797">
        <v>45</v>
      </c>
      <c r="J29" s="2797">
        <v>98.4</v>
      </c>
      <c r="K29" s="2797">
        <f t="shared" si="2"/>
        <v>2</v>
      </c>
    </row>
    <row r="30" spans="1:14">
      <c r="A30" s="2779" t="s">
        <v>2530</v>
      </c>
      <c r="B30" s="2780"/>
      <c r="C30" s="2780"/>
      <c r="D30" s="2780"/>
      <c r="E30" s="2780"/>
      <c r="F30" s="2780"/>
      <c r="G30" s="2781"/>
      <c r="I30" s="2797">
        <v>50</v>
      </c>
      <c r="J30" s="2797">
        <v>100</v>
      </c>
      <c r="K30" s="2797">
        <f t="shared" si="2"/>
        <v>1.5999999999999943</v>
      </c>
    </row>
    <row r="31" spans="1:14">
      <c r="A31" s="2779" t="s">
        <v>2531</v>
      </c>
      <c r="B31" s="2780"/>
      <c r="C31" s="2780"/>
      <c r="D31" s="2780"/>
      <c r="E31" s="2780"/>
      <c r="F31" s="2780"/>
      <c r="G31" s="2781"/>
      <c r="I31" s="2797" t="s">
        <v>2562</v>
      </c>
    </row>
    <row r="32" spans="1:14">
      <c r="A32" s="2779" t="s">
        <v>2532</v>
      </c>
      <c r="B32" s="2780"/>
      <c r="C32" s="2780"/>
      <c r="D32" s="2780"/>
      <c r="E32" s="2780"/>
      <c r="F32" s="2780"/>
      <c r="G32" s="2781"/>
    </row>
    <row r="33" spans="1:14">
      <c r="A33" s="2779" t="s">
        <v>2533</v>
      </c>
      <c r="B33" s="2780"/>
      <c r="C33" s="2780"/>
      <c r="D33" s="2780"/>
      <c r="E33" s="2780"/>
      <c r="F33" s="2780"/>
      <c r="G33" s="2781"/>
      <c r="I33" s="2797" t="s">
        <v>2561</v>
      </c>
      <c r="J33" s="2797" t="s">
        <v>2571</v>
      </c>
    </row>
    <row r="34" spans="1:14">
      <c r="A34" s="2779" t="s">
        <v>2534</v>
      </c>
      <c r="B34" s="2780"/>
      <c r="C34" s="2780"/>
      <c r="D34" s="2780"/>
      <c r="E34" s="2780"/>
      <c r="F34" s="2780"/>
      <c r="G34" s="2781"/>
      <c r="I34" s="2797">
        <v>5</v>
      </c>
      <c r="J34" s="2797">
        <v>55.1</v>
      </c>
    </row>
    <row r="35" spans="1:14">
      <c r="A35" s="2779" t="s">
        <v>2535</v>
      </c>
      <c r="B35" s="2780"/>
      <c r="C35" s="2780"/>
      <c r="D35" s="2780"/>
      <c r="E35" s="2780"/>
      <c r="F35" s="2780"/>
      <c r="G35" s="2781"/>
      <c r="I35" s="2797">
        <v>10</v>
      </c>
      <c r="J35" s="2797">
        <v>67</v>
      </c>
      <c r="K35" s="2797">
        <f>J35-J34</f>
        <v>11.899999999999999</v>
      </c>
    </row>
    <row r="36" spans="1:14">
      <c r="A36" s="2779" t="s">
        <v>2536</v>
      </c>
      <c r="B36" s="2780"/>
      <c r="C36" s="2780"/>
      <c r="D36" s="2780"/>
      <c r="E36" s="2780"/>
      <c r="F36" s="2780"/>
      <c r="G36" s="2781"/>
      <c r="I36" s="2797">
        <v>15</v>
      </c>
      <c r="J36" s="2797">
        <v>76.3</v>
      </c>
      <c r="K36" s="2797">
        <f t="shared" ref="K36:K41" si="3">J36-J35</f>
        <v>9.2999999999999972</v>
      </c>
      <c r="L36" s="2797" t="s">
        <v>2564</v>
      </c>
      <c r="N36" s="3150" t="s">
        <v>2565</v>
      </c>
    </row>
    <row r="37" spans="1:14">
      <c r="A37" s="2779" t="s">
        <v>2537</v>
      </c>
      <c r="B37" s="2780"/>
      <c r="C37" s="2780"/>
      <c r="D37" s="2780"/>
      <c r="E37" s="2780"/>
      <c r="F37" s="2780"/>
      <c r="G37" s="2781"/>
      <c r="I37" s="2797">
        <v>20</v>
      </c>
      <c r="J37" s="2797">
        <v>83.6</v>
      </c>
      <c r="K37" s="2797">
        <f t="shared" si="3"/>
        <v>7.2999999999999972</v>
      </c>
      <c r="L37" s="2797" t="s">
        <v>2563</v>
      </c>
      <c r="N37" s="3150">
        <v>10</v>
      </c>
    </row>
    <row r="38" spans="1:14">
      <c r="A38" s="2779" t="s">
        <v>2538</v>
      </c>
      <c r="B38" s="2780"/>
      <c r="C38" s="2780"/>
      <c r="D38" s="2780"/>
      <c r="E38" s="2780"/>
      <c r="F38" s="2780"/>
      <c r="G38" s="2781"/>
      <c r="I38" s="2797">
        <v>25</v>
      </c>
      <c r="J38" s="2797">
        <v>89.3</v>
      </c>
      <c r="K38" s="2797">
        <f t="shared" si="3"/>
        <v>5.7000000000000028</v>
      </c>
      <c r="L38" s="2797" t="s">
        <v>2567</v>
      </c>
      <c r="N38" s="3150">
        <v>8</v>
      </c>
    </row>
    <row r="39" spans="1:14">
      <c r="A39" s="2779"/>
      <c r="B39" s="2780"/>
      <c r="C39" s="2780"/>
      <c r="D39" s="2780"/>
      <c r="E39" s="2780"/>
      <c r="F39" s="2780"/>
      <c r="G39" s="2781"/>
      <c r="I39" s="2797">
        <v>30</v>
      </c>
      <c r="J39" s="2797">
        <v>93.8</v>
      </c>
      <c r="K39" s="2797">
        <f t="shared" si="3"/>
        <v>4.5</v>
      </c>
      <c r="L39" s="2797" t="s">
        <v>2568</v>
      </c>
      <c r="N39" s="3150">
        <v>6</v>
      </c>
    </row>
    <row r="40" spans="1:14">
      <c r="A40" s="2782" t="s">
        <v>2539</v>
      </c>
      <c r="B40" s="2783"/>
      <c r="C40" s="2783"/>
      <c r="D40" s="2783"/>
      <c r="E40" s="2783"/>
      <c r="F40" s="2783"/>
      <c r="G40" s="2784"/>
      <c r="I40" s="2797">
        <v>35</v>
      </c>
      <c r="J40" s="2797">
        <v>97.2</v>
      </c>
      <c r="K40" s="2797">
        <f t="shared" si="3"/>
        <v>3.4000000000000057</v>
      </c>
      <c r="L40" s="2797" t="s">
        <v>2569</v>
      </c>
      <c r="N40" s="3150">
        <v>3</v>
      </c>
    </row>
    <row r="41" spans="1:14">
      <c r="A41" s="2785" t="s">
        <v>2540</v>
      </c>
      <c r="B41" s="2786" t="s">
        <v>2541</v>
      </c>
      <c r="C41" s="2787" t="s">
        <v>2542</v>
      </c>
      <c r="D41" s="2787" t="s">
        <v>2543</v>
      </c>
      <c r="E41" s="2788"/>
      <c r="F41" s="2789"/>
      <c r="G41" s="2790"/>
      <c r="I41" s="2797">
        <v>40</v>
      </c>
      <c r="J41" s="2797">
        <v>100</v>
      </c>
      <c r="K41" s="2797">
        <f t="shared" si="3"/>
        <v>2.7999999999999972</v>
      </c>
    </row>
    <row r="42" spans="1:14">
      <c r="A42" s="2785" t="s">
        <v>2544</v>
      </c>
      <c r="B42" s="2786" t="s">
        <v>2545</v>
      </c>
      <c r="C42" s="2787" t="s">
        <v>2546</v>
      </c>
      <c r="D42" s="2791" t="s">
        <v>2547</v>
      </c>
      <c r="E42" s="2783" t="s">
        <v>2548</v>
      </c>
      <c r="F42" s="2783"/>
      <c r="G42" s="2784"/>
    </row>
    <row r="43" spans="1:14">
      <c r="A43" s="2785" t="s">
        <v>2549</v>
      </c>
      <c r="B43" s="2786" t="s">
        <v>2550</v>
      </c>
      <c r="C43" s="2787" t="s">
        <v>2551</v>
      </c>
      <c r="D43" s="2787" t="s">
        <v>2552</v>
      </c>
      <c r="E43" s="2788" t="s">
        <v>2553</v>
      </c>
      <c r="F43" s="2789"/>
      <c r="G43" s="2790"/>
      <c r="I43" s="2797" t="s">
        <v>2561</v>
      </c>
      <c r="J43" s="2797" t="s">
        <v>2572</v>
      </c>
    </row>
    <row r="44" spans="1:14">
      <c r="A44" s="2785" t="s">
        <v>2554</v>
      </c>
      <c r="B44" s="2786" t="s">
        <v>2555</v>
      </c>
      <c r="C44" s="2787" t="s">
        <v>2556</v>
      </c>
      <c r="D44" s="2791">
        <v>0.5</v>
      </c>
      <c r="E44" s="2788" t="s">
        <v>2557</v>
      </c>
      <c r="F44" s="2789"/>
      <c r="G44" s="2790"/>
      <c r="I44" s="2797">
        <v>30</v>
      </c>
      <c r="J44" s="2797">
        <v>81.7</v>
      </c>
    </row>
    <row r="45" spans="1:14" ht="14.25" thickBot="1">
      <c r="A45" s="2792" t="s">
        <v>2558</v>
      </c>
      <c r="B45" s="2793" t="s">
        <v>2545</v>
      </c>
      <c r="C45" s="2794" t="s">
        <v>2545</v>
      </c>
      <c r="D45" s="2794" t="s">
        <v>2559</v>
      </c>
      <c r="E45" s="2795" t="s">
        <v>2560</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3384</v>
      </c>
    </row>
    <row r="50" spans="1:4">
      <c r="A50" s="3142" t="s">
        <v>3385</v>
      </c>
      <c r="B50" s="3142" t="s">
        <v>3386</v>
      </c>
      <c r="C50" s="3142" t="s">
        <v>3387</v>
      </c>
      <c r="D50" s="3142" t="s">
        <v>3388</v>
      </c>
    </row>
    <row r="51" spans="1:4">
      <c r="A51" s="3142" t="s">
        <v>3389</v>
      </c>
      <c r="B51" s="2762">
        <f>B52+B53</f>
        <v>15000</v>
      </c>
      <c r="C51" s="3143">
        <f>D51/B51</f>
        <v>2666.6666666666665</v>
      </c>
      <c r="D51" s="2762">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2">
        <f>B51</f>
        <v>15000</v>
      </c>
      <c r="C54" s="2768">
        <v>700</v>
      </c>
      <c r="D54" s="2762">
        <f t="shared" ref="D54:D55" si="5">C54*B54</f>
        <v>10500000</v>
      </c>
    </row>
    <row r="55" spans="1:4">
      <c r="A55" s="3142" t="s">
        <v>3393</v>
      </c>
      <c r="B55" s="2762">
        <f>B51</f>
        <v>15000</v>
      </c>
      <c r="C55" s="2768">
        <v>1500</v>
      </c>
      <c r="D55" s="2762">
        <f t="shared" si="5"/>
        <v>22500000</v>
      </c>
    </row>
    <row r="56" spans="1:4">
      <c r="A56" s="3142" t="s">
        <v>3394</v>
      </c>
      <c r="B56" s="2762">
        <f>B51</f>
        <v>15000</v>
      </c>
      <c r="C56" s="3147">
        <f>C51+C54+C55</f>
        <v>4866.6666666666661</v>
      </c>
      <c r="D56" s="2762">
        <f>D51+D54+D55</f>
        <v>73000000</v>
      </c>
    </row>
    <row r="58" spans="1:4">
      <c r="A58" s="3142" t="s">
        <v>3395</v>
      </c>
      <c r="B58" s="3148">
        <v>0.05</v>
      </c>
      <c r="C58" s="2762">
        <f>C56*(1+B58)</f>
        <v>5110</v>
      </c>
      <c r="D58" s="2762">
        <f>D56*B58</f>
        <v>3650000</v>
      </c>
    </row>
    <row r="60" spans="1:4">
      <c r="A60" s="3142" t="s">
        <v>3396</v>
      </c>
      <c r="B60" s="2768">
        <v>3500</v>
      </c>
      <c r="C60" s="2768">
        <f>C53</f>
        <v>5000</v>
      </c>
      <c r="D60" s="2762">
        <f>C60*B60</f>
        <v>17500000</v>
      </c>
    </row>
    <row r="62" spans="1:4">
      <c r="A62" s="3142" t="s">
        <v>3397</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0" customWidth="1"/>
    <col min="12" max="13" width="10" style="2411"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2168</v>
      </c>
      <c r="B1" s="3228" t="str">
        <f>IF(B10="北京市","北京市",C10)&amp;F10&amp;IF(结果表!G1="在建","出让国有建设用地使用权及在建建筑物",IF(结果表!G1="土地","出让国有建设用地使用权",))&amp;B9&amp;"预评估"</f>
        <v>北京市房地产市场价值预评估</v>
      </c>
      <c r="C1" s="3229"/>
      <c r="D1" s="3229"/>
      <c r="E1" s="3229"/>
      <c r="F1" s="3229"/>
      <c r="G1" s="3229"/>
      <c r="H1" s="3229"/>
      <c r="I1" s="3230"/>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北京市房地产市场价值</v>
      </c>
      <c r="T1" s="1616"/>
      <c r="U1" s="1616"/>
      <c r="V1" s="1616"/>
      <c r="W1" s="1616"/>
      <c r="X1" s="1616"/>
      <c r="Y1" s="1616"/>
      <c r="Z1" s="1616"/>
      <c r="AA1" s="1616"/>
      <c r="AB1" s="1616"/>
    </row>
    <row r="2" spans="1:30">
      <c r="A2" s="2180" t="s">
        <v>2169</v>
      </c>
      <c r="B2" s="122"/>
      <c r="D2" s="2445"/>
      <c r="E2" s="2438"/>
      <c r="F2" s="2438"/>
      <c r="G2" s="2439"/>
      <c r="H2" s="2439"/>
      <c r="I2" s="2439"/>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2170</v>
      </c>
      <c r="B3" s="2183">
        <v>45884</v>
      </c>
      <c r="C3" s="2184" t="s">
        <v>2171</v>
      </c>
      <c r="D3" s="2183">
        <f>B3</f>
        <v>45884</v>
      </c>
      <c r="E3" s="2439"/>
      <c r="F3" s="2439"/>
      <c r="G3" s="2439"/>
      <c r="H3" s="2439"/>
      <c r="I3" s="2439"/>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8"/>
      <c r="F6" s="2439"/>
      <c r="G6" s="2439"/>
      <c r="H6" s="2439"/>
      <c r="I6" s="2439"/>
      <c r="J6" s="2243"/>
      <c r="K6" s="2398" t="str">
        <f>IF(COUNTIF(B6,"*上海银行*"),"上海银行","")</f>
        <v/>
      </c>
      <c r="L6" s="2396"/>
      <c r="M6" s="2396"/>
      <c r="N6" s="2243"/>
      <c r="O6" s="1668"/>
      <c r="P6" s="2243"/>
      <c r="Q6" s="2243"/>
      <c r="R6" s="2243"/>
    </row>
    <row r="7" spans="1:30">
      <c r="A7" s="2192" t="s">
        <v>2175</v>
      </c>
      <c r="B7" s="2196"/>
      <c r="C7" s="2194"/>
      <c r="D7" s="2195"/>
      <c r="E7" s="2438"/>
      <c r="F7" s="2439"/>
      <c r="G7" s="2439"/>
      <c r="H7" s="2439"/>
      <c r="I7" s="2439"/>
      <c r="J7" s="2243"/>
      <c r="K7" s="2399"/>
      <c r="L7" s="2396"/>
      <c r="M7" s="2396"/>
      <c r="N7" s="2243"/>
      <c r="O7" s="1668"/>
      <c r="P7" s="2243"/>
      <c r="Q7" s="2243"/>
      <c r="R7" s="2243"/>
    </row>
    <row r="8" spans="1:30">
      <c r="A8" s="2197" t="s">
        <v>2176</v>
      </c>
      <c r="B8" s="2198" t="s">
        <v>3422</v>
      </c>
      <c r="C8" s="2199"/>
      <c r="D8" s="3231" t="s">
        <v>2177</v>
      </c>
      <c r="E8" s="2200"/>
      <c r="F8" s="2201"/>
      <c r="G8" s="2439"/>
      <c r="H8" s="2439"/>
      <c r="I8" s="2439"/>
      <c r="J8" s="2243"/>
      <c r="K8" s="2397"/>
      <c r="L8" s="2396"/>
      <c r="M8" s="2396"/>
      <c r="N8" s="2243"/>
      <c r="O8" s="1668"/>
      <c r="P8" s="2243"/>
      <c r="Q8" s="2243"/>
      <c r="R8" s="2243"/>
    </row>
    <row r="9" spans="1:30" ht="13.5" thickBot="1">
      <c r="A9" s="2202" t="s">
        <v>2178</v>
      </c>
      <c r="B9" s="2203" t="s">
        <v>3423</v>
      </c>
      <c r="C9" s="2204"/>
      <c r="D9" s="3232"/>
      <c r="E9" s="2203"/>
      <c r="F9" s="2205"/>
      <c r="G9" s="2440"/>
      <c r="H9" s="2440"/>
      <c r="I9" s="2440"/>
      <c r="J9" s="2243"/>
      <c r="K9" s="2399"/>
      <c r="L9" s="2396"/>
      <c r="M9" s="2396"/>
      <c r="N9" s="2243"/>
      <c r="O9" s="1668"/>
      <c r="P9" s="2243"/>
      <c r="Q9" s="2243"/>
      <c r="R9" s="2243"/>
    </row>
    <row r="10" spans="1:30" ht="13.5" thickTop="1">
      <c r="A10" s="2206" t="s">
        <v>2179</v>
      </c>
      <c r="B10" s="2207" t="s">
        <v>3424</v>
      </c>
      <c r="C10" s="2208"/>
      <c r="D10" s="2191"/>
      <c r="E10" s="2209" t="s">
        <v>2180</v>
      </c>
      <c r="F10" s="2441"/>
      <c r="G10" s="2442"/>
      <c r="H10" s="2443"/>
      <c r="I10" s="2444"/>
      <c r="J10" s="2243"/>
      <c r="K10" s="2399"/>
      <c r="L10" s="2396"/>
      <c r="M10" s="2396"/>
      <c r="N10" s="2243"/>
      <c r="O10" s="1668"/>
      <c r="P10" s="2243"/>
      <c r="Q10" s="2243"/>
      <c r="R10" s="2243"/>
    </row>
    <row r="11" spans="1:30">
      <c r="A11" s="2210" t="s">
        <v>2181</v>
      </c>
      <c r="B11" s="2211" t="s">
        <v>3425</v>
      </c>
      <c r="C11" s="2212"/>
      <c r="D11" s="2213"/>
      <c r="E11" s="2180"/>
      <c r="F11" s="2180"/>
      <c r="G11" s="2180"/>
      <c r="H11" s="2180"/>
      <c r="I11" s="2180"/>
      <c r="J11" s="2799"/>
      <c r="K11" s="2396"/>
      <c r="L11" s="2396"/>
      <c r="M11" s="2396"/>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2573</v>
      </c>
      <c r="J12" s="2800"/>
      <c r="K12" s="2396"/>
      <c r="L12" s="2396"/>
      <c r="M12" s="2243"/>
      <c r="N12" s="1668"/>
      <c r="O12" s="2243"/>
      <c r="P12" s="2243"/>
      <c r="Q12" s="2243"/>
      <c r="AD12" s="1616"/>
    </row>
    <row r="13" spans="1:30">
      <c r="A13" s="3119" t="s">
        <v>3329</v>
      </c>
      <c r="B13" s="2216" t="s">
        <v>2190</v>
      </c>
      <c r="C13" s="801"/>
      <c r="D13" s="801">
        <v>55225</v>
      </c>
      <c r="E13" s="801">
        <v>58878</v>
      </c>
      <c r="F13" s="801">
        <v>58878</v>
      </c>
      <c r="G13" s="801">
        <v>58878</v>
      </c>
      <c r="H13" s="801"/>
      <c r="I13" s="801"/>
      <c r="J13" s="2800"/>
      <c r="K13" s="2396"/>
      <c r="L13" s="2396"/>
      <c r="M13" s="2243"/>
      <c r="N13" s="1668"/>
      <c r="O13" s="2243"/>
      <c r="P13" s="2243"/>
      <c r="Q13" s="2243"/>
      <c r="AD13" s="1616"/>
    </row>
    <row r="14" spans="1:30">
      <c r="A14" s="1016"/>
      <c r="B14" s="2216" t="s">
        <v>2191</v>
      </c>
      <c r="C14" s="2217"/>
      <c r="D14" s="2217">
        <v>40</v>
      </c>
      <c r="E14" s="2217">
        <v>50</v>
      </c>
      <c r="F14" s="2217">
        <v>50</v>
      </c>
      <c r="G14" s="2217">
        <v>50</v>
      </c>
      <c r="H14" s="2217"/>
      <c r="I14" s="2217"/>
      <c r="J14" s="2801"/>
      <c r="K14" s="2396"/>
      <c r="L14" s="2396"/>
      <c r="M14" s="2243"/>
      <c r="N14" s="1668"/>
      <c r="O14" s="2243"/>
      <c r="P14" s="2243"/>
      <c r="Q14" s="2243"/>
      <c r="AD14" s="1616"/>
    </row>
    <row r="15" spans="1:30">
      <c r="A15" s="312"/>
      <c r="B15" s="2218" t="s">
        <v>2192</v>
      </c>
      <c r="C15" s="2219" t="str">
        <f>IF(A13="出让",IF(C13="","",ROUNDDOWN(MIN((C13-$D$3)/365,C14),2)),C14)</f>
        <v/>
      </c>
      <c r="D15" s="2219">
        <f>IF(A13="出让",IF(D13="","",ROUNDDOWN(MIN((D13-$D$3)/365,D14),2)),D14)</f>
        <v>25.59</v>
      </c>
      <c r="E15" s="2219">
        <f>IF(A13="出让",IF(E13="","",ROUNDDOWN(MIN((E13-$D$3)/365,E14),2)),E14)</f>
        <v>35.6</v>
      </c>
      <c r="F15" s="2219">
        <f>IF(A13="出让",IF(F13="","",ROUNDDOWN(MIN((F13-$D$3)/365,F14),2)),F14)</f>
        <v>35.6</v>
      </c>
      <c r="G15" s="2219">
        <f>IF(A13="出让",IF(G13="","",ROUNDDOWN(MIN((G13-$D$3)/365,G14),2)),G14)</f>
        <v>35.6</v>
      </c>
      <c r="H15" s="2219" t="str">
        <f>IF(A13="出让",IF(H13="","",ROUNDDOWN(MIN((H13-$D$3)/365,H14),2)),H14)</f>
        <v/>
      </c>
      <c r="I15" s="2219" t="str">
        <f>IF(A13="出让",IF(I13="","",ROUNDDOWN(MIN((I13-$D$3)/365,I14),2)),I14)</f>
        <v/>
      </c>
      <c r="J15" s="2802"/>
      <c r="K15" s="1668"/>
      <c r="L15" s="1668"/>
      <c r="M15" s="2243"/>
      <c r="N15" s="1668"/>
      <c r="O15" s="2243"/>
      <c r="P15" s="2243"/>
      <c r="Q15" s="2243"/>
      <c r="AD15" s="1616"/>
    </row>
    <row r="16" spans="1:30">
      <c r="A16" s="2209" t="s">
        <v>2193</v>
      </c>
      <c r="B16" s="3238"/>
      <c r="C16" s="3239"/>
      <c r="D16" s="3240"/>
      <c r="E16" s="2220" t="s">
        <v>2194</v>
      </c>
      <c r="F16" s="3241"/>
      <c r="G16" s="3242"/>
      <c r="H16" s="3242"/>
      <c r="I16" s="3243"/>
      <c r="J16" s="2243"/>
      <c r="K16" s="2400"/>
      <c r="L16" s="1668"/>
      <c r="M16" s="1668"/>
      <c r="N16" s="2243"/>
      <c r="O16" s="1668"/>
      <c r="P16" s="2243"/>
      <c r="Q16" s="2243"/>
      <c r="R16" s="2243"/>
    </row>
    <row r="17" spans="1:28">
      <c r="A17" s="305" t="s">
        <v>2195</v>
      </c>
      <c r="B17" s="294" t="s">
        <v>2196</v>
      </c>
      <c r="C17" s="8">
        <f>'数据-汇总表'!E3</f>
        <v>41825.5</v>
      </c>
      <c r="D17" s="1254" t="s">
        <v>2197</v>
      </c>
      <c r="E17" s="3244" t="s">
        <v>2198</v>
      </c>
      <c r="F17" s="3245"/>
      <c r="G17" s="3245"/>
      <c r="H17" s="3245"/>
      <c r="I17" s="3246"/>
      <c r="J17" s="2243"/>
      <c r="K17" s="2401"/>
      <c r="L17" s="1668"/>
      <c r="M17" s="1668"/>
      <c r="N17" s="2243"/>
      <c r="O17" s="1668"/>
      <c r="P17" s="2243"/>
      <c r="Q17" s="2243"/>
      <c r="R17" s="2243"/>
      <c r="S17" s="2243"/>
      <c r="T17" s="2243"/>
      <c r="U17" s="2243"/>
      <c r="V17" s="2243"/>
    </row>
    <row r="18" spans="1:28" ht="24.75" thickBot="1">
      <c r="A18" s="2221" t="s">
        <v>2199</v>
      </c>
      <c r="B18" s="1025" t="s">
        <v>2200</v>
      </c>
      <c r="C18" s="2222">
        <f>'数据-汇总表'!D3</f>
        <v>0</v>
      </c>
      <c r="D18" s="1027" t="s">
        <v>2201</v>
      </c>
      <c r="E18" s="3247" t="s">
        <v>2202</v>
      </c>
      <c r="F18" s="3248"/>
      <c r="G18" s="3248"/>
      <c r="H18" s="3248"/>
      <c r="I18" s="3249"/>
      <c r="J18" s="2243"/>
      <c r="K18" s="2401"/>
      <c r="L18" s="1668"/>
      <c r="M18" s="1668"/>
      <c r="N18" s="2243"/>
      <c r="O18" s="1668"/>
      <c r="P18" s="2243"/>
      <c r="Q18" s="2243"/>
      <c r="R18" s="2243"/>
      <c r="S18" s="2243"/>
      <c r="T18" s="2243"/>
      <c r="U18" s="2243"/>
      <c r="V18" s="2243"/>
    </row>
    <row r="19" spans="1:28" ht="37.5" thickTop="1" thickBot="1">
      <c r="A19" s="319" t="s">
        <v>1055</v>
      </c>
      <c r="B19" s="299" t="s">
        <v>2203</v>
      </c>
      <c r="C19" s="1453" t="s">
        <v>3416</v>
      </c>
      <c r="D19" s="1454" t="s">
        <v>2204</v>
      </c>
      <c r="E19" s="1455"/>
      <c r="F19" s="1456" t="str">
        <f>IF(AND(C19="是",E19="否"),"是否提供他项权证或相关说明","")</f>
        <v/>
      </c>
      <c r="G19" s="1457"/>
      <c r="H19" s="2439"/>
      <c r="I19" s="2439"/>
      <c r="J19" s="2243"/>
      <c r="K19" s="2399"/>
      <c r="L19" s="2396"/>
      <c r="M19" s="2396"/>
      <c r="N19" s="2243"/>
      <c r="O19" s="1668"/>
      <c r="P19" s="2243"/>
      <c r="Q19" s="2243"/>
      <c r="R19" s="2243"/>
      <c r="S19" s="2243"/>
      <c r="T19" s="2243"/>
      <c r="U19" s="2243"/>
      <c r="V19" s="2243"/>
    </row>
    <row r="20" spans="1:28">
      <c r="A20" s="2414" t="s">
        <v>2205</v>
      </c>
      <c r="B20" s="3234" t="s">
        <v>2206</v>
      </c>
      <c r="C20" s="3235"/>
      <c r="D20" s="3236" t="s">
        <v>2207</v>
      </c>
      <c r="E20" s="3237"/>
      <c r="F20" s="2427" t="s">
        <v>1056</v>
      </c>
      <c r="G20" s="2439"/>
      <c r="H20" s="2439"/>
      <c r="I20" s="2439"/>
      <c r="J20" s="2243"/>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24.75" thickBot="1">
      <c r="A21" s="2414"/>
      <c r="B21" s="2415" t="s">
        <v>2209</v>
      </c>
      <c r="C21" s="2293" t="s">
        <v>1057</v>
      </c>
      <c r="D21" s="1458" t="s">
        <v>2210</v>
      </c>
      <c r="E21" s="2416" t="s">
        <v>1057</v>
      </c>
      <c r="F21" s="2428"/>
      <c r="G21" s="2439"/>
      <c r="H21" s="2439"/>
      <c r="I21" s="2439"/>
      <c r="J21" s="2243"/>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4"/>
      <c r="B22" s="2417" t="s">
        <v>2211</v>
      </c>
      <c r="C22" s="2293" t="s">
        <v>1058</v>
      </c>
      <c r="D22" s="2439"/>
      <c r="E22" s="2439"/>
      <c r="F22" s="2439"/>
      <c r="G22" s="2439"/>
      <c r="H22" s="2439"/>
      <c r="I22" s="2439"/>
      <c r="J22" s="2243"/>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8" t="s">
        <v>2212</v>
      </c>
      <c r="B23" s="2290" t="s">
        <v>2213</v>
      </c>
      <c r="C23" s="2419"/>
      <c r="D23" s="2420" t="s">
        <v>2213</v>
      </c>
      <c r="E23" s="2421"/>
      <c r="F23" s="2439"/>
      <c r="G23" s="2439"/>
      <c r="H23" s="2439"/>
      <c r="I23" s="2439"/>
      <c r="J23" s="2243"/>
      <c r="K23" s="2398"/>
      <c r="L23" s="121"/>
      <c r="M23" s="2396"/>
      <c r="N23" s="2243"/>
      <c r="O23" s="1668"/>
      <c r="P23" s="2243"/>
      <c r="Q23" s="2243"/>
      <c r="R23" s="2243"/>
      <c r="S23" s="2243"/>
      <c r="T23" s="2243"/>
      <c r="U23" s="2243"/>
      <c r="V23" s="2243"/>
    </row>
    <row r="24" spans="1:28">
      <c r="A24" s="2418"/>
      <c r="B24" s="2290" t="s">
        <v>1059</v>
      </c>
      <c r="C24" s="2268"/>
      <c r="D24" s="2418" t="s">
        <v>1059</v>
      </c>
      <c r="E24" s="2422"/>
      <c r="F24" s="2439"/>
      <c r="G24" s="2439"/>
      <c r="H24" s="2439"/>
      <c r="I24" s="2439"/>
      <c r="J24" s="2243"/>
      <c r="K24" s="2398"/>
      <c r="L24" s="121"/>
      <c r="M24" s="2396"/>
      <c r="N24" s="2243"/>
      <c r="O24" s="1668"/>
      <c r="P24" s="2243"/>
      <c r="Q24" s="2243"/>
      <c r="R24" s="2243"/>
      <c r="S24" s="2243"/>
      <c r="T24" s="2243"/>
      <c r="U24" s="2243"/>
      <c r="V24" s="2243"/>
    </row>
    <row r="25" spans="1:28">
      <c r="A25" s="2418"/>
      <c r="B25" s="2290" t="s">
        <v>1060</v>
      </c>
      <c r="C25" s="2268"/>
      <c r="D25" s="2418" t="s">
        <v>1060</v>
      </c>
      <c r="E25" s="2422"/>
      <c r="F25" s="2439"/>
      <c r="G25" s="2439"/>
      <c r="H25" s="2439"/>
      <c r="I25" s="2439"/>
      <c r="J25" s="2243"/>
      <c r="K25" s="2399"/>
      <c r="L25" s="2396"/>
      <c r="M25" s="2396"/>
      <c r="N25" s="2243"/>
      <c r="O25" s="1668"/>
      <c r="P25" s="2243"/>
      <c r="Q25" s="2243"/>
      <c r="R25" s="2243"/>
      <c r="S25" s="2243"/>
      <c r="T25" s="2243"/>
      <c r="U25" s="2243"/>
      <c r="V25" s="2243"/>
    </row>
    <row r="26" spans="1:28" ht="13.5" thickBot="1">
      <c r="A26" s="2423"/>
      <c r="B26" s="2424" t="s">
        <v>1061</v>
      </c>
      <c r="C26" s="2425"/>
      <c r="D26" s="2423" t="s">
        <v>1061</v>
      </c>
      <c r="E26" s="2426"/>
      <c r="F26" s="2440"/>
      <c r="G26" s="2440"/>
      <c r="H26" s="2440"/>
      <c r="I26" s="2440"/>
      <c r="J26" s="2243"/>
      <c r="K26" s="2399"/>
      <c r="L26" s="2396"/>
      <c r="M26" s="2396"/>
      <c r="N26" s="2243"/>
      <c r="O26" s="1668"/>
      <c r="P26" s="2243"/>
      <c r="Q26" s="2243"/>
      <c r="R26" s="2243"/>
      <c r="S26" s="2243"/>
      <c r="T26" s="2243"/>
      <c r="U26" s="2243"/>
      <c r="V26" s="2243"/>
    </row>
    <row r="27" spans="1:28" ht="13.5" thickTop="1">
      <c r="A27" s="3222" t="s">
        <v>2214</v>
      </c>
      <c r="B27" s="312" t="s">
        <v>2215</v>
      </c>
      <c r="C27" s="2223"/>
      <c r="D27" s="2224"/>
      <c r="E27" s="2439"/>
      <c r="F27" s="2439"/>
      <c r="G27" s="2439"/>
      <c r="H27" s="2439"/>
      <c r="I27" s="2439"/>
      <c r="J27" s="2243"/>
      <c r="K27" s="2400"/>
      <c r="L27" s="1668"/>
      <c r="M27" s="1668"/>
      <c r="N27" s="2243"/>
      <c r="O27" s="1668"/>
      <c r="P27" s="2243"/>
      <c r="Q27" s="2243"/>
      <c r="R27" s="2243"/>
      <c r="S27" s="2243"/>
      <c r="T27" s="2243"/>
      <c r="U27" s="2243"/>
      <c r="V27" s="2243"/>
    </row>
    <row r="28" spans="1:28">
      <c r="A28" s="3222"/>
      <c r="B28" s="294" t="s">
        <v>2216</v>
      </c>
      <c r="C28" s="2225"/>
      <c r="D28" s="2226"/>
      <c r="E28" s="2439"/>
      <c r="F28" s="2439"/>
      <c r="G28" s="2439"/>
      <c r="H28" s="2439"/>
      <c r="I28" s="2439"/>
      <c r="J28" s="2243"/>
      <c r="K28" s="2399"/>
      <c r="L28" s="2396"/>
      <c r="M28" s="2396"/>
      <c r="N28" s="2243"/>
      <c r="O28" s="1668"/>
      <c r="P28" s="2243"/>
      <c r="Q28" s="2243"/>
      <c r="R28" s="2243"/>
      <c r="S28" s="2243"/>
      <c r="T28" s="2243"/>
      <c r="U28" s="2243"/>
      <c r="V28" s="2243"/>
    </row>
    <row r="29" spans="1:28">
      <c r="A29" s="3222"/>
      <c r="B29" s="294" t="s">
        <v>2217</v>
      </c>
      <c r="C29" s="2227"/>
      <c r="D29" s="2228"/>
      <c r="E29" s="2439"/>
      <c r="F29" s="2439"/>
      <c r="G29" s="2439"/>
      <c r="H29" s="2439"/>
      <c r="I29" s="2439"/>
      <c r="J29" s="2243"/>
      <c r="K29" s="2399"/>
      <c r="L29" s="2396"/>
      <c r="M29" s="2396"/>
      <c r="N29" s="2243"/>
      <c r="O29" s="1668"/>
      <c r="P29" s="2243"/>
      <c r="Q29" s="2243"/>
      <c r="R29" s="2243"/>
      <c r="S29" s="2243"/>
      <c r="T29" s="2243"/>
      <c r="U29" s="2243"/>
      <c r="V29" s="2243"/>
    </row>
    <row r="30" spans="1:28">
      <c r="A30" s="3223"/>
      <c r="B30" s="294" t="s">
        <v>2218</v>
      </c>
      <c r="C30" s="3224"/>
      <c r="D30" s="3225"/>
      <c r="E30" s="2439"/>
      <c r="F30" s="2439"/>
      <c r="G30" s="2439"/>
      <c r="H30" s="2439"/>
      <c r="I30" s="2439"/>
      <c r="J30" s="2243"/>
      <c r="K30" s="2399"/>
      <c r="L30" s="2396"/>
      <c r="M30" s="2396"/>
      <c r="N30" s="2243"/>
      <c r="O30" s="1668"/>
      <c r="P30" s="2243"/>
      <c r="Q30" s="2243"/>
      <c r="R30" s="2243"/>
      <c r="S30" s="2243"/>
      <c r="T30" s="2243"/>
      <c r="U30" s="2243"/>
      <c r="V30" s="2243"/>
    </row>
    <row r="31" spans="1:28">
      <c r="A31" s="3226" t="s">
        <v>2219</v>
      </c>
      <c r="B31" s="2229"/>
      <c r="C31" s="12" t="str">
        <f>IF(B31="现房","成新及维护状况正常否",IF(B31="在建","工程状态是否正常",IF(B31="土地","是否闲置","-")))</f>
        <v>-</v>
      </c>
      <c r="D31" s="1279"/>
      <c r="E31" s="2230"/>
      <c r="F31" s="2439"/>
      <c r="G31" s="2439"/>
      <c r="H31" s="2439"/>
      <c r="I31" s="2439"/>
      <c r="J31" s="2243"/>
      <c r="K31" s="2398"/>
      <c r="L31" s="2396"/>
      <c r="M31" s="2396"/>
      <c r="N31" s="2243"/>
      <c r="O31" s="1668"/>
      <c r="P31" s="2243"/>
      <c r="Q31" s="2243"/>
      <c r="R31" s="2243"/>
      <c r="S31" s="2243"/>
      <c r="T31" s="2243"/>
      <c r="U31" s="2243"/>
      <c r="V31" s="2243"/>
    </row>
    <row r="32" spans="1:28">
      <c r="A32" s="3227"/>
      <c r="B32" s="2229"/>
      <c r="C32" s="12" t="str">
        <f>IF(B32="现房","成新及维护状况是否正常",IF(B32="在建","工程状态是否正常",IF(B32="土地","是否闲置","-")))</f>
        <v>-</v>
      </c>
      <c r="D32" s="1279"/>
      <c r="E32" s="2230"/>
      <c r="F32" s="2439"/>
      <c r="G32" s="2439"/>
      <c r="H32" s="2439"/>
      <c r="I32" s="2439"/>
      <c r="J32" s="2243"/>
      <c r="K32" s="2399"/>
      <c r="L32" s="2396"/>
      <c r="M32" s="2396"/>
      <c r="N32" s="2243"/>
      <c r="O32" s="1668"/>
      <c r="P32" s="2243"/>
      <c r="Q32" s="2243"/>
      <c r="R32" s="2243"/>
      <c r="S32" s="2243"/>
      <c r="T32" s="2243"/>
      <c r="U32" s="2243"/>
      <c r="V32" s="2243"/>
    </row>
    <row r="33" spans="1:30">
      <c r="A33" s="3227"/>
      <c r="B33" s="2232"/>
      <c r="C33" s="1476" t="str">
        <f>IF(B33="现房","成新及维护状况是否正常",IF(B33="在建","工程状态是否正常",IF(B33="土地","是否闲置","-")))</f>
        <v>-</v>
      </c>
      <c r="D33" s="1272"/>
      <c r="E33" s="2233"/>
      <c r="F33" s="2439"/>
      <c r="G33" s="2439"/>
      <c r="H33" s="2439"/>
      <c r="I33" s="2439"/>
      <c r="J33" s="2243"/>
      <c r="K33" s="2399"/>
      <c r="L33" s="2396"/>
      <c r="M33" s="2396"/>
      <c r="N33" s="2243"/>
      <c r="O33" s="1668"/>
      <c r="P33" s="2243"/>
      <c r="Q33" s="2243"/>
      <c r="R33" s="2243"/>
      <c r="S33" s="2243"/>
      <c r="T33" s="2243"/>
      <c r="U33" s="2243"/>
      <c r="V33" s="2243"/>
    </row>
    <row r="34" spans="1:30">
      <c r="A34" s="294" t="s">
        <v>2220</v>
      </c>
      <c r="B34" s="1868"/>
      <c r="C34" s="1868"/>
      <c r="D34" s="1868"/>
      <c r="E34" s="1868"/>
      <c r="F34" s="1868"/>
      <c r="G34" s="1868"/>
      <c r="H34" s="1868"/>
      <c r="I34" s="2439"/>
      <c r="J34" s="2243"/>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3"/>
      <c r="V34" s="2243"/>
    </row>
    <row r="35" spans="1:30">
      <c r="A35" s="2234"/>
      <c r="B35" s="3221" t="s">
        <v>2229</v>
      </c>
      <c r="C35" s="3221"/>
      <c r="D35" s="3221"/>
      <c r="E35" s="3221"/>
      <c r="F35" s="8">
        <f>C10</f>
        <v>0</v>
      </c>
      <c r="G35" s="2439"/>
      <c r="H35" s="2439"/>
      <c r="I35" s="243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3"/>
      <c r="V35" s="2243"/>
    </row>
    <row r="36" spans="1:30">
      <c r="A36" s="2181"/>
      <c r="B36" s="8" t="s">
        <v>2185</v>
      </c>
      <c r="C36" s="8" t="s">
        <v>2186</v>
      </c>
      <c r="D36" s="8" t="s">
        <v>2184</v>
      </c>
      <c r="E36" s="8" t="s">
        <v>2189</v>
      </c>
      <c r="F36" s="2798" t="s">
        <v>2576</v>
      </c>
      <c r="G36" s="2439"/>
      <c r="H36" s="2439"/>
      <c r="I36" s="2439"/>
      <c r="J36" s="2243"/>
      <c r="K36" s="2399"/>
      <c r="L36" s="2396"/>
      <c r="M36" s="2396"/>
      <c r="N36" s="2243"/>
      <c r="O36" s="1668"/>
      <c r="P36" s="2243"/>
      <c r="Q36" s="2243"/>
      <c r="R36" s="2243"/>
      <c r="S36" s="2243"/>
      <c r="T36" s="2243"/>
      <c r="U36" s="2243"/>
      <c r="V36" s="2243"/>
    </row>
    <row r="37" spans="1:30">
      <c r="A37" s="2412" t="s">
        <v>2230</v>
      </c>
      <c r="B37" s="2235" t="s">
        <v>110</v>
      </c>
      <c r="C37" s="2235" t="s">
        <v>110</v>
      </c>
      <c r="D37" s="2235"/>
      <c r="E37" s="2235"/>
      <c r="F37" s="2235"/>
      <c r="G37" s="2439"/>
      <c r="H37" s="2439"/>
      <c r="I37" s="2439"/>
      <c r="J37" s="2243"/>
      <c r="K37" s="2399"/>
      <c r="L37" s="2396"/>
      <c r="M37" s="2396"/>
      <c r="N37" s="2243"/>
      <c r="O37" s="1668"/>
      <c r="P37" s="2243"/>
      <c r="Q37" s="2243"/>
      <c r="R37" s="2243"/>
      <c r="S37" s="2243"/>
      <c r="T37" s="2243"/>
      <c r="U37" s="2243"/>
      <c r="V37" s="2243"/>
    </row>
    <row r="38" spans="1:30" ht="13.5" thickBot="1">
      <c r="A38" s="2413" t="s">
        <v>2231</v>
      </c>
      <c r="B38" s="2236" t="s">
        <v>3419</v>
      </c>
      <c r="C38" s="2236" t="s">
        <v>3419</v>
      </c>
      <c r="D38" s="2236"/>
      <c r="E38" s="2236"/>
      <c r="F38" s="2236"/>
      <c r="G38" s="2440"/>
      <c r="H38" s="2440"/>
      <c r="I38" s="2440"/>
      <c r="J38" s="2243"/>
      <c r="K38" s="2399"/>
      <c r="L38" s="2396"/>
      <c r="M38" s="2396"/>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4"/>
      <c r="J40" s="2243"/>
      <c r="K40" s="2398"/>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399"/>
      <c r="L41" s="2396"/>
      <c r="M41" s="2396"/>
      <c r="N41" s="2243"/>
      <c r="O41" s="1668"/>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4" customFormat="1">
      <c r="A43" s="1460"/>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4" customFormat="1">
      <c r="A44" s="1460"/>
      <c r="B44" s="1460"/>
      <c r="C44" s="628"/>
      <c r="D44" s="628"/>
      <c r="E44" s="628"/>
      <c r="F44" s="628"/>
      <c r="G44" s="628"/>
      <c r="H44" s="628"/>
      <c r="I44" s="628"/>
      <c r="J44" s="2241"/>
      <c r="K44" s="2242"/>
      <c r="L44" s="2242"/>
      <c r="M44" s="628"/>
      <c r="N44" s="628"/>
      <c r="O44" s="628"/>
      <c r="P44" s="628"/>
      <c r="Q44" s="628"/>
      <c r="R44" s="628"/>
      <c r="S44" s="2243"/>
      <c r="T44" s="2243"/>
      <c r="U44" s="2243"/>
      <c r="V44" s="2243"/>
    </row>
    <row r="45" spans="1:30" s="1614" customFormat="1">
      <c r="A45" s="1460"/>
      <c r="B45" s="1460"/>
      <c r="C45" s="628"/>
      <c r="D45" s="628"/>
      <c r="E45" s="628"/>
      <c r="F45" s="628"/>
      <c r="G45" s="628"/>
      <c r="H45" s="628"/>
      <c r="I45" s="628"/>
      <c r="J45" s="2241"/>
      <c r="K45" s="2242"/>
      <c r="L45" s="2242"/>
      <c r="M45" s="628"/>
      <c r="N45" s="628"/>
      <c r="O45" s="628"/>
      <c r="P45" s="628"/>
      <c r="Q45" s="628"/>
      <c r="R45" s="628"/>
      <c r="S45" s="2243"/>
      <c r="T45" s="2243"/>
      <c r="U45" s="2243"/>
      <c r="V45" s="2243"/>
    </row>
    <row r="46" spans="1:30" s="1614" customFormat="1">
      <c r="A46" s="1460"/>
      <c r="B46" s="1460"/>
      <c r="C46" s="628"/>
      <c r="D46" s="628"/>
      <c r="E46" s="628"/>
      <c r="F46" s="628"/>
      <c r="G46" s="628"/>
      <c r="H46" s="628"/>
      <c r="I46" s="628"/>
      <c r="J46" s="2241"/>
      <c r="K46" s="2242"/>
      <c r="L46" s="2242"/>
      <c r="M46" s="628"/>
      <c r="N46" s="628"/>
      <c r="O46" s="628"/>
      <c r="P46" s="628"/>
      <c r="Q46" s="628"/>
      <c r="R46" s="628"/>
      <c r="S46" s="2243"/>
      <c r="T46" s="2243"/>
      <c r="U46" s="2243"/>
      <c r="V46" s="2243"/>
    </row>
    <row r="47" spans="1:30" s="1614" customFormat="1">
      <c r="A47" s="1460"/>
      <c r="B47" s="1460"/>
      <c r="C47" s="628"/>
      <c r="D47" s="628"/>
      <c r="E47" s="628"/>
      <c r="F47" s="628"/>
      <c r="G47" s="628"/>
      <c r="H47" s="628"/>
      <c r="I47" s="628"/>
      <c r="J47" s="2241"/>
      <c r="K47" s="2242"/>
      <c r="L47" s="2242"/>
      <c r="M47" s="628"/>
      <c r="N47" s="628"/>
      <c r="O47" s="628"/>
      <c r="P47" s="628"/>
      <c r="Q47" s="628"/>
      <c r="R47" s="628"/>
      <c r="S47" s="2243"/>
      <c r="T47" s="2243"/>
      <c r="U47" s="2243"/>
      <c r="V47" s="2243"/>
    </row>
    <row r="48" spans="1:30" s="1614" customFormat="1">
      <c r="A48" s="1460"/>
      <c r="B48" s="1460"/>
      <c r="C48" s="628"/>
      <c r="D48" s="628"/>
      <c r="E48" s="628"/>
      <c r="F48" s="628"/>
      <c r="G48" s="628"/>
      <c r="H48" s="628"/>
      <c r="I48" s="628"/>
      <c r="J48" s="2241"/>
      <c r="K48" s="2242"/>
      <c r="L48" s="2242"/>
      <c r="M48" s="628"/>
      <c r="N48" s="628"/>
      <c r="O48" s="628"/>
      <c r="P48" s="628"/>
      <c r="Q48" s="628"/>
      <c r="R48" s="628"/>
      <c r="S48" s="2243"/>
      <c r="T48" s="2243"/>
      <c r="U48" s="2243"/>
      <c r="V48" s="2243"/>
    </row>
    <row r="49" spans="1:22" s="1614" customFormat="1">
      <c r="A49" s="1460"/>
      <c r="B49" s="1460"/>
      <c r="C49" s="628"/>
      <c r="D49" s="628"/>
      <c r="E49" s="628"/>
      <c r="F49" s="628"/>
      <c r="G49" s="628"/>
      <c r="H49" s="628"/>
      <c r="I49" s="628"/>
      <c r="J49" s="2241"/>
      <c r="K49" s="2242"/>
      <c r="L49" s="2242"/>
      <c r="M49" s="628"/>
      <c r="N49" s="628"/>
      <c r="O49" s="628"/>
      <c r="P49" s="628"/>
      <c r="Q49" s="628"/>
      <c r="R49" s="628"/>
      <c r="S49" s="2243"/>
      <c r="T49" s="2243"/>
      <c r="U49" s="2243"/>
      <c r="V49" s="2243"/>
    </row>
    <row r="50" spans="1:22" s="1614" customFormat="1">
      <c r="A50" s="1460"/>
      <c r="B50" s="1460"/>
      <c r="C50" s="628"/>
      <c r="D50" s="628"/>
      <c r="E50" s="628"/>
      <c r="F50" s="628"/>
      <c r="G50" s="628"/>
      <c r="H50" s="628"/>
      <c r="I50" s="628"/>
      <c r="J50" s="2241"/>
      <c r="K50" s="2242"/>
      <c r="L50" s="2242"/>
      <c r="M50" s="628"/>
      <c r="N50" s="628"/>
      <c r="O50" s="628"/>
      <c r="P50" s="628"/>
      <c r="Q50" s="628"/>
      <c r="R50" s="628"/>
      <c r="S50" s="2243"/>
      <c r="T50" s="2243"/>
      <c r="U50" s="2243"/>
      <c r="V50" s="2243"/>
    </row>
    <row r="51" spans="1:22" s="1614" customFormat="1">
      <c r="A51" s="1460"/>
      <c r="B51" s="1460"/>
      <c r="C51" s="628"/>
      <c r="D51" s="628"/>
      <c r="E51" s="628"/>
      <c r="F51" s="628"/>
      <c r="G51" s="628"/>
      <c r="H51" s="628"/>
      <c r="I51" s="628"/>
      <c r="J51" s="2241"/>
      <c r="K51" s="2242"/>
      <c r="L51" s="2242"/>
      <c r="M51" s="628"/>
      <c r="N51" s="628"/>
      <c r="O51" s="628"/>
      <c r="P51" s="628"/>
      <c r="Q51" s="628"/>
      <c r="R51" s="628"/>
    </row>
    <row r="52" spans="1:22" s="1614" customFormat="1">
      <c r="A52" s="1460"/>
      <c r="B52" s="1460"/>
      <c r="C52" s="1460"/>
      <c r="D52" s="1460"/>
      <c r="E52" s="1460"/>
      <c r="F52" s="628"/>
      <c r="G52" s="1460"/>
      <c r="H52" s="1460"/>
      <c r="I52" s="1460"/>
      <c r="J52" s="2244"/>
      <c r="K52" s="2242"/>
      <c r="L52" s="2242"/>
      <c r="M52" s="2242"/>
      <c r="N52" s="1460"/>
      <c r="O52" s="1460"/>
      <c r="P52" s="1460"/>
      <c r="Q52" s="1460"/>
      <c r="R52" s="1460"/>
    </row>
    <row r="53" spans="1:22" s="1614" customFormat="1">
      <c r="A53" s="1460"/>
      <c r="B53" s="1460"/>
      <c r="C53" s="1460"/>
      <c r="D53" s="1460"/>
      <c r="E53" s="1460"/>
      <c r="F53" s="628"/>
      <c r="G53" s="1460"/>
      <c r="H53" s="1460"/>
      <c r="I53" s="1460"/>
      <c r="J53" s="2244"/>
      <c r="K53" s="2242"/>
      <c r="L53" s="2242"/>
      <c r="M53" s="2242"/>
      <c r="N53" s="1460"/>
      <c r="O53" s="1460"/>
      <c r="P53" s="1460"/>
      <c r="Q53" s="1460"/>
      <c r="R53" s="1460"/>
    </row>
    <row r="54" spans="1:22" s="1614" customFormat="1">
      <c r="A54" s="1460"/>
      <c r="B54" s="1460"/>
      <c r="C54" s="1460"/>
      <c r="D54" s="1460"/>
      <c r="E54" s="1460"/>
      <c r="F54" s="628"/>
      <c r="G54" s="1460"/>
      <c r="H54" s="1460"/>
      <c r="I54" s="1460"/>
      <c r="J54" s="2244"/>
      <c r="K54" s="2242"/>
      <c r="L54" s="2242"/>
      <c r="M54" s="2242"/>
      <c r="N54" s="1460"/>
      <c r="O54" s="1460"/>
      <c r="P54" s="1460"/>
      <c r="Q54" s="1460"/>
      <c r="R54" s="1460"/>
    </row>
    <row r="55" spans="1:22" s="1614" customFormat="1">
      <c r="A55" s="1460"/>
      <c r="B55" s="1460"/>
      <c r="C55" s="1460"/>
      <c r="D55" s="1460"/>
      <c r="E55" s="1460"/>
      <c r="F55" s="628"/>
      <c r="G55" s="1460"/>
      <c r="H55" s="1460"/>
      <c r="I55" s="1460"/>
      <c r="J55" s="2244"/>
      <c r="K55" s="2242"/>
      <c r="L55" s="2242"/>
      <c r="M55" s="2242"/>
      <c r="N55" s="1460"/>
      <c r="O55" s="1460"/>
      <c r="P55" s="1460"/>
      <c r="Q55" s="1460"/>
      <c r="R55" s="1460"/>
    </row>
    <row r="56" spans="1:22" s="1614" customFormat="1">
      <c r="A56" s="1460"/>
      <c r="B56" s="1460"/>
      <c r="C56" s="1460"/>
      <c r="D56" s="1460"/>
      <c r="E56" s="1460"/>
      <c r="F56" s="628"/>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41825.5</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41825.5</v>
      </c>
      <c r="H5" s="13">
        <f t="shared" ref="H5:AT5" si="0">SUM(H13:H656)</f>
        <v>41825.5</v>
      </c>
      <c r="I5" s="13">
        <f t="shared" si="0"/>
        <v>11124.33</v>
      </c>
      <c r="J5" s="13">
        <f t="shared" si="0"/>
        <v>0</v>
      </c>
      <c r="K5" s="13">
        <f t="shared" si="0"/>
        <v>5677.85</v>
      </c>
      <c r="L5" s="13">
        <f t="shared" si="0"/>
        <v>0</v>
      </c>
      <c r="M5" s="13">
        <f t="shared" si="0"/>
        <v>682.17</v>
      </c>
      <c r="N5" s="13">
        <f t="shared" si="0"/>
        <v>0</v>
      </c>
      <c r="O5" s="13">
        <f t="shared" si="0"/>
        <v>3434.37</v>
      </c>
      <c r="P5" s="13">
        <f t="shared" si="0"/>
        <v>0</v>
      </c>
      <c r="Q5" s="13">
        <f t="shared" si="0"/>
        <v>17387.98</v>
      </c>
      <c r="R5" s="13">
        <f t="shared" si="0"/>
        <v>0</v>
      </c>
      <c r="S5" s="13">
        <f t="shared" si="0"/>
        <v>3518.8</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41825.5</v>
      </c>
      <c r="BA5" s="15">
        <f t="shared" si="1"/>
        <v>41825.5</v>
      </c>
      <c r="BB5" s="15">
        <f t="shared" si="1"/>
        <v>11124.33</v>
      </c>
      <c r="BC5" s="15">
        <f t="shared" si="1"/>
        <v>5677.85</v>
      </c>
      <c r="BD5" s="15">
        <f t="shared" si="1"/>
        <v>682.17</v>
      </c>
      <c r="BE5" s="15">
        <f t="shared" si="1"/>
        <v>3434.37</v>
      </c>
      <c r="BF5" s="15">
        <f t="shared" si="1"/>
        <v>17387.98</v>
      </c>
      <c r="BG5" s="15">
        <f t="shared" si="1"/>
        <v>3518.8</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3420</v>
      </c>
      <c r="J9" s="759"/>
      <c r="K9" s="1489" t="s">
        <v>3426</v>
      </c>
      <c r="L9" s="759"/>
      <c r="M9" s="1489" t="s">
        <v>3426</v>
      </c>
      <c r="N9" s="759"/>
      <c r="O9" s="1489" t="s">
        <v>3426</v>
      </c>
      <c r="P9" s="759"/>
      <c r="Q9" s="1489" t="s">
        <v>3426</v>
      </c>
      <c r="R9" s="759"/>
      <c r="S9" s="1489" t="s">
        <v>3426</v>
      </c>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673</v>
      </c>
      <c r="J10" s="759"/>
      <c r="K10" s="1495" t="s">
        <v>673</v>
      </c>
      <c r="L10" s="759"/>
      <c r="M10" s="1495" t="s">
        <v>21</v>
      </c>
      <c r="N10" s="759"/>
      <c r="O10" s="1495" t="s">
        <v>3331</v>
      </c>
      <c r="P10" s="759"/>
      <c r="Q10" s="1495" t="s">
        <v>3330</v>
      </c>
      <c r="R10" s="759"/>
      <c r="S10" s="1495" t="s">
        <v>3427</v>
      </c>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t="str">
        <f>M9</f>
        <v>地下</v>
      </c>
      <c r="BE10" s="26" t="str">
        <f>O9</f>
        <v>地下</v>
      </c>
      <c r="BF10" s="26" t="str">
        <f>Q9</f>
        <v>地下</v>
      </c>
      <c r="BG10" s="26" t="str">
        <f>S9</f>
        <v>地下</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t="s">
        <v>3421</v>
      </c>
      <c r="J11" s="1501"/>
      <c r="K11" s="1500" t="s">
        <v>3421</v>
      </c>
      <c r="L11" s="1501"/>
      <c r="M11" s="1500" t="s">
        <v>3421</v>
      </c>
      <c r="N11" s="1501"/>
      <c r="O11" s="1500" t="s">
        <v>3421</v>
      </c>
      <c r="P11" s="1501"/>
      <c r="Q11" s="1500" t="s">
        <v>3421</v>
      </c>
      <c r="R11" s="1501"/>
      <c r="S11" s="1500" t="s">
        <v>3421</v>
      </c>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t="str">
        <f>K10</f>
        <v>商业</v>
      </c>
      <c r="BD11" s="1485" t="str">
        <f>M10</f>
        <v>办公</v>
      </c>
      <c r="BE11" s="1485" t="str">
        <f>O10</f>
        <v>仓储</v>
      </c>
      <c r="BF11" s="1485" t="str">
        <f>Q10</f>
        <v>车库</v>
      </c>
      <c r="BG11" s="1485" t="str">
        <f>S10</f>
        <v>车库—办公</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t="str">
        <f>K11</f>
        <v>平层住宅</v>
      </c>
      <c r="BD12" s="1510" t="str">
        <f>M11</f>
        <v>平层住宅</v>
      </c>
      <c r="BE12" s="1485" t="str">
        <f>O11</f>
        <v>平层住宅</v>
      </c>
      <c r="BF12" s="1485" t="str">
        <f>Q11</f>
        <v>平层住宅</v>
      </c>
      <c r="BG12" s="1485" t="str">
        <f>S11</f>
        <v>平层住宅</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8"/>
      <c r="B13" s="628"/>
      <c r="C13" s="628"/>
      <c r="D13" s="1511" t="s">
        <v>3416</v>
      </c>
      <c r="E13" s="13">
        <f>IF($C$3="是",ROUND($A$3*G13/$B$3,2),ROUND($A$3*(G13-AT13)/$B$3,2))</f>
        <v>0</v>
      </c>
      <c r="F13" s="29"/>
      <c r="G13" s="30">
        <f>H13+AC13+AT13</f>
        <v>41825.5</v>
      </c>
      <c r="H13" s="17">
        <f>SUMIF(I$12:AB$12,"总值",I13:AB13)</f>
        <v>41825.5</v>
      </c>
      <c r="I13" s="1512">
        <v>11124.33</v>
      </c>
      <c r="J13" s="1512"/>
      <c r="K13" s="1512">
        <v>5677.85</v>
      </c>
      <c r="L13" s="1512"/>
      <c r="M13" s="1512">
        <v>682.17</v>
      </c>
      <c r="N13" s="1512"/>
      <c r="O13" s="1512">
        <v>3434.37</v>
      </c>
      <c r="P13" s="1512"/>
      <c r="Q13" s="1512">
        <v>17387.98</v>
      </c>
      <c r="R13" s="1512"/>
      <c r="S13" s="1512">
        <v>3518.8</v>
      </c>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0</v>
      </c>
      <c r="AY13" s="1258">
        <f>ROUND($AY$6*AZ13/$AZ$5,2)</f>
        <v>0</v>
      </c>
      <c r="AZ13" s="13">
        <f>BA13+BL13</f>
        <v>41825.5</v>
      </c>
      <c r="BA13" s="13">
        <f>SUM(BB13:BK13)</f>
        <v>41825.5</v>
      </c>
      <c r="BB13" s="13">
        <f>IF($D13="是",I13-J13,0)</f>
        <v>11124.33</v>
      </c>
      <c r="BC13" s="13">
        <f>IF($D13="是",K13-L13,0)</f>
        <v>5677.85</v>
      </c>
      <c r="BD13" s="13">
        <f>IF($D13="是",M13-N13,0)</f>
        <v>682.17</v>
      </c>
      <c r="BE13" s="13">
        <f>IF($D13="是",O13-P13,0)</f>
        <v>3434.37</v>
      </c>
      <c r="BF13" s="13">
        <f>IF($D13="是",Q13-R13,0)</f>
        <v>17387.98</v>
      </c>
      <c r="BG13" s="13">
        <f>IF($D13="是",S13-T13,0)</f>
        <v>3518.8</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8"/>
      <c r="B14" s="628"/>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8"/>
      <c r="B15" s="628"/>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3" sqref="C23"/>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59" t="s">
        <v>1131</v>
      </c>
      <c r="B2" s="3259"/>
      <c r="C2" s="3259"/>
      <c r="D2" s="746" t="s">
        <v>1107</v>
      </c>
      <c r="E2" s="1521" t="s">
        <v>1108</v>
      </c>
      <c r="F2" s="2436"/>
      <c r="G2" s="2429"/>
      <c r="H2" s="2430"/>
      <c r="I2" s="2144" t="s">
        <v>1132</v>
      </c>
      <c r="J2" s="2436"/>
      <c r="K2" s="2436"/>
      <c r="L2" s="2436"/>
      <c r="M2" s="2436"/>
      <c r="N2" s="2437"/>
      <c r="O2" s="2436"/>
      <c r="P2" s="2436"/>
    </row>
    <row r="3" spans="1:16" ht="15.75" thickBot="1">
      <c r="A3" s="3260" t="s">
        <v>1105</v>
      </c>
      <c r="B3" s="3260"/>
      <c r="C3" s="3260"/>
      <c r="D3" s="41">
        <f>'数据-基础表'!AY6</f>
        <v>0</v>
      </c>
      <c r="E3" s="41">
        <f>'数据-基础表'!AZ5</f>
        <v>41825.5</v>
      </c>
      <c r="F3" s="2436"/>
      <c r="G3" s="42"/>
      <c r="H3" s="43" t="s">
        <v>1106</v>
      </c>
      <c r="I3" s="800" t="e">
        <f>ROUND('数据-基础表'!B3/'数据-基础表'!A3,2)</f>
        <v>#DIV/0!</v>
      </c>
      <c r="J3" s="2436"/>
      <c r="K3" s="2436"/>
      <c r="L3" s="2436"/>
      <c r="M3" s="2436"/>
      <c r="N3" s="2437"/>
      <c r="O3" s="2436"/>
      <c r="P3" s="2436"/>
    </row>
    <row r="4" spans="1:16" ht="15">
      <c r="A4" s="3261"/>
      <c r="B4" s="3262"/>
      <c r="C4" s="3263"/>
      <c r="D4" s="1522" t="s">
        <v>1107</v>
      </c>
      <c r="E4" s="1523" t="s">
        <v>1108</v>
      </c>
      <c r="F4" s="2436"/>
      <c r="G4" s="2431" t="s">
        <v>1133</v>
      </c>
      <c r="H4" s="43" t="s">
        <v>1113</v>
      </c>
      <c r="I4" s="800" t="e">
        <f>ROUND(SUMIF('数据-基础表'!I9:AS9,"地上",'数据-基础表'!I5:AS5)/'数据-基础表'!A3,2)</f>
        <v>#DIV/0!</v>
      </c>
      <c r="J4" s="2436"/>
      <c r="K4" s="2436"/>
      <c r="L4" s="2436"/>
      <c r="M4" s="2436"/>
      <c r="N4" s="2437"/>
      <c r="O4" s="2436"/>
      <c r="P4" s="2436"/>
    </row>
    <row r="5" spans="1:16">
      <c r="A5" s="42" t="s">
        <v>1109</v>
      </c>
      <c r="B5" s="3264" t="s">
        <v>1110</v>
      </c>
      <c r="C5" s="3264"/>
      <c r="D5" s="43">
        <f>ROUND($D$3*E5/$E$3,2)</f>
        <v>0</v>
      </c>
      <c r="E5" s="44">
        <f>SUMIF('数据-基础表'!$11:$11,"住宅",'数据-基础表'!$5:$5)</f>
        <v>0</v>
      </c>
      <c r="F5" s="2436"/>
      <c r="G5" s="42"/>
      <c r="H5" s="43" t="s">
        <v>1106</v>
      </c>
      <c r="I5" s="800" t="e">
        <f>ROUND(E31/D31,2)</f>
        <v>#DIV/0!</v>
      </c>
      <c r="J5" s="2436"/>
      <c r="K5" s="2436"/>
      <c r="L5" s="2436"/>
      <c r="M5" s="2436"/>
      <c r="N5" s="2436"/>
      <c r="O5" s="2436"/>
      <c r="P5" s="2436"/>
    </row>
    <row r="6" spans="1:16" ht="15" thickBot="1">
      <c r="A6" s="1525"/>
      <c r="B6" s="3264" t="s">
        <v>1111</v>
      </c>
      <c r="C6" s="3264"/>
      <c r="D6" s="43">
        <f>ROUND($D$3*E6/$E$3,2)</f>
        <v>0</v>
      </c>
      <c r="E6" s="44">
        <f>E3-E5</f>
        <v>41825.5</v>
      </c>
      <c r="F6" s="2436"/>
      <c r="G6" s="1527" t="s">
        <v>1112</v>
      </c>
      <c r="H6" s="45" t="s">
        <v>1113</v>
      </c>
      <c r="I6" s="2432" t="e">
        <f>ROUND(F31/D31,2)</f>
        <v>#DIV/0!</v>
      </c>
      <c r="J6" s="2436"/>
      <c r="K6" s="2436"/>
      <c r="L6" s="2436"/>
      <c r="M6" s="2436"/>
      <c r="N6" s="2436"/>
      <c r="O6" s="2436"/>
      <c r="P6" s="2436"/>
    </row>
    <row r="7" spans="1:16" ht="15.75" thickBot="1">
      <c r="A7" s="3256"/>
      <c r="B7" s="3257"/>
      <c r="C7" s="3258"/>
      <c r="D7" s="1522" t="s">
        <v>1107</v>
      </c>
      <c r="E7" s="1526" t="s">
        <v>1114</v>
      </c>
      <c r="F7" s="2436"/>
      <c r="G7" s="2433" t="s">
        <v>1115</v>
      </c>
      <c r="H7" s="95"/>
      <c r="I7" s="2434">
        <v>7.87</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11124.33</v>
      </c>
      <c r="F8" s="2436"/>
      <c r="G8" s="2436"/>
      <c r="H8" s="2436"/>
      <c r="I8" s="2436"/>
      <c r="J8" s="2436"/>
      <c r="K8" s="2436"/>
      <c r="L8" s="2436"/>
      <c r="M8" s="2436"/>
      <c r="N8" s="2436"/>
      <c r="O8" s="2436"/>
      <c r="P8" s="2436"/>
    </row>
    <row r="9" spans="1:16">
      <c r="A9" s="1527"/>
      <c r="B9" s="1528"/>
      <c r="C9" s="43" t="s">
        <v>1119</v>
      </c>
      <c r="D9" s="43">
        <f t="shared" si="0"/>
        <v>0</v>
      </c>
      <c r="E9" s="47">
        <v>0</v>
      </c>
      <c r="F9" s="2436"/>
      <c r="G9" s="2436"/>
      <c r="H9" s="2436"/>
      <c r="I9" s="2436"/>
      <c r="J9" s="2436"/>
      <c r="K9" s="2436"/>
      <c r="L9" s="2436"/>
      <c r="M9" s="2436"/>
      <c r="N9" s="2436"/>
      <c r="O9" s="2436"/>
      <c r="P9" s="2436"/>
    </row>
    <row r="10" spans="1:16">
      <c r="A10" s="1527"/>
      <c r="B10" s="1528"/>
      <c r="C10" s="43" t="s">
        <v>1128</v>
      </c>
      <c r="D10" s="43">
        <f t="shared" si="0"/>
        <v>0</v>
      </c>
      <c r="E10" s="46">
        <f>SUMPRODUCT(('数据-基础表'!BB10:BK10="地下")*('数据-基础表'!BB11:BK11="商业")*('数据-基础表'!BB5:BK5))</f>
        <v>5677.85</v>
      </c>
      <c r="F10" s="2436"/>
      <c r="G10" s="2436"/>
      <c r="H10" s="2436"/>
      <c r="I10" s="2436"/>
      <c r="J10" s="2436"/>
      <c r="K10" s="2436"/>
      <c r="L10" s="2436"/>
      <c r="M10" s="2436"/>
      <c r="N10" s="2436"/>
      <c r="O10" s="2436"/>
      <c r="P10" s="2436"/>
    </row>
    <row r="11" spans="1:16">
      <c r="A11" s="1527"/>
      <c r="B11" s="1528"/>
      <c r="C11" s="43" t="s">
        <v>1120</v>
      </c>
      <c r="D11" s="43">
        <f t="shared" si="0"/>
        <v>0</v>
      </c>
      <c r="E11" s="46">
        <f>SUMPRODUCT(('数据-基础表'!BB10:BK10="地下")*('数据-基础表'!BB11:BK11="办公")*('数据-基础表'!BB5:BK5))+'数据-基础表'!BP5</f>
        <v>682.17</v>
      </c>
      <c r="F11" s="2436"/>
      <c r="G11" s="2436"/>
      <c r="H11" s="2436"/>
      <c r="I11" s="2436"/>
      <c r="J11" s="2436"/>
      <c r="K11" s="2436"/>
      <c r="L11" s="2436"/>
      <c r="M11" s="2436"/>
      <c r="N11" s="2436"/>
      <c r="O11" s="2436"/>
      <c r="P11" s="2436"/>
    </row>
    <row r="12" spans="1:16">
      <c r="A12" s="1527"/>
      <c r="B12" s="1528"/>
      <c r="C12" s="43" t="s">
        <v>1121</v>
      </c>
      <c r="D12" s="43">
        <f t="shared" si="0"/>
        <v>0</v>
      </c>
      <c r="E12" s="46">
        <f>SUMPRODUCT(('数据-基础表'!BB10:BK10="地下")*('数据-基础表'!BB11:BK11="仓储")*('数据-基础表'!BB5:BK5))</f>
        <v>3434.37</v>
      </c>
      <c r="F12" s="2436"/>
      <c r="G12" s="2436"/>
      <c r="H12" s="2436"/>
      <c r="I12" s="2436"/>
      <c r="J12" s="2436"/>
      <c r="K12" s="2436"/>
      <c r="L12" s="2436"/>
      <c r="M12" s="2436"/>
      <c r="N12" s="2436"/>
      <c r="O12" s="2436"/>
      <c r="P12" s="2436"/>
    </row>
    <row r="13" spans="1:16">
      <c r="A13" s="1527"/>
      <c r="B13" s="1528"/>
      <c r="C13" s="43" t="s">
        <v>1122</v>
      </c>
      <c r="D13" s="43">
        <f t="shared" si="0"/>
        <v>0</v>
      </c>
      <c r="E13" s="46">
        <f>SUMPRODUCT(('数据-基础表'!BB10:BK10="地下")*('数据-基础表'!BB11:BK11="车库")*('数据-基础表'!BB5:BK5))</f>
        <v>17387.98</v>
      </c>
      <c r="F13" s="2436"/>
      <c r="G13" s="2436"/>
      <c r="H13" s="2436"/>
      <c r="I13" s="2436"/>
      <c r="J13" s="2436"/>
      <c r="K13" s="2436"/>
      <c r="L13" s="2436"/>
      <c r="M13" s="2436"/>
      <c r="N13" s="2436"/>
      <c r="O13" s="2436"/>
      <c r="P13" s="2436"/>
    </row>
    <row r="14" spans="1:16">
      <c r="A14" s="1527"/>
      <c r="B14" s="1528"/>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7"/>
      <c r="B15" s="1528"/>
      <c r="C15" s="43" t="s">
        <v>1129</v>
      </c>
      <c r="D15" s="43">
        <f t="shared" si="0"/>
        <v>0</v>
      </c>
      <c r="E15" s="46">
        <f>SUMPRODUCT(('数据-基础表'!BB10:BK10="地下")*('数据-基础表'!BB11:BK11="车库—办公")*('数据-基础表'!BB5:BK5))</f>
        <v>3518.8</v>
      </c>
      <c r="F15" s="2436"/>
      <c r="G15" s="2436"/>
      <c r="H15" s="2436"/>
      <c r="I15" s="2436"/>
      <c r="J15" s="2436"/>
      <c r="K15" s="2436"/>
      <c r="L15" s="2436"/>
      <c r="M15" s="2436"/>
      <c r="N15" s="2436"/>
      <c r="O15" s="2436"/>
      <c r="P15" s="2436"/>
    </row>
    <row r="16" spans="1:16" ht="15.75" thickBot="1">
      <c r="A16" s="1525"/>
      <c r="B16" s="1528"/>
      <c r="C16" s="45" t="s">
        <v>1123</v>
      </c>
      <c r="D16" s="45">
        <f>SUM(D8:D15)</f>
        <v>0</v>
      </c>
      <c r="E16" s="48">
        <f>SUM(E8:E15)</f>
        <v>41825.5</v>
      </c>
      <c r="F16" s="2436"/>
      <c r="G16" s="2436"/>
      <c r="H16" s="1529" t="s">
        <v>1135</v>
      </c>
      <c r="I16" s="1530"/>
      <c r="J16" s="1069"/>
      <c r="K16" s="3253" t="s">
        <v>1135</v>
      </c>
      <c r="L16" s="3254"/>
      <c r="M16" s="3254"/>
      <c r="N16" s="3254"/>
      <c r="O16" s="3254"/>
      <c r="P16" s="3255"/>
    </row>
    <row r="17" spans="1:19" ht="15">
      <c r="A17" s="1531" t="s">
        <v>1136</v>
      </c>
      <c r="B17" s="1532" t="s">
        <v>1137</v>
      </c>
      <c r="C17" s="1533" t="s">
        <v>1138</v>
      </c>
      <c r="D17" s="1534" t="s">
        <v>1126</v>
      </c>
      <c r="E17" s="1535" t="s">
        <v>1127</v>
      </c>
      <c r="F17" s="1536"/>
      <c r="G17" s="1537"/>
      <c r="H17" s="1538" t="s">
        <v>1139</v>
      </c>
      <c r="I17" s="1539" t="s">
        <v>1124</v>
      </c>
      <c r="J17" s="1069"/>
      <c r="K17" s="3250" t="s">
        <v>1140</v>
      </c>
      <c r="L17" s="3251"/>
      <c r="M17" s="3252"/>
      <c r="N17" s="3250" t="s">
        <v>1141</v>
      </c>
      <c r="O17" s="3251"/>
      <c r="P17" s="3252"/>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3" t="s">
        <v>3428</v>
      </c>
      <c r="D19" s="43">
        <f>ROUND($D$3*E19/$E$3,2)</f>
        <v>0</v>
      </c>
      <c r="E19" s="51">
        <f t="shared" ref="E19:E26" si="1">SUM(F19:G19)</f>
        <v>11124.33</v>
      </c>
      <c r="F19" s="2555">
        <f>'数据-基础表'!I13</f>
        <v>11124.33</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11124.33</v>
      </c>
    </row>
    <row r="20" spans="1:19">
      <c r="A20" s="1547"/>
      <c r="B20" s="45" t="s">
        <v>1153</v>
      </c>
      <c r="C20" s="3113" t="s">
        <v>3457</v>
      </c>
      <c r="D20" s="43">
        <f t="shared" ref="D20:D26" si="6">ROUND($D$3*E20/$E$3,2)</f>
        <v>0</v>
      </c>
      <c r="E20" s="51">
        <f t="shared" si="1"/>
        <v>682.17</v>
      </c>
      <c r="F20" s="2555"/>
      <c r="G20" s="1241">
        <f>'数据-基础表'!M13</f>
        <v>682.17</v>
      </c>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682.17</v>
      </c>
    </row>
    <row r="21" spans="1:19">
      <c r="A21" s="1547"/>
      <c r="B21" s="45" t="s">
        <v>1153</v>
      </c>
      <c r="C21" s="3113" t="s">
        <v>3429</v>
      </c>
      <c r="D21" s="43">
        <f t="shared" si="6"/>
        <v>0</v>
      </c>
      <c r="E21" s="51">
        <f t="shared" si="1"/>
        <v>3434.37</v>
      </c>
      <c r="F21" s="2555"/>
      <c r="G21" s="1241">
        <f>'数据-基础表'!O13</f>
        <v>3434.37</v>
      </c>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3434.37</v>
      </c>
    </row>
    <row r="22" spans="1:19">
      <c r="A22" s="1547"/>
      <c r="B22" s="45" t="s">
        <v>1153</v>
      </c>
      <c r="C22" s="3114" t="s">
        <v>3430</v>
      </c>
      <c r="D22" s="43">
        <f t="shared" si="6"/>
        <v>0</v>
      </c>
      <c r="E22" s="51">
        <f t="shared" si="1"/>
        <v>17387.98</v>
      </c>
      <c r="F22" s="2556"/>
      <c r="G22" s="2557">
        <f>'数据-基础表'!Q13</f>
        <v>17387.98</v>
      </c>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17387.98</v>
      </c>
    </row>
    <row r="23" spans="1:19">
      <c r="A23" s="1547"/>
      <c r="B23" s="45" t="s">
        <v>1153</v>
      </c>
      <c r="C23" s="3114" t="s">
        <v>3431</v>
      </c>
      <c r="D23" s="43">
        <f>ROUND($D$3*E23/$E$3,2)</f>
        <v>0</v>
      </c>
      <c r="E23" s="51">
        <f>SUM(F23:G23)</f>
        <v>3518.8</v>
      </c>
      <c r="F23" s="2556"/>
      <c r="G23" s="2557">
        <f>'数据-基础表'!S13</f>
        <v>3518.8</v>
      </c>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3518.8</v>
      </c>
    </row>
    <row r="24" spans="1:19">
      <c r="A24" s="1547"/>
      <c r="B24" s="45" t="s">
        <v>1153</v>
      </c>
      <c r="C24" s="3114" t="s">
        <v>3455</v>
      </c>
      <c r="D24" s="43">
        <f>ROUND($D$3*E24/$E$3,2)</f>
        <v>0</v>
      </c>
      <c r="E24" s="51">
        <f>SUM(F24:G24)</f>
        <v>5677.85</v>
      </c>
      <c r="F24" s="2556"/>
      <c r="G24" s="2557">
        <f>'数据-基础表'!K13</f>
        <v>5677.85</v>
      </c>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5677.85</v>
      </c>
    </row>
    <row r="25" spans="1:19">
      <c r="A25" s="1547"/>
      <c r="B25" s="45" t="s">
        <v>1153</v>
      </c>
      <c r="C25" s="3114"/>
      <c r="D25" s="43">
        <f t="shared" si="6"/>
        <v>0</v>
      </c>
      <c r="E25" s="51">
        <f t="shared" si="1"/>
        <v>0</v>
      </c>
      <c r="F25" s="2556"/>
      <c r="G25" s="2557"/>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0</v>
      </c>
      <c r="E27" s="1071">
        <f>IF(SUM(E19:E26)='数据-基础表'!BA5,SUM(E19:E26),IF(F27="地上面积有误","面积有误","地下面积有误"))</f>
        <v>41825.5</v>
      </c>
      <c r="F27" s="1070">
        <f>IF(SUM(F19:F26)=E8,SUM(F19:F26),"地上面积有误")</f>
        <v>11124.33</v>
      </c>
      <c r="G27" s="1072">
        <f>SUM(G19:G26)</f>
        <v>30701.17</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41825.5</v>
      </c>
    </row>
    <row r="28" spans="1:19">
      <c r="A28" s="1547"/>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7"/>
      <c r="B29" s="45" t="s">
        <v>1155</v>
      </c>
      <c r="C29" s="1553"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7"/>
      <c r="B30" s="45"/>
      <c r="C30" s="1554" t="s">
        <v>1154</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5"/>
      <c r="B31" s="96"/>
      <c r="C31" s="783" t="s">
        <v>1158</v>
      </c>
      <c r="D31" s="643">
        <f>D27+D30</f>
        <v>0</v>
      </c>
      <c r="E31" s="643">
        <f>E27+E30</f>
        <v>41825.5</v>
      </c>
      <c r="F31" s="644">
        <f>F27+F30</f>
        <v>11124.33</v>
      </c>
      <c r="G31" s="645">
        <f>G27+G30</f>
        <v>30701.17</v>
      </c>
      <c r="H31" s="2436"/>
      <c r="I31" s="2436"/>
      <c r="J31" s="2436"/>
      <c r="K31" s="2436"/>
      <c r="L31" s="2436"/>
      <c r="M31" s="2436"/>
      <c r="N31" s="2436"/>
      <c r="O31" s="2436"/>
      <c r="P31" s="2436"/>
    </row>
    <row r="32" spans="1:19">
      <c r="A32" s="1524"/>
      <c r="B32" s="1524" t="s">
        <v>1159</v>
      </c>
      <c r="C32" s="1524"/>
      <c r="D32" s="1524"/>
      <c r="E32" s="988">
        <f>SUMIF(C19:C26,"*住宅*",E19:E26)</f>
        <v>0</v>
      </c>
      <c r="F32" s="1524"/>
      <c r="G32" s="1524"/>
      <c r="H32" s="2436"/>
      <c r="I32" s="2436"/>
      <c r="J32" s="2436"/>
      <c r="K32" s="2436"/>
      <c r="L32" s="2436"/>
      <c r="M32" s="2436"/>
      <c r="N32" s="2436"/>
      <c r="O32" s="2436"/>
      <c r="P32" s="2436"/>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9" sqref="I9"/>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3" width="7.25" style="1559" customWidth="1"/>
    <col min="34" max="34" width="11.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49" customFormat="1" ht="15.75" thickBot="1">
      <c r="A2" s="1560" t="s">
        <v>1161</v>
      </c>
      <c r="B2" s="982">
        <f>项目基本情况!D3</f>
        <v>45884</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5"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6"/>
      <c r="AO4" s="2436"/>
      <c r="AP4" s="2436"/>
      <c r="AQ4" s="2436"/>
      <c r="AR4" s="2436"/>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0.5">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3456</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商业</v>
      </c>
      <c r="B6" s="1585" t="str">
        <f>IF(A6=0,"","经营性")</f>
        <v>经营性</v>
      </c>
      <c r="C6" s="1586" t="s">
        <v>673</v>
      </c>
      <c r="D6" s="803">
        <f>SUMIF(项目基本情况!C$12:I$12,C6,项目基本情况!C$14:I$14)</f>
        <v>40</v>
      </c>
      <c r="E6" s="802">
        <f>IF(B6="","",SUMIF(项目基本情况!C$12:I$12,C6,项目基本情况!C$13:I$13))</f>
        <v>55225</v>
      </c>
      <c r="F6" s="61">
        <f>SUMIF(项目基本情况!C$12:I$12,C6,项目基本情况!C$15:I$15)</f>
        <v>25.59</v>
      </c>
      <c r="G6" s="62">
        <f>IF(ISERROR(ROUND(POWER(1+H6,D6-F6)*(POWER(1+H6,F6)-1)/(POWER(1+H6,D6)-1),3)),0,ROUND(POWER(1+H6,D6-F6)*(POWER(1+H6,F6)-1)/(POWER(1+H6,D6)-1),3))</f>
        <v>0.84499999999999997</v>
      </c>
      <c r="H6" s="691">
        <v>5.5E-2</v>
      </c>
      <c r="I6" s="691">
        <v>5.5E-2</v>
      </c>
      <c r="J6" s="63">
        <v>7.0000000000000007E-2</v>
      </c>
      <c r="K6" s="968">
        <f>SUMIF('数据-汇总表'!C$19:C$33,A6,'数据-汇总表'!E$19:E$33)</f>
        <v>11124.33</v>
      </c>
      <c r="L6" s="692">
        <v>3600</v>
      </c>
      <c r="M6" s="64">
        <f t="shared" ref="M6:M14" si="0">ROUND(K6*L6/10000,0)</f>
        <v>4005</v>
      </c>
      <c r="N6" s="690">
        <v>0.95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0">
        <f>ROUND($L$14*S6/10000,0)</f>
        <v>0</v>
      </c>
      <c r="U6" s="3124">
        <f>租金计算!D71</f>
        <v>3.7</v>
      </c>
      <c r="V6" s="67">
        <v>5.0000000000000001E-3</v>
      </c>
      <c r="W6" s="67">
        <v>0.1</v>
      </c>
      <c r="X6" s="977"/>
      <c r="Y6" s="68">
        <f>N6</f>
        <v>0.95</v>
      </c>
      <c r="Z6" s="69"/>
      <c r="AA6" s="63"/>
      <c r="AB6" s="63"/>
      <c r="AC6" s="977"/>
      <c r="AD6" s="70"/>
      <c r="AE6" s="978">
        <f ca="1">IF(AN6="",0,SUMIF(INDIRECT("'"&amp;AN6&amp;"'"&amp;"!E:E"),$AE$5,INDIRECT("'"&amp;AN6&amp;"'"&amp;"!F:F")))</f>
        <v>25.59</v>
      </c>
      <c r="AF6" s="74"/>
      <c r="AG6" s="130">
        <f>IF(AF6="",0,AE6-AF6)</f>
        <v>0</v>
      </c>
      <c r="AH6" s="71">
        <f>租金计算!E61</f>
        <v>11124.329999999998</v>
      </c>
      <c r="AI6" s="73">
        <v>365</v>
      </c>
      <c r="AJ6" s="74"/>
      <c r="AK6" s="75">
        <v>2E-3</v>
      </c>
      <c r="AL6" s="76">
        <v>1E-3</v>
      </c>
      <c r="AM6" s="77">
        <v>0.01</v>
      </c>
      <c r="AN6" s="1587" t="s">
        <v>3479</v>
      </c>
      <c r="AO6" s="50">
        <f ca="1">SUMIF(INDIRECT("'"&amp;AN6&amp;"'"&amp;"!A:A"),"总价",INDIRECT("'"&amp;AN6&amp;"'"&amp;"!B:B"))</f>
        <v>16126.206399999999</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地下办公</v>
      </c>
      <c r="B7" s="1585" t="str">
        <f t="shared" ref="B7:B13" si="1">IF(A7=0,"","经营性")</f>
        <v>经营性</v>
      </c>
      <c r="C7" s="1586" t="s">
        <v>21</v>
      </c>
      <c r="D7" s="803">
        <f>SUMIF(项目基本情况!C$12:I$12,C7,项目基本情况!C$14:I$14)</f>
        <v>50</v>
      </c>
      <c r="E7" s="802">
        <f>IF(B7="","",SUMIF(项目基本情况!C$12:I$12,C7,项目基本情况!C$13:I$13))</f>
        <v>58878</v>
      </c>
      <c r="F7" s="61">
        <f>SUMIF(项目基本情况!C$12:I$12,C7,项目基本情况!C$15:I$15)</f>
        <v>35.6</v>
      </c>
      <c r="G7" s="62">
        <f t="shared" ref="G7:G11" si="2">IF(ISERROR(ROUND(POWER(1+H7,D7-F7)*(POWER(1+H7,F7)-1)/(POWER(1+H7,D7)-1),3)),0,ROUND(POWER(1+H7,D7-F7)*(POWER(1+H7,F7)-1)/(POWER(1+H7,D7)-1),3))</f>
        <v>0.90300000000000002</v>
      </c>
      <c r="H7" s="691">
        <v>0.05</v>
      </c>
      <c r="I7" s="691">
        <v>0.05</v>
      </c>
      <c r="J7" s="63">
        <v>7.0000000000000007E-2</v>
      </c>
      <c r="K7" s="968">
        <f>SUMIF('数据-汇总表'!C$19:C$33,A7,'数据-汇总表'!E$19:E$33)</f>
        <v>682.17</v>
      </c>
      <c r="L7" s="692">
        <v>3800</v>
      </c>
      <c r="M7" s="64">
        <f t="shared" si="0"/>
        <v>259</v>
      </c>
      <c r="N7" s="690">
        <f>N6</f>
        <v>0.95</v>
      </c>
      <c r="O7" s="64" t="str">
        <f t="shared" ref="O7:O14" si="3">IF($N$5="成新度","——",ROUND(M7*N7,0))</f>
        <v>——</v>
      </c>
      <c r="P7" s="65" t="str">
        <f t="shared" ref="P7:P14" si="4">IF($N$5="成新度","——",M7-O7)</f>
        <v>——</v>
      </c>
      <c r="Q7" s="690">
        <f>Q6</f>
        <v>0.1</v>
      </c>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f>租金计算!D74</f>
        <v>1.6</v>
      </c>
      <c r="V7" s="67">
        <f>V6</f>
        <v>5.0000000000000001E-3</v>
      </c>
      <c r="W7" s="67">
        <f>W6</f>
        <v>0.1</v>
      </c>
      <c r="X7" s="977"/>
      <c r="Y7" s="68">
        <f t="shared" ref="Y7:Y11" si="6">N7</f>
        <v>0.95</v>
      </c>
      <c r="Z7" s="69"/>
      <c r="AA7" s="63"/>
      <c r="AB7" s="63"/>
      <c r="AC7" s="977"/>
      <c r="AD7" s="70"/>
      <c r="AE7" s="978">
        <f t="shared" ref="AE7:AE13" ca="1" si="7">IF(AN7="",0,SUMIF(INDIRECT("'"&amp;AN7&amp;"'"&amp;"!E:E"),$AE$5,INDIRECT("'"&amp;AN7&amp;"'"&amp;"!F:F")))</f>
        <v>35.6</v>
      </c>
      <c r="AF7" s="74"/>
      <c r="AG7" s="130">
        <f t="shared" ref="AG7:AG13" si="8">IF(AF7="",0,AE7-AF7)</f>
        <v>0</v>
      </c>
      <c r="AH7" s="71">
        <f>租金计算!B57</f>
        <v>682.17</v>
      </c>
      <c r="AI7" s="73">
        <v>365</v>
      </c>
      <c r="AJ7" s="74"/>
      <c r="AK7" s="75">
        <f>AK6</f>
        <v>2E-3</v>
      </c>
      <c r="AL7" s="75">
        <f>AL6</f>
        <v>1E-3</v>
      </c>
      <c r="AM7" s="77">
        <v>0.01</v>
      </c>
      <c r="AN7" s="1587" t="s">
        <v>3483</v>
      </c>
      <c r="AO7" s="50">
        <f t="shared" ref="AO7:AO13" ca="1" si="9">SUMIF(INDIRECT("'"&amp;AN7&amp;"'"&amp;"!A:A"),"总价",INDIRECT("'"&amp;AN7&amp;"'"&amp;"!B:B"))</f>
        <v>512.56949999999995</v>
      </c>
      <c r="AP7" s="1588">
        <f t="shared" ref="AP7:AP13" si="10">IF(C7="住宅",K7*L7,0)</f>
        <v>0</v>
      </c>
      <c r="AQ7" s="50">
        <f t="shared" ref="AQ7:AQ13" si="11">ROUND($L$14*$N$14*S7/10000,0)</f>
        <v>0</v>
      </c>
      <c r="AR7" s="50">
        <f t="shared" ref="AR7:AR13" si="12">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t="str">
        <f>'数据-汇总表'!C21</f>
        <v>仓储</v>
      </c>
      <c r="B8" s="1585" t="str">
        <f t="shared" si="1"/>
        <v>经营性</v>
      </c>
      <c r="C8" s="1586" t="s">
        <v>3331</v>
      </c>
      <c r="D8" s="803">
        <f>SUMIF(项目基本情况!C$12:I$12,C8,项目基本情况!C$14:I$14)</f>
        <v>50</v>
      </c>
      <c r="E8" s="802">
        <f>IF(B8="","",SUMIF(项目基本情况!C$12:I$12,C8,项目基本情况!C$13:I$13))</f>
        <v>58878</v>
      </c>
      <c r="F8" s="61">
        <f>SUMIF(项目基本情况!C$12:I$12,C8,项目基本情况!C$15:I$15)</f>
        <v>35.6</v>
      </c>
      <c r="G8" s="62">
        <f t="shared" si="2"/>
        <v>0.89</v>
      </c>
      <c r="H8" s="691">
        <v>4.4999999999999998E-2</v>
      </c>
      <c r="I8" s="691">
        <v>4.4999999999999998E-2</v>
      </c>
      <c r="J8" s="63">
        <v>7.0000000000000007E-2</v>
      </c>
      <c r="K8" s="968">
        <f>SUMIF('数据-汇总表'!C$19:C$33,A8,'数据-汇总表'!E$19:E$33)</f>
        <v>3434.37</v>
      </c>
      <c r="L8" s="692">
        <f>L7</f>
        <v>3800</v>
      </c>
      <c r="M8" s="64">
        <f>ROUND(K8*L8/10000,0)</f>
        <v>1305</v>
      </c>
      <c r="N8" s="690">
        <f>N6</f>
        <v>0.95</v>
      </c>
      <c r="O8" s="64" t="str">
        <f t="shared" si="3"/>
        <v>——</v>
      </c>
      <c r="P8" s="65" t="str">
        <f t="shared" si="4"/>
        <v>——</v>
      </c>
      <c r="Q8" s="690">
        <f>Q9</f>
        <v>0.05</v>
      </c>
      <c r="R8" s="66">
        <f ca="1">SUMIF('数据-汇总表'!C$19:C$33,A8,'数据-汇总表'!R$19:R$27)</f>
        <v>0</v>
      </c>
      <c r="S8" s="49">
        <f>IF('数据-汇总表'!$I$17="按面积比例",SUMIF('数据-汇总表'!C$19:C$33,A8,'数据-汇总表'!K$19:K$33),SUMIF('数据-汇总表'!C$19:C$33,A8,'数据-汇总表'!N$19:N$33))</f>
        <v>0</v>
      </c>
      <c r="T8" s="1090">
        <f t="shared" si="5"/>
        <v>0</v>
      </c>
      <c r="U8" s="3125">
        <f>租金计算!B78</f>
        <v>1</v>
      </c>
      <c r="V8" s="694">
        <f>V6</f>
        <v>5.0000000000000001E-3</v>
      </c>
      <c r="W8" s="694">
        <f>W6</f>
        <v>0.1</v>
      </c>
      <c r="X8" s="977"/>
      <c r="Y8" s="68">
        <f t="shared" si="6"/>
        <v>0.95</v>
      </c>
      <c r="Z8" s="69"/>
      <c r="AA8" s="63"/>
      <c r="AB8" s="63"/>
      <c r="AC8" s="977"/>
      <c r="AD8" s="70"/>
      <c r="AE8" s="978">
        <f t="shared" ca="1" si="7"/>
        <v>35.6</v>
      </c>
      <c r="AF8" s="74"/>
      <c r="AG8" s="130">
        <f t="shared" si="8"/>
        <v>0</v>
      </c>
      <c r="AH8" s="695">
        <f>租金计算!B56</f>
        <v>3434.37</v>
      </c>
      <c r="AI8" s="73">
        <v>365</v>
      </c>
      <c r="AJ8" s="74"/>
      <c r="AK8" s="75">
        <f>AK6</f>
        <v>2E-3</v>
      </c>
      <c r="AL8" s="75">
        <f>AL6</f>
        <v>1E-3</v>
      </c>
      <c r="AM8" s="77">
        <v>0.01</v>
      </c>
      <c r="AN8" s="1587" t="s">
        <v>3489</v>
      </c>
      <c r="AO8" s="50">
        <f t="shared" ca="1" si="9"/>
        <v>1710.5102999999999</v>
      </c>
      <c r="AP8" s="1588">
        <f t="shared" si="10"/>
        <v>0</v>
      </c>
      <c r="AQ8" s="50">
        <f t="shared" si="11"/>
        <v>0</v>
      </c>
      <c r="AR8" s="50">
        <f t="shared" si="12"/>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t="str">
        <f>'数据-汇总表'!C22</f>
        <v>车库</v>
      </c>
      <c r="B9" s="1585" t="str">
        <f t="shared" si="1"/>
        <v>经营性</v>
      </c>
      <c r="C9" s="1586" t="s">
        <v>3330</v>
      </c>
      <c r="D9" s="803">
        <f>SUMIF(项目基本情况!C$12:I$12,C9,项目基本情况!C$14:I$14)</f>
        <v>50</v>
      </c>
      <c r="E9" s="802">
        <f>IF(B9="","",SUMIF(项目基本情况!C$12:I$12,C9,项目基本情况!C$13:I$13))</f>
        <v>58878</v>
      </c>
      <c r="F9" s="61">
        <f>SUMIF(项目基本情况!C$12:I$12,C9,项目基本情况!C$15:I$15)</f>
        <v>35.6</v>
      </c>
      <c r="G9" s="62">
        <f t="shared" si="2"/>
        <v>0.89</v>
      </c>
      <c r="H9" s="691">
        <v>4.4999999999999998E-2</v>
      </c>
      <c r="I9" s="691">
        <f>I8</f>
        <v>4.4999999999999998E-2</v>
      </c>
      <c r="J9" s="63">
        <v>7.0000000000000007E-2</v>
      </c>
      <c r="K9" s="968">
        <f>SUMIF('数据-汇总表'!C$19:C$33,A9,'数据-汇总表'!E$19:E$33)</f>
        <v>17387.98</v>
      </c>
      <c r="L9" s="692">
        <f>L7</f>
        <v>3800</v>
      </c>
      <c r="M9" s="64">
        <f t="shared" si="0"/>
        <v>6607</v>
      </c>
      <c r="N9" s="690">
        <f>N6</f>
        <v>0.95</v>
      </c>
      <c r="O9" s="64" t="str">
        <f t="shared" si="3"/>
        <v>——</v>
      </c>
      <c r="P9" s="65" t="str">
        <f t="shared" si="4"/>
        <v>——</v>
      </c>
      <c r="Q9" s="690">
        <v>0.05</v>
      </c>
      <c r="R9" s="66">
        <f ca="1">SUMIF('数据-汇总表'!C$19:C$33,A9,'数据-汇总表'!R$19:R$27)</f>
        <v>0</v>
      </c>
      <c r="S9" s="49">
        <f>IF('数据-汇总表'!$I$17="按面积比例",SUMIF('数据-汇总表'!C$19:C$33,A9,'数据-汇总表'!K$19:K$33),SUMIF('数据-汇总表'!C$19:C$33,A9,'数据-汇总表'!N$19:N$33))</f>
        <v>0</v>
      </c>
      <c r="T9" s="1090">
        <f t="shared" si="5"/>
        <v>0</v>
      </c>
      <c r="U9" s="3124">
        <f>租金计算!B76</f>
        <v>700</v>
      </c>
      <c r="V9" s="67">
        <f>V6</f>
        <v>5.0000000000000001E-3</v>
      </c>
      <c r="W9" s="67">
        <f>W6</f>
        <v>0.1</v>
      </c>
      <c r="X9" s="977"/>
      <c r="Y9" s="68">
        <f t="shared" si="6"/>
        <v>0.95</v>
      </c>
      <c r="Z9" s="69"/>
      <c r="AA9" s="63"/>
      <c r="AB9" s="63"/>
      <c r="AC9" s="977"/>
      <c r="AD9" s="70"/>
      <c r="AE9" s="978">
        <f t="shared" ca="1" si="7"/>
        <v>35.6</v>
      </c>
      <c r="AF9" s="74"/>
      <c r="AG9" s="130">
        <f t="shared" si="8"/>
        <v>0</v>
      </c>
      <c r="AH9" s="71">
        <f>租金计算!D76</f>
        <v>320</v>
      </c>
      <c r="AI9" s="73">
        <v>12</v>
      </c>
      <c r="AJ9" s="74"/>
      <c r="AK9" s="75">
        <f>AK6</f>
        <v>2E-3</v>
      </c>
      <c r="AL9" s="75">
        <f>AL6</f>
        <v>1E-3</v>
      </c>
      <c r="AM9" s="77">
        <v>0.01</v>
      </c>
      <c r="AN9" s="1587" t="s">
        <v>3487</v>
      </c>
      <c r="AO9" s="50">
        <f t="shared" ca="1" si="9"/>
        <v>3569.9115000000002</v>
      </c>
      <c r="AP9" s="1588">
        <f t="shared" si="10"/>
        <v>0</v>
      </c>
      <c r="AQ9" s="50">
        <f t="shared" si="11"/>
        <v>0</v>
      </c>
      <c r="AR9" s="50">
        <f t="shared" si="12"/>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t="str">
        <f>'数据-汇总表'!C23</f>
        <v>车库-办公</v>
      </c>
      <c r="B10" s="1585" t="str">
        <f t="shared" si="1"/>
        <v>经营性</v>
      </c>
      <c r="C10" s="1586" t="s">
        <v>3330</v>
      </c>
      <c r="D10" s="803">
        <f>SUMIF(项目基本情况!C$12:I$12,C10,项目基本情况!C$14:I$14)</f>
        <v>50</v>
      </c>
      <c r="E10" s="802">
        <f>IF(B10="","",SUMIF(项目基本情况!C$12:I$12,C10,项目基本情况!C$13:I$13))</f>
        <v>58878</v>
      </c>
      <c r="F10" s="61">
        <f>SUMIF(项目基本情况!C$12:I$12,C10,项目基本情况!C$15:I$15)</f>
        <v>35.6</v>
      </c>
      <c r="G10" s="62">
        <f t="shared" si="2"/>
        <v>0.89</v>
      </c>
      <c r="H10" s="691">
        <v>4.4999999999999998E-2</v>
      </c>
      <c r="I10" s="691">
        <f>I8</f>
        <v>4.4999999999999998E-2</v>
      </c>
      <c r="J10" s="63">
        <v>7.0000000000000007E-2</v>
      </c>
      <c r="K10" s="968">
        <f>SUMIF('数据-汇总表'!C$19:C$33,A10,'数据-汇总表'!E$19:E$33)</f>
        <v>3518.8</v>
      </c>
      <c r="L10" s="692">
        <f>L8+90</f>
        <v>3890</v>
      </c>
      <c r="M10" s="64">
        <f t="shared" si="0"/>
        <v>1369</v>
      </c>
      <c r="N10" s="690">
        <f>N6</f>
        <v>0.95</v>
      </c>
      <c r="O10" s="64" t="str">
        <f t="shared" si="3"/>
        <v>——</v>
      </c>
      <c r="P10" s="65" t="str">
        <f t="shared" si="4"/>
        <v>——</v>
      </c>
      <c r="Q10" s="690">
        <f>Q9</f>
        <v>0.05</v>
      </c>
      <c r="R10" s="66">
        <f ca="1">SUMIF('数据-汇总表'!C$19:C$33,A10,'数据-汇总表'!R$19:R$27)</f>
        <v>0</v>
      </c>
      <c r="S10" s="49">
        <f>IF('数据-汇总表'!$I$17="按面积比例",SUMIF('数据-汇总表'!C$19:C$33,A10,'数据-汇总表'!K$19:K$33),SUMIF('数据-汇总表'!C$19:C$33,A10,'数据-汇总表'!N$19:N$33))</f>
        <v>0</v>
      </c>
      <c r="T10" s="1090">
        <f t="shared" si="5"/>
        <v>0</v>
      </c>
      <c r="U10" s="3124">
        <f>租金计算!B77</f>
        <v>489.99999999999994</v>
      </c>
      <c r="V10" s="67">
        <f>V6</f>
        <v>5.0000000000000001E-3</v>
      </c>
      <c r="W10" s="67">
        <f>W6</f>
        <v>0.1</v>
      </c>
      <c r="X10" s="977"/>
      <c r="Y10" s="68">
        <f t="shared" si="6"/>
        <v>0.95</v>
      </c>
      <c r="Z10" s="69"/>
      <c r="AA10" s="63"/>
      <c r="AB10" s="63"/>
      <c r="AC10" s="977"/>
      <c r="AD10" s="70"/>
      <c r="AE10" s="978">
        <f t="shared" ca="1" si="7"/>
        <v>35.6</v>
      </c>
      <c r="AF10" s="74"/>
      <c r="AG10" s="130">
        <f t="shared" si="8"/>
        <v>0</v>
      </c>
      <c r="AH10" s="71">
        <f>租金计算!D77</f>
        <v>115</v>
      </c>
      <c r="AI10" s="73">
        <v>12</v>
      </c>
      <c r="AJ10" s="74"/>
      <c r="AK10" s="75">
        <f>AK6</f>
        <v>2E-3</v>
      </c>
      <c r="AL10" s="75">
        <f>AL6</f>
        <v>1E-3</v>
      </c>
      <c r="AM10" s="77">
        <v>0.01</v>
      </c>
      <c r="AN10" s="1587" t="s">
        <v>3485</v>
      </c>
      <c r="AO10" s="50">
        <f t="shared" ca="1" si="9"/>
        <v>905.64049999999997</v>
      </c>
      <c r="AP10" s="1588">
        <f t="shared" si="10"/>
        <v>0</v>
      </c>
      <c r="AQ10" s="50">
        <f t="shared" si="11"/>
        <v>0</v>
      </c>
      <c r="AR10" s="50">
        <f t="shared" si="12"/>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t="str">
        <f>'数据-汇总表'!C24</f>
        <v>地下商业</v>
      </c>
      <c r="B11" s="1585" t="str">
        <f t="shared" si="1"/>
        <v>经营性</v>
      </c>
      <c r="C11" s="1586" t="s">
        <v>673</v>
      </c>
      <c r="D11" s="803">
        <f>SUMIF(项目基本情况!C$12:I$12,C11,项目基本情况!C$14:I$14)</f>
        <v>40</v>
      </c>
      <c r="E11" s="802">
        <f>IF(B11="","",SUMIF(项目基本情况!C$12:I$12,C11,项目基本情况!C$13:I$13))</f>
        <v>55225</v>
      </c>
      <c r="F11" s="61">
        <f>SUMIF(项目基本情况!C$12:I$12,C11,项目基本情况!C$15:I$15)</f>
        <v>25.59</v>
      </c>
      <c r="G11" s="62">
        <f t="shared" si="2"/>
        <v>0.83099999999999996</v>
      </c>
      <c r="H11" s="691">
        <v>0.05</v>
      </c>
      <c r="I11" s="691">
        <f>I7</f>
        <v>0.05</v>
      </c>
      <c r="J11" s="63">
        <v>7.0000000000000007E-2</v>
      </c>
      <c r="K11" s="968">
        <f>SUMIF('数据-汇总表'!C$19:C$33,A11,'数据-汇总表'!E$19:E$33)</f>
        <v>5677.85</v>
      </c>
      <c r="L11" s="79">
        <f>L7</f>
        <v>3800</v>
      </c>
      <c r="M11" s="64">
        <f t="shared" si="0"/>
        <v>2158</v>
      </c>
      <c r="N11" s="690">
        <f>N6</f>
        <v>0.95</v>
      </c>
      <c r="O11" s="64" t="str">
        <f t="shared" si="3"/>
        <v>——</v>
      </c>
      <c r="P11" s="65" t="str">
        <f t="shared" si="4"/>
        <v>——</v>
      </c>
      <c r="Q11" s="690">
        <f>Q6</f>
        <v>0.1</v>
      </c>
      <c r="R11" s="66">
        <f ca="1">SUMIF('数据-汇总表'!C$19:C$33,A11,'数据-汇总表'!R$19:R$27)</f>
        <v>0</v>
      </c>
      <c r="S11" s="49">
        <f>IF('数据-汇总表'!$I$17="按面积比例",SUMIF('数据-汇总表'!C$19:C$33,A11,'数据-汇总表'!K$19:K$33),SUMIF('数据-汇总表'!C$19:C$33,A11,'数据-汇总表'!N$19:N$33))</f>
        <v>0</v>
      </c>
      <c r="T11" s="1090">
        <f t="shared" si="5"/>
        <v>0</v>
      </c>
      <c r="U11" s="3124">
        <f>租金计算!D73</f>
        <v>2</v>
      </c>
      <c r="V11" s="67">
        <f>V7</f>
        <v>5.0000000000000001E-3</v>
      </c>
      <c r="W11" s="67">
        <f>W7</f>
        <v>0.1</v>
      </c>
      <c r="X11" s="977"/>
      <c r="Y11" s="68">
        <f t="shared" si="6"/>
        <v>0.95</v>
      </c>
      <c r="Z11" s="81"/>
      <c r="AA11" s="63"/>
      <c r="AB11" s="63"/>
      <c r="AC11" s="977"/>
      <c r="AD11" s="70"/>
      <c r="AE11" s="978">
        <f t="shared" ca="1" si="7"/>
        <v>25.59</v>
      </c>
      <c r="AF11" s="74"/>
      <c r="AG11" s="130">
        <f t="shared" si="8"/>
        <v>0</v>
      </c>
      <c r="AH11" s="71">
        <f>租金计算!B58</f>
        <v>5677.85</v>
      </c>
      <c r="AI11" s="73">
        <v>365</v>
      </c>
      <c r="AJ11" s="74"/>
      <c r="AK11" s="75">
        <f>AK6</f>
        <v>2E-3</v>
      </c>
      <c r="AL11" s="75">
        <f>AL6</f>
        <v>1E-3</v>
      </c>
      <c r="AM11" s="77">
        <v>0.01</v>
      </c>
      <c r="AN11" s="1587" t="s">
        <v>3481</v>
      </c>
      <c r="AO11" s="50">
        <f t="shared" ca="1" si="9"/>
        <v>4747.3608000000004</v>
      </c>
      <c r="AP11" s="1588">
        <f t="shared" si="10"/>
        <v>0</v>
      </c>
      <c r="AQ11" s="50">
        <f t="shared" si="11"/>
        <v>0</v>
      </c>
      <c r="AR11" s="50">
        <f t="shared" si="12"/>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7"/>
      <c r="Y12" s="68"/>
      <c r="Z12" s="81"/>
      <c r="AA12" s="63"/>
      <c r="AB12" s="63"/>
      <c r="AC12" s="977"/>
      <c r="AD12" s="70"/>
      <c r="AE12" s="978">
        <f t="shared" ca="1" si="7"/>
        <v>0</v>
      </c>
      <c r="AF12" s="74"/>
      <c r="AG12" s="130">
        <f t="shared" si="8"/>
        <v>0</v>
      </c>
      <c r="AH12" s="71"/>
      <c r="AI12" s="73"/>
      <c r="AJ12" s="74"/>
      <c r="AK12" s="75"/>
      <c r="AL12" s="76"/>
      <c r="AM12" s="77"/>
      <c r="AN12" s="1587"/>
      <c r="AO12" s="50" t="e">
        <f t="shared" ca="1" si="9"/>
        <v>#REF!</v>
      </c>
      <c r="AP12" s="1588">
        <f t="shared" si="10"/>
        <v>0</v>
      </c>
      <c r="AQ12" s="50">
        <f t="shared" si="11"/>
        <v>0</v>
      </c>
      <c r="AR12" s="50">
        <f t="shared" si="12"/>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7"/>
      <c r="Y13" s="68"/>
      <c r="Z13" s="69"/>
      <c r="AA13" s="63"/>
      <c r="AB13" s="63"/>
      <c r="AC13" s="977"/>
      <c r="AD13" s="70"/>
      <c r="AE13" s="978">
        <f t="shared" ca="1" si="7"/>
        <v>0</v>
      </c>
      <c r="AF13" s="74"/>
      <c r="AG13" s="130">
        <f t="shared" si="8"/>
        <v>0</v>
      </c>
      <c r="AH13" s="71"/>
      <c r="AI13" s="73"/>
      <c r="AJ13" s="74"/>
      <c r="AK13" s="75"/>
      <c r="AL13" s="76"/>
      <c r="AM13" s="77"/>
      <c r="AN13" s="1587"/>
      <c r="AO13" s="50" t="e">
        <f t="shared" ca="1" si="9"/>
        <v>#REF!</v>
      </c>
      <c r="AP13" s="1588">
        <f t="shared" si="10"/>
        <v>0</v>
      </c>
      <c r="AQ13" s="50">
        <f t="shared" si="11"/>
        <v>0</v>
      </c>
      <c r="AR13" s="50">
        <f t="shared" si="12"/>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6"/>
      <c r="AO14" s="2436"/>
      <c r="AP14" s="2436"/>
      <c r="AQ14" s="2436"/>
      <c r="AR14" s="2436"/>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6"/>
      <c r="AO15" s="2436"/>
      <c r="AP15" s="2436"/>
      <c r="AQ15" s="2436"/>
      <c r="AR15" s="2436"/>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0.87</v>
      </c>
      <c r="H16" s="84">
        <f>ROUND(SUMPRODUCT(H6:H13,K6:K13)/SUMPRODUCT((H6:H13&gt;0)*(K6:K13)),3)</f>
        <v>4.8000000000000001E-2</v>
      </c>
      <c r="I16" s="85"/>
      <c r="J16" s="85"/>
      <c r="K16" s="86">
        <f>SUM(K6:K15)</f>
        <v>41825.5</v>
      </c>
      <c r="L16" s="87">
        <f>ROUND(M16*10000/SUM(K6:K14),0)</f>
        <v>3754</v>
      </c>
      <c r="M16" s="87">
        <f>SUM(M6:M14)</f>
        <v>15703</v>
      </c>
      <c r="N16" s="88">
        <f>ROUND(SUMPRODUCT(M6:M14,N6:N14)/M16,3)</f>
        <v>0.95</v>
      </c>
      <c r="O16" s="87">
        <f>SUM(O6:O14)</f>
        <v>0</v>
      </c>
      <c r="P16" s="87">
        <f>SUM(P6:P14)</f>
        <v>0</v>
      </c>
      <c r="Q16" s="89">
        <f>ROUND(SUMPRODUCT(Q6:Q13,K6:K13)/SUMPRODUCT((Q6:Q13&gt;0)*(K6:K13)),2)</f>
        <v>7.0000000000000007E-2</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3172" t="s">
        <v>3478</v>
      </c>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4" t="s">
        <v>1211</v>
      </c>
      <c r="B19" s="97">
        <v>0</v>
      </c>
      <c r="C19" s="2558" t="s">
        <v>2299</v>
      </c>
      <c r="D19" s="2449"/>
      <c r="E19" s="2436"/>
      <c r="F19" s="2436"/>
      <c r="G19" s="2436"/>
      <c r="H19" s="2436"/>
      <c r="I19" s="2436"/>
      <c r="J19" s="2436"/>
      <c r="K19" s="2447"/>
      <c r="L19" s="2447"/>
      <c r="M19" s="2446"/>
      <c r="N19" s="2446">
        <v>2022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5" t="s">
        <v>1212</v>
      </c>
      <c r="B20" s="98">
        <v>3</v>
      </c>
      <c r="C20" s="2559" t="s">
        <v>2297</v>
      </c>
      <c r="D20" s="2449"/>
      <c r="E20" s="2436"/>
      <c r="F20" s="2436"/>
      <c r="G20" s="2436"/>
      <c r="H20" s="2436"/>
      <c r="I20" s="2436"/>
      <c r="J20" s="2436"/>
      <c r="K20" s="2447"/>
      <c r="L20" s="2447"/>
      <c r="M20" s="2446"/>
      <c r="N20" s="2446">
        <f>57/60</f>
        <v>0.95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6" t="s">
        <v>1213</v>
      </c>
      <c r="B21" s="98">
        <v>3</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5" t="s">
        <v>1214</v>
      </c>
      <c r="B22" s="99">
        <f>B19+B20</f>
        <v>3</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6" t="s">
        <v>1215</v>
      </c>
      <c r="B23" s="99">
        <f>B19+B21</f>
        <v>3</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7"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7"/>
      <c r="B25" s="1540"/>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0" t="s">
        <v>1217</v>
      </c>
      <c r="B26" s="1598"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9" t="s">
        <v>1220</v>
      </c>
      <c r="B27" s="101"/>
      <c r="C27" s="2560" t="s">
        <v>2301</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0"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1" t="s">
        <v>1222</v>
      </c>
      <c r="B29" s="105"/>
      <c r="C29" s="2561" t="s">
        <v>2291</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2"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0"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3"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9" t="s">
        <v>1226</v>
      </c>
      <c r="B33" s="640">
        <v>0.03</v>
      </c>
      <c r="C33" s="2562" t="s">
        <v>3380</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0" t="s">
        <v>1227</v>
      </c>
      <c r="B34" s="106">
        <v>0.05</v>
      </c>
      <c r="C34" s="2562" t="s">
        <v>2292</v>
      </c>
      <c r="D34" s="2457" t="s">
        <v>2298</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0" t="s">
        <v>1228</v>
      </c>
      <c r="B35" s="103">
        <v>200</v>
      </c>
      <c r="C35" s="2562" t="s">
        <v>2293</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1" t="s">
        <v>1229</v>
      </c>
      <c r="B36" s="107">
        <v>1.4999999999999999E-2</v>
      </c>
      <c r="C36" s="2562" t="s">
        <v>3398</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2" t="s">
        <v>1230</v>
      </c>
      <c r="B37" s="108">
        <v>0.02</v>
      </c>
      <c r="C37" s="2562" t="s">
        <v>3381</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0" t="s">
        <v>1231</v>
      </c>
      <c r="B38" s="106">
        <v>0.02</v>
      </c>
      <c r="C38" s="2562" t="s">
        <v>3382</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3"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2307</v>
      </c>
      <c r="B40" s="1013">
        <f ca="1">IF(A40="利息：取LPR",存贷款利率!G1,存贷款利率!G1+C40)</f>
        <v>0.03</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9"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4"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4"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5" t="s">
        <v>1236</v>
      </c>
      <c r="B44" s="112">
        <v>7.0000000000000007E-2</v>
      </c>
      <c r="C44" s="2562" t="s">
        <v>3383</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5" t="s">
        <v>1237</v>
      </c>
      <c r="B45" s="110">
        <v>0.03</v>
      </c>
      <c r="C45" s="2561" t="s">
        <v>2294</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5" t="s">
        <v>1238</v>
      </c>
      <c r="B46" s="110">
        <v>0.02</v>
      </c>
      <c r="C46" s="2561" t="s">
        <v>2295</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6" t="s">
        <v>1239</v>
      </c>
      <c r="B47" s="113"/>
      <c r="C47" s="2564" t="s">
        <v>2302</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7" t="s">
        <v>1240</v>
      </c>
      <c r="B48" s="114">
        <v>0.03</v>
      </c>
      <c r="C48" s="2561" t="s">
        <v>2294</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3" t="s">
        <v>1241</v>
      </c>
      <c r="B49" s="110">
        <v>5.0000000000000001E-4</v>
      </c>
      <c r="C49" s="2561" t="s">
        <v>2296</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8"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1"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8"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0" t="s">
        <v>1245</v>
      </c>
      <c r="B53" s="1609"/>
      <c r="C53" s="2437" t="s">
        <v>1246</v>
      </c>
      <c r="D53" s="2563" t="s">
        <v>2300</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0"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0"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0"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0"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0"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0"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0"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0"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0"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1"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20"/>
  </cols>
  <sheetData>
    <row r="1" spans="1:29" s="2257" customFormat="1" ht="18.75" thickBot="1">
      <c r="A1" s="3265" t="s">
        <v>2283</v>
      </c>
      <c r="B1" s="3266"/>
      <c r="C1" s="3266"/>
      <c r="D1" s="3266"/>
      <c r="E1" s="3266"/>
      <c r="F1" s="3266"/>
      <c r="G1" s="326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2278</v>
      </c>
      <c r="D2" s="1593"/>
      <c r="E2" s="2258"/>
      <c r="F2" s="2261"/>
      <c r="G2" s="2260" t="s">
        <v>2279</v>
      </c>
      <c r="H2" s="749"/>
      <c r="I2" s="749"/>
      <c r="J2" s="749"/>
      <c r="K2" s="749"/>
      <c r="L2" s="749"/>
      <c r="M2" s="749"/>
      <c r="N2" s="749"/>
      <c r="O2" s="749"/>
      <c r="P2" s="749"/>
      <c r="Q2" s="749"/>
    </row>
    <row r="3" spans="1:29" ht="48">
      <c r="A3" s="2245" t="s">
        <v>2280</v>
      </c>
      <c r="B3" s="2262" t="s">
        <v>2252</v>
      </c>
      <c r="C3" s="2263" t="s">
        <v>2281</v>
      </c>
      <c r="D3" s="2264"/>
      <c r="E3" s="2246" t="s">
        <v>2280</v>
      </c>
      <c r="F3" s="2265" t="s">
        <v>2253</v>
      </c>
      <c r="G3" s="2266" t="s">
        <v>2282</v>
      </c>
      <c r="H3" s="749"/>
      <c r="I3" s="749"/>
      <c r="J3" s="749"/>
      <c r="K3" s="749"/>
      <c r="L3" s="749"/>
      <c r="M3" s="749"/>
      <c r="N3" s="749"/>
      <c r="O3" s="749"/>
      <c r="P3" s="749"/>
      <c r="Q3" s="749"/>
    </row>
    <row r="4" spans="1:29" ht="48">
      <c r="A4" s="2246"/>
      <c r="B4" s="315" t="s">
        <v>2254</v>
      </c>
      <c r="C4" s="3167" t="s">
        <v>3432</v>
      </c>
      <c r="D4" s="2264"/>
      <c r="E4" s="2267"/>
      <c r="F4" s="1279" t="s">
        <v>2255</v>
      </c>
      <c r="G4" s="2268" t="s">
        <v>2256</v>
      </c>
      <c r="H4" s="749"/>
      <c r="I4" s="749"/>
      <c r="J4" s="749"/>
      <c r="K4" s="749"/>
      <c r="L4" s="749"/>
      <c r="M4" s="749"/>
      <c r="N4" s="749"/>
      <c r="O4" s="749"/>
      <c r="P4" s="749"/>
      <c r="Q4" s="749"/>
    </row>
    <row r="5" spans="1:29" ht="48">
      <c r="A5" s="2246"/>
      <c r="B5" s="315" t="s">
        <v>2257</v>
      </c>
      <c r="C5" s="3167" t="s">
        <v>3433</v>
      </c>
      <c r="D5" s="2264"/>
      <c r="E5" s="2267"/>
      <c r="F5" s="315" t="s">
        <v>2258</v>
      </c>
      <c r="G5" s="2268" t="s">
        <v>2259</v>
      </c>
      <c r="H5" s="749"/>
      <c r="I5" s="749"/>
      <c r="J5" s="749"/>
      <c r="K5" s="749"/>
      <c r="L5" s="749"/>
      <c r="M5" s="749"/>
      <c r="N5" s="749"/>
      <c r="O5" s="749"/>
      <c r="P5" s="749"/>
      <c r="Q5" s="749"/>
    </row>
    <row r="6" spans="1:29" ht="48">
      <c r="A6" s="2246"/>
      <c r="B6" s="315" t="s">
        <v>2260</v>
      </c>
      <c r="C6" s="3168" t="s">
        <v>3434</v>
      </c>
      <c r="D6" s="2264"/>
      <c r="E6" s="2267"/>
      <c r="F6" s="315" t="s">
        <v>2261</v>
      </c>
      <c r="G6" s="2268" t="s">
        <v>2262</v>
      </c>
      <c r="H6" s="749"/>
      <c r="I6" s="749"/>
      <c r="J6" s="749"/>
      <c r="K6" s="749"/>
      <c r="L6" s="749"/>
      <c r="M6" s="749"/>
      <c r="N6" s="749"/>
      <c r="O6" s="749"/>
      <c r="P6" s="749"/>
      <c r="Q6" s="749"/>
    </row>
    <row r="7" spans="1:29" ht="168.75" thickBot="1">
      <c r="A7" s="2246"/>
      <c r="B7" s="315" t="s">
        <v>2258</v>
      </c>
      <c r="C7" s="3168" t="s">
        <v>3554</v>
      </c>
      <c r="D7" s="2243"/>
      <c r="E7" s="2269"/>
      <c r="F7" s="2270" t="s">
        <v>2263</v>
      </c>
      <c r="G7" s="2271" t="s">
        <v>2264</v>
      </c>
      <c r="H7" s="749"/>
      <c r="I7" s="749"/>
      <c r="J7" s="749"/>
      <c r="K7" s="749"/>
      <c r="L7" s="749"/>
      <c r="M7" s="749"/>
      <c r="N7" s="749"/>
      <c r="O7" s="749"/>
      <c r="P7" s="749"/>
      <c r="Q7" s="749"/>
    </row>
    <row r="8" spans="1:29">
      <c r="A8" s="2246"/>
      <c r="B8" s="315" t="s">
        <v>2261</v>
      </c>
      <c r="C8" s="2268" t="s">
        <v>2262</v>
      </c>
      <c r="D8" s="2243"/>
      <c r="E8" s="2243"/>
      <c r="F8" s="121"/>
      <c r="G8" s="121"/>
      <c r="H8" s="749"/>
      <c r="I8" s="749"/>
      <c r="J8" s="749"/>
      <c r="K8" s="749"/>
      <c r="L8" s="749"/>
      <c r="M8" s="749"/>
      <c r="N8" s="749"/>
      <c r="O8" s="749"/>
      <c r="P8" s="749"/>
      <c r="Q8" s="749"/>
    </row>
    <row r="9" spans="1:29" ht="48">
      <c r="A9" s="2246"/>
      <c r="B9" s="315" t="s">
        <v>2265</v>
      </c>
      <c r="C9" s="3167" t="s">
        <v>3435</v>
      </c>
      <c r="D9" s="2264"/>
      <c r="E9" s="2243"/>
      <c r="F9" s="121"/>
      <c r="G9" s="121"/>
      <c r="H9" s="749"/>
      <c r="I9" s="749"/>
      <c r="J9" s="749"/>
      <c r="K9" s="749"/>
      <c r="L9" s="749"/>
      <c r="M9" s="749"/>
      <c r="N9" s="749"/>
      <c r="O9" s="749"/>
      <c r="P9" s="749"/>
      <c r="Q9" s="749"/>
    </row>
    <row r="10" spans="1:29" ht="15" thickBot="1">
      <c r="A10" s="2247"/>
      <c r="B10" s="2272" t="s">
        <v>2266</v>
      </c>
      <c r="C10" s="2273"/>
      <c r="D10" s="2264"/>
      <c r="E10" s="2264"/>
      <c r="F10" s="121"/>
      <c r="G10" s="121"/>
      <c r="J10" s="2275"/>
      <c r="M10" s="2275"/>
      <c r="P10" s="2275"/>
      <c r="R10" s="2274"/>
    </row>
    <row r="11" spans="1:29">
      <c r="A11" s="2276"/>
      <c r="B11" s="2243"/>
      <c r="C11" s="2264"/>
      <c r="D11" s="2264"/>
      <c r="E11" s="2264"/>
      <c r="F11" s="2243"/>
      <c r="G11" s="2243"/>
      <c r="J11" s="2275"/>
      <c r="M11" s="2275"/>
      <c r="P11" s="2275"/>
      <c r="R11" s="2274"/>
    </row>
    <row r="12" spans="1:29" s="2257" customFormat="1" ht="18">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75" thickBot="1">
      <c r="A13" s="2281" t="s">
        <v>2284</v>
      </c>
      <c r="B13" s="2277"/>
      <c r="C13" s="2277"/>
      <c r="D13" s="2276"/>
      <c r="E13" s="2277"/>
      <c r="F13" s="2277"/>
      <c r="G13" s="2277"/>
    </row>
    <row r="14" spans="1:29" ht="15" thickBot="1">
      <c r="A14" s="2282"/>
      <c r="B14" s="2282"/>
      <c r="C14" s="2283" t="s">
        <v>2267</v>
      </c>
      <c r="D14" s="2264"/>
      <c r="E14" s="2284"/>
      <c r="F14" s="2284"/>
      <c r="G14" s="2260" t="s">
        <v>2268</v>
      </c>
    </row>
    <row r="15" spans="1:29" ht="51">
      <c r="A15" s="2248" t="s">
        <v>2269</v>
      </c>
      <c r="B15" s="2285" t="s">
        <v>2252</v>
      </c>
      <c r="C15" s="2286" t="str">
        <f>C3</f>
        <v>估价对象周边居住用地比例、居住小区规模和社区发展完善程度，综合评价居住社区成熟度一般</v>
      </c>
      <c r="D15" s="2264"/>
      <c r="E15" s="2249" t="s">
        <v>2270</v>
      </c>
      <c r="F15" s="2285" t="s">
        <v>2271</v>
      </c>
      <c r="G15" s="2287" t="str">
        <f>G3</f>
        <v>估价对象位于XX开发区，园区建设成熟度XX，产业集聚程度XX</v>
      </c>
    </row>
    <row r="16" spans="1:29" ht="51">
      <c r="A16" s="2250"/>
      <c r="B16" s="2288" t="s">
        <v>2254</v>
      </c>
      <c r="C16" s="2289" t="str">
        <f>C4</f>
        <v>估价对象位于北京城市副中心商务中心区，周边商业氛围较成熟，人流量较大，商业繁华度较好</v>
      </c>
      <c r="D16" s="2264"/>
      <c r="E16" s="2251"/>
      <c r="F16" s="2290" t="s">
        <v>2255</v>
      </c>
      <c r="G16" s="2291" t="str">
        <f>G4</f>
        <v>估价对象周边道路状况、公共交通通达情况、停车便捷程度，综合评价交通便捷度较好</v>
      </c>
    </row>
    <row r="17" spans="1:17" ht="51">
      <c r="A17" s="2250"/>
      <c r="B17" s="2288" t="s">
        <v>2257</v>
      </c>
      <c r="C17" s="2289" t="str">
        <f>C5</f>
        <v>估价对象位于北京城市副中心商务中心区，周边办公楼项目较多，入驻率较高，办公集聚程度较好</v>
      </c>
      <c r="D17" s="2243"/>
      <c r="E17" s="2251"/>
      <c r="F17" s="2290" t="s">
        <v>2272</v>
      </c>
      <c r="G17" s="2292"/>
    </row>
    <row r="18" spans="1:17" ht="51">
      <c r="A18" s="2250"/>
      <c r="B18" s="2290" t="s">
        <v>2260</v>
      </c>
      <c r="C18" s="2291" t="str">
        <f>C6</f>
        <v>估价对象周边有316路、342路、582路、587路等多条公交线路及地铁6号线通州北关站，综合评价交通便捷度较好</v>
      </c>
      <c r="D18" s="2243"/>
      <c r="E18" s="2251"/>
      <c r="F18" s="2290" t="s">
        <v>2263</v>
      </c>
      <c r="G18" s="2291" t="str">
        <f>G7</f>
        <v>该园区内是否有污染型企业，绿化情况，卫生条件，整体环境状况判断</v>
      </c>
    </row>
    <row r="19" spans="1:17" ht="25.5">
      <c r="A19" s="2250"/>
      <c r="B19" s="2290" t="s">
        <v>2273</v>
      </c>
      <c r="C19" s="2292"/>
      <c r="D19" s="2264"/>
      <c r="E19" s="2251"/>
      <c r="F19" s="315" t="s">
        <v>2258</v>
      </c>
      <c r="G19" s="2291" t="str">
        <f>G5</f>
        <v>估价对象所在区域公共配套设施齐备情况</v>
      </c>
    </row>
    <row r="20" spans="1:17" ht="51">
      <c r="A20" s="2250"/>
      <c r="B20" s="2290" t="s">
        <v>2274</v>
      </c>
      <c r="C20" s="2289" t="str">
        <f>C9</f>
        <v>估价对象周边有北关清真寺、三教庙等人文景观，西海子公园、北运河水系等自然景观，综合评价环境状况较好。</v>
      </c>
      <c r="D20" s="2243"/>
      <c r="E20" s="2251"/>
      <c r="F20" s="315" t="s">
        <v>2261</v>
      </c>
      <c r="G20" s="2291" t="str">
        <f>G6</f>
        <v>估价对象所在区域基础设施水平</v>
      </c>
    </row>
    <row r="21" spans="1:17" ht="178.5">
      <c r="A21" s="2250"/>
      <c r="B21" s="315" t="s">
        <v>2258</v>
      </c>
      <c r="C21" s="2291" t="str">
        <f>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21" s="2264"/>
      <c r="E21" s="2251"/>
      <c r="F21" s="2290" t="s">
        <v>2275</v>
      </c>
      <c r="G21" s="2293"/>
    </row>
    <row r="22" spans="1:17" ht="13.5" customHeight="1">
      <c r="A22" s="2250"/>
      <c r="B22" s="315" t="s">
        <v>2261</v>
      </c>
      <c r="C22" s="2291" t="str">
        <f>C8</f>
        <v>估价对象所在区域基础设施水平</v>
      </c>
      <c r="D22" s="2264"/>
      <c r="E22" s="2251"/>
      <c r="F22" s="2290" t="s">
        <v>2266</v>
      </c>
      <c r="G22" s="2292"/>
    </row>
    <row r="23" spans="1:17" s="749" customFormat="1" ht="15" thickBot="1">
      <c r="A23" s="2250"/>
      <c r="B23" s="2290" t="s">
        <v>2275</v>
      </c>
      <c r="C23" s="2293"/>
      <c r="D23" s="1612"/>
      <c r="E23" s="2252"/>
      <c r="F23" s="2294" t="s">
        <v>2276</v>
      </c>
      <c r="G23" s="2295"/>
      <c r="H23" s="2274"/>
      <c r="I23" s="2274"/>
      <c r="J23" s="2274"/>
      <c r="K23" s="2274"/>
      <c r="L23" s="2274"/>
      <c r="M23" s="2274"/>
      <c r="N23" s="2274"/>
      <c r="O23" s="2274"/>
      <c r="P23" s="2274"/>
      <c r="Q23" s="2274"/>
    </row>
    <row r="24" spans="1:17" s="749" customFormat="1" ht="15" thickBot="1">
      <c r="A24" s="2253"/>
      <c r="B24" s="2294" t="s">
        <v>2277</v>
      </c>
      <c r="C24" s="2296">
        <f>C10</f>
        <v>0</v>
      </c>
      <c r="D24" s="1612"/>
      <c r="E24" s="2243"/>
      <c r="F24" s="2243"/>
      <c r="G24" s="2243"/>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9" sqref="F39"/>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41825.5</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45884</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45816.641599999995</v>
      </c>
      <c r="C5" s="2297">
        <f ca="1">IF(B5=D14,E14,ROUND(B5*10000/$B$1,0))</f>
        <v>10954</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2"/>
      <c r="C9" s="2459"/>
      <c r="D9" s="2459"/>
      <c r="E9" s="2459"/>
      <c r="F9" s="2460"/>
      <c r="G9" s="2460"/>
      <c r="H9" s="2460"/>
      <c r="I9" s="2460"/>
      <c r="J9" s="2460"/>
      <c r="K9" s="2460"/>
    </row>
    <row r="10" spans="1:11" ht="16.5">
      <c r="A10" s="2297" t="s">
        <v>654</v>
      </c>
      <c r="B10" s="2297">
        <f>IF(E10="",0,ROUND(B1*(E10*365/G10)/10000,0))</f>
        <v>0</v>
      </c>
      <c r="C10" s="2297" t="s">
        <v>3353</v>
      </c>
      <c r="D10" s="2297" t="s">
        <v>3354</v>
      </c>
      <c r="E10" s="3134"/>
      <c r="F10" s="3138" t="s">
        <v>3355</v>
      </c>
      <c r="G10" s="3135"/>
      <c r="H10" s="2460"/>
      <c r="I10" s="2460"/>
      <c r="J10" s="2460"/>
      <c r="K10" s="2460"/>
    </row>
    <row r="11" spans="1:11" ht="16.5">
      <c r="A11" s="2297" t="s">
        <v>670</v>
      </c>
      <c r="B11" s="1242"/>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'数据-取费表'!K16</f>
        <v>41825.5</v>
      </c>
      <c r="C14" s="2303"/>
      <c r="D14" s="2303">
        <f ca="1">结果一览表!H8</f>
        <v>45816.641599999995</v>
      </c>
      <c r="E14" s="2303">
        <f ca="1">ROUND(D14*10000/B14,0)</f>
        <v>10954</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2"/>
      <c r="H15" s="1242"/>
      <c r="I15" s="2304"/>
      <c r="J15" s="2460"/>
      <c r="K15" s="2460"/>
    </row>
    <row r="16" spans="1:11" ht="16.5">
      <c r="A16" s="2302" t="s">
        <v>648</v>
      </c>
      <c r="B16" s="2304"/>
      <c r="C16" s="2304"/>
      <c r="D16" s="2304"/>
      <c r="E16" s="2303" t="e">
        <f t="shared" si="0"/>
        <v>#DIV/0!</v>
      </c>
      <c r="F16" s="2303" t="e">
        <f t="shared" si="1"/>
        <v>#DIV/0!</v>
      </c>
      <c r="G16" s="1242"/>
      <c r="H16" s="1242"/>
      <c r="I16" s="2304"/>
      <c r="J16" s="2460"/>
      <c r="K16" s="2460"/>
    </row>
    <row r="17" spans="1:11" ht="16.5">
      <c r="A17" s="2302" t="s">
        <v>647</v>
      </c>
      <c r="B17" s="2304"/>
      <c r="C17" s="2304"/>
      <c r="D17" s="2304"/>
      <c r="E17" s="2303" t="e">
        <f t="shared" si="0"/>
        <v>#DIV/0!</v>
      </c>
      <c r="F17" s="2303" t="e">
        <f t="shared" si="1"/>
        <v>#DIV/0!</v>
      </c>
      <c r="G17" s="1242"/>
      <c r="H17" s="1242"/>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2" t="e">
        <f t="shared" si="0"/>
        <v>#DIV/0!</v>
      </c>
      <c r="F23" s="1242"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0" zoomScale="70" zoomScaleNormal="100" zoomScaleSheetLayoutView="70" zoomScalePageLayoutView="80" workbookViewId="0">
      <selection activeCell="H102" sqref="H102"/>
    </sheetView>
  </sheetViews>
  <sheetFormatPr defaultColWidth="12.625" defaultRowHeight="21.75" customHeight="1"/>
  <cols>
    <col min="1" max="2" width="12.625" style="1559"/>
    <col min="3" max="4" width="12.625" style="1559" customWidth="1"/>
    <col min="5" max="9" width="12.625" style="1559"/>
    <col min="10" max="11" width="12.625" style="684" customWidth="1"/>
    <col min="12" max="12" width="12.625" style="684"/>
    <col min="13" max="13" width="14.125" style="684" bestFit="1" customWidth="1"/>
    <col min="14" max="26" width="12.625" style="684"/>
    <col min="27" max="35" width="12.625" style="1621"/>
    <col min="36" max="16384" width="12.625" style="1559"/>
  </cols>
  <sheetData>
    <row r="1" spans="1:12" ht="21.75" customHeight="1" thickBot="1">
      <c r="A1" s="1519" t="s">
        <v>1262</v>
      </c>
      <c r="B1" s="646"/>
      <c r="C1" s="1618"/>
      <c r="D1" s="646"/>
      <c r="E1" s="646"/>
      <c r="F1" s="1619" t="s">
        <v>1263</v>
      </c>
      <c r="G1" s="1451"/>
      <c r="H1" s="1619" t="str">
        <f>IF(G1="现房","——","估价对象范围")</f>
        <v>估价对象范围</v>
      </c>
      <c r="I1" s="1620"/>
    </row>
    <row r="2" spans="1:12" ht="21.75" customHeight="1" thickBot="1">
      <c r="A2" s="3301" t="str">
        <f>项目基本情况!S2</f>
        <v>北京市房地产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22" t="s">
        <v>1265</v>
      </c>
      <c r="B4" s="1623" t="s">
        <v>1266</v>
      </c>
      <c r="C4" s="1624"/>
      <c r="D4" s="1624"/>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1" t="s">
        <v>1268</v>
      </c>
      <c r="B5" s="3268">
        <v>25</v>
      </c>
      <c r="C5" s="3284"/>
      <c r="D5" s="3304"/>
      <c r="E5" s="123" t="s">
        <v>1269</v>
      </c>
      <c r="F5" s="1625"/>
      <c r="G5" s="1625"/>
      <c r="H5" s="1625"/>
      <c r="I5" s="1279"/>
    </row>
    <row r="6" spans="1:12" ht="12.75">
      <c r="A6" s="3281"/>
      <c r="B6" s="3268"/>
      <c r="C6" s="3285"/>
      <c r="D6" s="3304"/>
      <c r="E6" s="123" t="s">
        <v>1270</v>
      </c>
      <c r="F6" s="1625"/>
      <c r="G6" s="1625"/>
      <c r="H6" s="1625"/>
      <c r="I6" s="1279"/>
    </row>
    <row r="7" spans="1:12" ht="12.75">
      <c r="A7" s="3281"/>
      <c r="B7" s="3268"/>
      <c r="C7" s="3286"/>
      <c r="D7" s="3304"/>
      <c r="E7" s="123" t="s">
        <v>1271</v>
      </c>
      <c r="F7" s="1625"/>
      <c r="G7" s="1625"/>
      <c r="H7" s="1625"/>
      <c r="I7" s="1279"/>
    </row>
    <row r="8" spans="1:12" ht="12.75">
      <c r="A8" s="3281" t="s">
        <v>1272</v>
      </c>
      <c r="B8" s="3268">
        <v>15</v>
      </c>
      <c r="C8" s="3284"/>
      <c r="D8" s="3304"/>
      <c r="E8" s="123" t="s">
        <v>1273</v>
      </c>
      <c r="F8" s="1625"/>
      <c r="G8" s="1625"/>
      <c r="H8" s="1625"/>
      <c r="I8" s="1279"/>
    </row>
    <row r="9" spans="1:12" ht="12.75">
      <c r="A9" s="3281"/>
      <c r="B9" s="3268"/>
      <c r="C9" s="3286"/>
      <c r="D9" s="3304"/>
      <c r="E9" s="123" t="s">
        <v>1274</v>
      </c>
      <c r="F9" s="1625"/>
      <c r="G9" s="1625"/>
      <c r="H9" s="1625"/>
      <c r="I9" s="1279"/>
    </row>
    <row r="10" spans="1:12" ht="12.75">
      <c r="A10" s="3281" t="s">
        <v>1275</v>
      </c>
      <c r="B10" s="3268">
        <v>15</v>
      </c>
      <c r="C10" s="3284"/>
      <c r="D10" s="3304"/>
      <c r="E10" s="123" t="s">
        <v>1276</v>
      </c>
      <c r="F10" s="1625"/>
      <c r="G10" s="1625"/>
      <c r="H10" s="1625"/>
      <c r="I10" s="1279"/>
    </row>
    <row r="11" spans="1:12" ht="12.75">
      <c r="A11" s="3281"/>
      <c r="B11" s="3268"/>
      <c r="C11" s="3286"/>
      <c r="D11" s="3304"/>
      <c r="E11" s="123" t="s">
        <v>1277</v>
      </c>
      <c r="F11" s="1625"/>
      <c r="G11" s="1625"/>
      <c r="H11" s="1625"/>
      <c r="I11" s="1279"/>
    </row>
    <row r="12" spans="1:12" ht="12.75">
      <c r="A12" s="3281" t="s">
        <v>1278</v>
      </c>
      <c r="B12" s="3268">
        <v>15</v>
      </c>
      <c r="C12" s="3284"/>
      <c r="D12" s="3304"/>
      <c r="E12" s="123" t="s">
        <v>1279</v>
      </c>
      <c r="F12" s="1625"/>
      <c r="G12" s="1625"/>
      <c r="H12" s="1625"/>
      <c r="I12" s="1279"/>
    </row>
    <row r="13" spans="1:12" ht="12.75">
      <c r="A13" s="3281"/>
      <c r="B13" s="3268"/>
      <c r="C13" s="3286"/>
      <c r="D13" s="3304"/>
      <c r="E13" s="123" t="s">
        <v>1280</v>
      </c>
      <c r="F13" s="1625"/>
      <c r="G13" s="1625"/>
      <c r="H13" s="1625"/>
      <c r="I13" s="1279"/>
    </row>
    <row r="14" spans="1:12" ht="12.75">
      <c r="A14" s="3281" t="s">
        <v>1281</v>
      </c>
      <c r="B14" s="3268">
        <v>30</v>
      </c>
      <c r="C14" s="3284"/>
      <c r="D14" s="3304"/>
      <c r="E14" s="123" t="s">
        <v>1282</v>
      </c>
      <c r="F14" s="1625"/>
      <c r="G14" s="1625"/>
      <c r="H14" s="1625"/>
      <c r="I14" s="1279"/>
    </row>
    <row r="15" spans="1:12" ht="12.75">
      <c r="A15" s="3281"/>
      <c r="B15" s="3268"/>
      <c r="C15" s="3285"/>
      <c r="D15" s="3304"/>
      <c r="E15" s="123" t="s">
        <v>1283</v>
      </c>
      <c r="F15" s="1625"/>
      <c r="G15" s="1625"/>
      <c r="H15" s="1625"/>
      <c r="I15" s="1279"/>
    </row>
    <row r="16" spans="1:12" ht="12.75">
      <c r="A16" s="3281"/>
      <c r="B16" s="3268"/>
      <c r="C16" s="3286"/>
      <c r="D16" s="3304"/>
      <c r="E16" s="123" t="s">
        <v>1284</v>
      </c>
      <c r="F16" s="1625"/>
      <c r="G16" s="1625"/>
      <c r="H16" s="1625"/>
      <c r="I16" s="1279"/>
    </row>
    <row r="17" spans="1:36" ht="15">
      <c r="A17" s="1626" t="s">
        <v>1285</v>
      </c>
      <c r="B17" s="54"/>
      <c r="C17" s="124">
        <f>SUM(C5:C16)</f>
        <v>0</v>
      </c>
      <c r="D17" s="124">
        <f>SUM(D5:D16)</f>
        <v>0</v>
      </c>
      <c r="E17" s="121"/>
      <c r="F17" s="121"/>
      <c r="G17" s="121"/>
      <c r="H17" s="121"/>
      <c r="I17" s="121"/>
      <c r="K17" s="294"/>
      <c r="L17" s="294" t="s">
        <v>1286</v>
      </c>
      <c r="M17" s="294" t="s">
        <v>1287</v>
      </c>
    </row>
    <row r="18" spans="1:36" ht="31.9" customHeight="1" thickBot="1">
      <c r="A18" s="1627" t="s">
        <v>1288</v>
      </c>
      <c r="B18" s="1540"/>
      <c r="C18" s="125" t="e">
        <f>ROUND(C17/SUM(C17:D17),2)</f>
        <v>#DIV/0!</v>
      </c>
      <c r="D18" s="125" t="e">
        <f>1-C18</f>
        <v>#DIV/0!</v>
      </c>
      <c r="E18" s="3291" t="s">
        <v>2131</v>
      </c>
      <c r="F18" s="3292"/>
      <c r="G18" s="3292"/>
      <c r="H18" s="3292"/>
      <c r="I18" s="3292"/>
      <c r="K18" s="294" t="s">
        <v>1289</v>
      </c>
      <c r="L18" s="294">
        <f>IF(C1="",'数据-汇总表'!E3,SUMIF(项目类型,C1,'数据-汇总表'!E17:E26)+SUMIF(项目类型,C1,'数据-汇总表'!I17:I26))</f>
        <v>41825.5</v>
      </c>
      <c r="M18" s="294">
        <f>IF(C1="",'数据-汇总表'!E3,SUMIF(项目类型,C1,'数据-汇总表'!E17:E26))</f>
        <v>41825.5</v>
      </c>
    </row>
    <row r="19" spans="1:36" ht="15">
      <c r="A19" s="1628" t="s">
        <v>1290</v>
      </c>
      <c r="B19" s="1629" t="s">
        <v>1291</v>
      </c>
      <c r="C19" s="126" t="e">
        <f ca="1">SUMIF(INDIRECT("'"&amp;C4&amp;"'"&amp;"!A:A"),结果表!B19,INDIRECT("'"&amp;C4&amp;"'"&amp;"!B:B"))</f>
        <v>#REF!</v>
      </c>
      <c r="D19" s="127" t="e">
        <f ca="1">SUMIF(INDIRECT("'"&amp;D4&amp;"'"&amp;"!A:A"),结果表!B19,INDIRECT("'"&amp;D4&amp;"'"&amp;"!B:B"))</f>
        <v>#REF!</v>
      </c>
      <c r="E19" s="1628" t="s">
        <v>1292</v>
      </c>
      <c r="F19" s="1629" t="s">
        <v>1291</v>
      </c>
      <c r="G19" s="128" t="e">
        <f ca="1">ROUND(C19*$C$18+D19*$D$18,0)</f>
        <v>#REF!</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1"/>
      <c r="B20" s="43" t="s">
        <v>1295</v>
      </c>
      <c r="C20" s="129" t="e">
        <f ca="1">SUMIF(INDIRECT("'"&amp;C4&amp;"'"&amp;"!A:A"),结果表!B20,INDIRECT("'"&amp;C4&amp;"'"&amp;"!B:B"))</f>
        <v>#REF!</v>
      </c>
      <c r="D20" s="130" t="e">
        <f ca="1">SUMIF(INDIRECT("'"&amp;D4&amp;"'"&amp;"!A:A"),结果表!B20,INDIRECT("'"&amp;D4&amp;"'"&amp;"!B:B"))</f>
        <v>#REF!</v>
      </c>
      <c r="E20" s="1631"/>
      <c r="F20" s="43" t="s">
        <v>1295</v>
      </c>
      <c r="G20" s="131" t="e">
        <f ca="1">ROUND(C20*$C$18+D20*$D$18,0)</f>
        <v>#REF!</v>
      </c>
      <c r="H20" s="758"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2" t="s">
        <v>1296</v>
      </c>
      <c r="I21" s="121"/>
    </row>
    <row r="22" spans="1:36" ht="15" thickBot="1">
      <c r="A22" s="1562" t="s">
        <v>1298</v>
      </c>
      <c r="B22" s="1633"/>
      <c r="C22" s="1634"/>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75" t="s">
        <v>1299</v>
      </c>
      <c r="B24" s="1629" t="s">
        <v>1291</v>
      </c>
      <c r="C24" s="128">
        <f>IF(B30=0,0,D30)</f>
        <v>0</v>
      </c>
      <c r="D24" s="1635"/>
      <c r="E24" s="121"/>
      <c r="F24" s="121"/>
      <c r="G24" s="121"/>
      <c r="H24" s="121"/>
      <c r="I24" s="121"/>
    </row>
    <row r="25" spans="1:36" ht="14.25">
      <c r="A25" s="3276"/>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6" t="e">
        <f ca="1">IF(D32="总价",G19-C24,G20-C25)</f>
        <v>#REF!</v>
      </c>
      <c r="D32" s="1639"/>
      <c r="E32" s="121"/>
      <c r="F32" s="121"/>
      <c r="G32" s="121"/>
      <c r="H32" s="121"/>
      <c r="I32" s="121"/>
    </row>
    <row r="33" spans="1:15" ht="15">
      <c r="A33" s="738" t="s">
        <v>1306</v>
      </c>
      <c r="B33" s="123"/>
      <c r="C33" s="1640"/>
      <c r="D33" s="1641"/>
      <c r="E33" s="1642" t="s">
        <v>1307</v>
      </c>
      <c r="F33" s="1643" t="str">
        <f>IF(D32="楼面单价","取值（单价）","取值（总价）")</f>
        <v>取值（总价）</v>
      </c>
      <c r="G33" s="121"/>
      <c r="H33" s="121"/>
      <c r="I33" s="121"/>
    </row>
    <row r="34" spans="1:15" ht="15">
      <c r="A34" s="1644"/>
      <c r="B34" s="1645" t="s">
        <v>1308</v>
      </c>
      <c r="C34" s="140" t="e">
        <f ca="1">IF(C33="自定义",F34,C32-C35)</f>
        <v>#REF!</v>
      </c>
      <c r="D34" s="806" t="e">
        <f ca="1">IF(C33="自定义",ROUND(C34/C32,3),IF(C33="收益比率",SUMIF(INDIRECT("'"&amp;D33&amp;"'"&amp;"!b:b"),"土地收益比率",INDIRECT("'"&amp;D33&amp;"'"&amp;"!c:c")),SUMIF(INDIRECT("'"&amp;D33&amp;"'"&amp;"!b:b"),"土地成本比率",INDIRECT("'"&amp;D33&amp;"'"&amp;"!c:c"))))</f>
        <v>#REF!</v>
      </c>
      <c r="E34" s="1646" t="s">
        <v>1309</v>
      </c>
      <c r="F34" s="1241"/>
      <c r="G34" s="121"/>
      <c r="H34" s="121"/>
      <c r="I34" s="121"/>
    </row>
    <row r="35" spans="1:15" ht="15.75" thickBot="1">
      <c r="A35" s="1647"/>
      <c r="B35" s="1648"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1311</v>
      </c>
      <c r="F35" s="146"/>
      <c r="G35" s="121"/>
      <c r="H35" s="121"/>
      <c r="I35" s="121"/>
    </row>
    <row r="36" spans="1:15" ht="15.75" thickBot="1">
      <c r="A36" s="3295" t="s">
        <v>1312</v>
      </c>
      <c r="B36" s="1650" t="s">
        <v>1313</v>
      </c>
      <c r="C36" s="137"/>
      <c r="D36" s="1651"/>
      <c r="E36" s="1565"/>
      <c r="F36" s="1652"/>
      <c r="G36" s="121"/>
      <c r="H36" s="121"/>
      <c r="I36" s="121"/>
    </row>
    <row r="37" spans="1:15" ht="15.75" thickBot="1">
      <c r="A37" s="3296"/>
      <c r="B37" s="1553" t="s">
        <v>1314</v>
      </c>
      <c r="C37" s="139"/>
      <c r="D37" s="1069"/>
      <c r="E37" s="1069"/>
      <c r="F37" s="1652"/>
      <c r="G37" s="121"/>
      <c r="H37" s="121"/>
      <c r="I37" s="121"/>
    </row>
    <row r="38" spans="1:15" ht="15.75" thickBot="1">
      <c r="A38" s="3297"/>
      <c r="B38" s="1653" t="s">
        <v>1315</v>
      </c>
      <c r="C38" s="641"/>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72" t="s">
        <v>1326</v>
      </c>
      <c r="B45" s="3273"/>
      <c r="C45" s="3274"/>
      <c r="D45" s="147" t="e">
        <f ca="1">ROUND(H101*F45,0)</f>
        <v>#REF!</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6"/>
      <c r="I46" s="151"/>
      <c r="J46" s="2307">
        <v>1</v>
      </c>
      <c r="K46" s="3331" t="s">
        <v>1331</v>
      </c>
      <c r="L46" s="3331"/>
      <c r="M46" s="3351"/>
      <c r="N46" s="3351"/>
      <c r="O46" s="3351"/>
    </row>
    <row r="47" spans="1:15" ht="12" customHeight="1">
      <c r="A47" s="152" t="s">
        <v>1332</v>
      </c>
      <c r="B47" s="153"/>
      <c r="C47" s="154"/>
      <c r="D47" s="1022" t="s">
        <v>1333</v>
      </c>
      <c r="E47" s="294" t="s">
        <v>1334</v>
      </c>
      <c r="F47" s="155" t="s">
        <v>1335</v>
      </c>
      <c r="G47" s="2330" t="s">
        <v>1336</v>
      </c>
      <c r="H47" s="2331"/>
      <c r="I47" s="151"/>
      <c r="J47" s="2307">
        <v>2</v>
      </c>
      <c r="K47" s="3331" t="s">
        <v>1337</v>
      </c>
      <c r="L47" s="3331"/>
      <c r="M47" s="3352">
        <f>'数据-取费表'!B2</f>
        <v>45884</v>
      </c>
      <c r="N47" s="3352"/>
      <c r="O47" s="3352"/>
    </row>
    <row r="48" spans="1:15" ht="25.5">
      <c r="A48" s="3300" t="s">
        <v>1338</v>
      </c>
      <c r="B48" s="3283"/>
      <c r="C48" s="3283"/>
      <c r="D48" s="12" t="b">
        <f>IF(H48="情况1",0,IF(H48="情况2",D52,IF(H48="情况3",D53,IF(H48="情况4",D54))))</f>
        <v>0</v>
      </c>
      <c r="E48" s="1254" t="str">
        <f>IF(H48="情况4","(销售额-原购置价)×税（费）率","销售额×税（费）率")</f>
        <v>销售额×税（费）率</v>
      </c>
      <c r="F48" s="2332">
        <f>IF(H48="情况1","免征",'数据-取费表'!B41)</f>
        <v>5.6000000000000001E-2</v>
      </c>
      <c r="G48" s="2333" t="s">
        <v>1339</v>
      </c>
      <c r="H48" s="2334"/>
      <c r="I48" s="1666"/>
      <c r="J48" s="2307">
        <v>3</v>
      </c>
      <c r="K48" s="3331" t="s">
        <v>1340</v>
      </c>
      <c r="L48" s="3331"/>
      <c r="M48" s="3353" t="e">
        <f ca="1">H101</f>
        <v>#REF!</v>
      </c>
      <c r="N48" s="3353"/>
      <c r="O48" s="3353"/>
    </row>
    <row r="49" spans="1:35" ht="25.5" customHeight="1">
      <c r="A49" s="2150" t="s">
        <v>1341</v>
      </c>
      <c r="B49" s="3267" t="s">
        <v>1342</v>
      </c>
      <c r="C49" s="3267"/>
      <c r="D49" s="1476">
        <v>0</v>
      </c>
      <c r="E49" s="316" t="s">
        <v>1343</v>
      </c>
      <c r="F49" s="2231" t="s">
        <v>28</v>
      </c>
      <c r="G49" s="3337"/>
      <c r="H49" s="2132" t="s">
        <v>2134</v>
      </c>
      <c r="I49" s="2133"/>
      <c r="J49" s="2307">
        <v>4</v>
      </c>
      <c r="K49" s="3331" t="str">
        <f>IF(项目基本情况!E8="房地产抵押价值","房地产抵押价值","抵押担保权已注销时的房地产抵押价值")</f>
        <v>抵押担保权已注销时的房地产抵押价值</v>
      </c>
      <c r="L49" s="3331"/>
      <c r="M49" s="3353" t="str">
        <f>IF(项目基本情况!E8="房地产抵押价值",H107,H109)</f>
        <v>——</v>
      </c>
      <c r="N49" s="3353"/>
      <c r="O49" s="3353"/>
    </row>
    <row r="50" spans="1:35" ht="25.5" customHeight="1">
      <c r="A50" s="2335"/>
      <c r="B50" s="3267" t="s">
        <v>1344</v>
      </c>
      <c r="C50" s="3267"/>
      <c r="D50" s="2187"/>
      <c r="E50" s="323"/>
      <c r="F50" s="2231"/>
      <c r="G50" s="3338"/>
      <c r="H50" s="2134" t="s">
        <v>2135</v>
      </c>
      <c r="I50" s="2133"/>
      <c r="J50" s="3350" t="s">
        <v>1345</v>
      </c>
      <c r="K50" s="3350"/>
      <c r="L50" s="3350"/>
      <c r="M50" s="3350"/>
      <c r="N50" s="3350"/>
      <c r="O50" s="3350"/>
    </row>
    <row r="51" spans="1:35" ht="20.45" customHeight="1">
      <c r="A51" s="2336"/>
      <c r="B51" s="3267" t="s">
        <v>1346</v>
      </c>
      <c r="C51" s="3267"/>
      <c r="D51" s="1022"/>
      <c r="E51" s="319"/>
      <c r="F51" s="2231"/>
      <c r="G51" s="3339"/>
      <c r="H51" s="2134" t="s">
        <v>2136</v>
      </c>
      <c r="I51" s="2133"/>
      <c r="J51" s="2308" t="s">
        <v>1347</v>
      </c>
      <c r="K51" s="3331" t="s">
        <v>1348</v>
      </c>
      <c r="L51" s="3331"/>
      <c r="M51" s="2308" t="s">
        <v>1349</v>
      </c>
      <c r="N51" s="2308" t="s">
        <v>1350</v>
      </c>
      <c r="O51" s="2308" t="s">
        <v>1351</v>
      </c>
    </row>
    <row r="52" spans="1:35" ht="24" customHeight="1">
      <c r="A52" s="2151" t="s">
        <v>1352</v>
      </c>
      <c r="B52" s="3267" t="s">
        <v>1353</v>
      </c>
      <c r="C52" s="3267"/>
      <c r="D52" s="1022" t="e">
        <f ca="1">ROUND(D45*'数据-取费表'!B41/(1+'数据-取费表'!C42),0)</f>
        <v>#REF!</v>
      </c>
      <c r="E52" s="1254" t="s">
        <v>1354</v>
      </c>
      <c r="F52" s="2337">
        <f>'数据-取费表'!B41</f>
        <v>5.6000000000000001E-2</v>
      </c>
      <c r="G52" s="2338"/>
      <c r="H52" s="2328"/>
      <c r="I52" s="1667"/>
      <c r="J52" s="2307">
        <v>1</v>
      </c>
      <c r="K52" s="3332" t="s">
        <v>1355</v>
      </c>
      <c r="L52" s="3332"/>
      <c r="M52" s="2309" t="b">
        <f>D48</f>
        <v>0</v>
      </c>
      <c r="N52" s="2307" t="str">
        <f>E48</f>
        <v>销售额×税（费）率</v>
      </c>
      <c r="O52" s="2310">
        <f>F48</f>
        <v>5.6000000000000001E-2</v>
      </c>
    </row>
    <row r="53" spans="1:35" ht="12" customHeight="1">
      <c r="A53" s="2151" t="s">
        <v>1356</v>
      </c>
      <c r="B53" s="3293" t="s">
        <v>2288</v>
      </c>
      <c r="C53" s="3294"/>
      <c r="D53" s="1022" t="e">
        <f ca="1">ROUND(D45*'数据-取费表'!B41/(1+'数据-取费表'!C42),0)</f>
        <v>#REF!</v>
      </c>
      <c r="E53" s="1254" t="s">
        <v>1354</v>
      </c>
      <c r="F53" s="2337">
        <f>'数据-取费表'!B41</f>
        <v>5.6000000000000001E-2</v>
      </c>
      <c r="G53" s="2338"/>
      <c r="H53" s="2328"/>
      <c r="I53" s="1667"/>
      <c r="J53" s="2307">
        <v>2</v>
      </c>
      <c r="K53" s="3332" t="s">
        <v>1357</v>
      </c>
      <c r="L53" s="3332"/>
      <c r="M53" s="2309" t="e">
        <f t="shared" ref="M53:O54" ca="1" si="0">D55</f>
        <v>#REF!</v>
      </c>
      <c r="N53" s="2307" t="str">
        <f t="shared" si="0"/>
        <v>销售额×税（费）率</v>
      </c>
      <c r="O53" s="2310" t="str">
        <f t="shared" si="0"/>
        <v>免征</v>
      </c>
    </row>
    <row r="54" spans="1:35" ht="12" customHeight="1">
      <c r="A54" s="2151" t="s">
        <v>1358</v>
      </c>
      <c r="B54" s="3293" t="s">
        <v>2289</v>
      </c>
      <c r="C54" s="3294"/>
      <c r="D54" s="1022" t="e">
        <f ca="1">C68</f>
        <v>#REF!</v>
      </c>
      <c r="E54" s="319" t="s">
        <v>1359</v>
      </c>
      <c r="F54" s="2337">
        <f>'数据-取费表'!B41</f>
        <v>5.6000000000000001E-2</v>
      </c>
      <c r="G54" s="2338"/>
      <c r="H54" s="2339"/>
      <c r="I54" s="1667"/>
      <c r="J54" s="2307">
        <v>3</v>
      </c>
      <c r="K54" s="3332" t="s">
        <v>1360</v>
      </c>
      <c r="L54" s="3332"/>
      <c r="M54" s="2309" t="e">
        <f t="shared" ca="1" si="0"/>
        <v>#REF!</v>
      </c>
      <c r="N54" s="2307" t="str">
        <f t="shared" si="0"/>
        <v>增值额×税（费）率</v>
      </c>
      <c r="O54" s="2311" t="str">
        <f t="shared" si="0"/>
        <v>免征</v>
      </c>
    </row>
    <row r="55" spans="1:35" ht="24" customHeight="1">
      <c r="A55" s="3282" t="s">
        <v>1361</v>
      </c>
      <c r="B55" s="3283"/>
      <c r="C55" s="3283"/>
      <c r="D55" s="12" t="e">
        <f ca="1">IF(H55="个人住宅",0,ROUND(D45*I55,0))</f>
        <v>#REF!</v>
      </c>
      <c r="E55" s="1254" t="s">
        <v>1362</v>
      </c>
      <c r="F55" s="2337" t="str">
        <f>IF(H55="正常",I55,"免征")</f>
        <v>免征</v>
      </c>
      <c r="G55" s="2338"/>
      <c r="H55" s="2334"/>
      <c r="I55" s="157">
        <f>'数据-取费表'!B49</f>
        <v>5.0000000000000001E-4</v>
      </c>
      <c r="J55" s="2307">
        <f>IF(H59="非个人房产","",4)</f>
        <v>4</v>
      </c>
      <c r="K55" s="3332" t="str">
        <f>IF(H59="非个人房产","——","个人所得税")</f>
        <v>个人所得税</v>
      </c>
      <c r="L55" s="3332"/>
      <c r="M55" s="2312" t="e">
        <f ca="1">D59</f>
        <v>#REF!</v>
      </c>
      <c r="N55" s="1881" t="str">
        <f>E59</f>
        <v>差额计税</v>
      </c>
      <c r="O55" s="2313">
        <f>F59</f>
        <v>0.01</v>
      </c>
    </row>
    <row r="56" spans="1:35" ht="24.75">
      <c r="A56" s="3282" t="s">
        <v>1363</v>
      </c>
      <c r="B56" s="3283"/>
      <c r="C56" s="3283"/>
      <c r="D56" s="12" t="e">
        <f ca="1">IF(H56="个人住宅",D57,D58)</f>
        <v>#REF!</v>
      </c>
      <c r="E56" s="1254" t="s">
        <v>1364</v>
      </c>
      <c r="F56" s="2337" t="str">
        <f>IF(H56="正常",F58,"免征")</f>
        <v>免征</v>
      </c>
      <c r="G56" s="2340" t="s">
        <v>1365</v>
      </c>
      <c r="H56" s="2341"/>
      <c r="I56" s="1668"/>
      <c r="J56" s="2307" t="str">
        <f>IF(项目基本情况!K6="上海银行",IF(J55="",4,J55+1),"")</f>
        <v/>
      </c>
      <c r="K56" s="3355" t="str">
        <f>IF(项目基本情况!K6="上海银行","其他处置费用","")</f>
        <v/>
      </c>
      <c r="L56" s="3356"/>
      <c r="M56" s="2309" t="str">
        <f>IF(项目基本情况!K6="上海银行",M69,"")</f>
        <v/>
      </c>
      <c r="N56" s="3355" t="str">
        <f>IF(项目基本情况!K6="上海银行","包含处置中涉及的律师、诉讼、拍卖、评估等费用","")</f>
        <v/>
      </c>
      <c r="O56" s="3358"/>
    </row>
    <row r="57" spans="1:35" ht="12.75">
      <c r="A57" s="2151" t="s">
        <v>1341</v>
      </c>
      <c r="B57" s="3293" t="s">
        <v>1366</v>
      </c>
      <c r="C57" s="3294"/>
      <c r="D57" s="1476">
        <v>0</v>
      </c>
      <c r="E57" s="316" t="s">
        <v>1343</v>
      </c>
      <c r="F57" s="294"/>
      <c r="G57" s="2338"/>
      <c r="H57" s="2342"/>
      <c r="I57" s="1668"/>
      <c r="J57" s="3332">
        <f>IF(AND(J55="",J56=""),4,IF(项目基本情况!K6="上海银行",结果表!J56+1,结果表!J55+1))</f>
        <v>5</v>
      </c>
      <c r="K57" s="3332" t="s">
        <v>1367</v>
      </c>
      <c r="L57" s="2314" t="s">
        <v>1368</v>
      </c>
      <c r="M57" s="2315"/>
      <c r="N57" s="2316">
        <f ca="1">SUMIF(M52:M56,"&lt;9e307")</f>
        <v>0</v>
      </c>
      <c r="O57" s="2317"/>
      <c r="P57" s="2462" t="e">
        <f ca="1">N57/M49</f>
        <v>#VALUE!</v>
      </c>
    </row>
    <row r="58" spans="1:35" ht="24.75">
      <c r="A58" s="2151" t="s">
        <v>1352</v>
      </c>
      <c r="B58" s="3293" t="s">
        <v>1369</v>
      </c>
      <c r="C58" s="3267"/>
      <c r="D58" s="12" t="e">
        <f ca="1">IF(H58="转让取得",C81,C97)</f>
        <v>#REF!</v>
      </c>
      <c r="E58" s="1254" t="s">
        <v>1364</v>
      </c>
      <c r="F58" s="294" t="s">
        <v>28</v>
      </c>
      <c r="G58" s="2338"/>
      <c r="H58" s="2341"/>
      <c r="I58" s="1668"/>
      <c r="J58" s="3332"/>
      <c r="K58" s="3332"/>
      <c r="L58" s="2314" t="s">
        <v>1370</v>
      </c>
      <c r="M58" s="2318"/>
      <c r="N58" s="2319" t="str">
        <f ca="1">NUMBERSTRING(INT(N57*10000),2)&amp;"元整"</f>
        <v>零元整</v>
      </c>
      <c r="O58" s="2320"/>
    </row>
    <row r="59" spans="1:35" ht="24.75" thickBot="1">
      <c r="A59" s="3335" t="s">
        <v>1371</v>
      </c>
      <c r="B59" s="3336"/>
      <c r="C59" s="3336"/>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33">
        <f>J57+1</f>
        <v>6</v>
      </c>
      <c r="K59" s="3332" t="s">
        <v>1372</v>
      </c>
      <c r="L59" s="2307" t="s">
        <v>1368</v>
      </c>
      <c r="M59" s="2321"/>
      <c r="N59" s="2322" t="e">
        <f ca="1">M49-N57</f>
        <v>#VALUE!</v>
      </c>
      <c r="O59" s="2323"/>
    </row>
    <row r="60" spans="1:35" ht="12" customHeight="1">
      <c r="A60" s="1669"/>
      <c r="B60" s="646"/>
      <c r="C60" s="646"/>
      <c r="D60" s="646"/>
      <c r="E60" s="1464"/>
      <c r="F60" s="1668"/>
      <c r="G60" s="1668"/>
      <c r="H60" s="151"/>
      <c r="I60" s="121"/>
      <c r="J60" s="3334"/>
      <c r="K60" s="3332"/>
      <c r="L60" s="2314" t="s">
        <v>1370</v>
      </c>
      <c r="M60" s="2318"/>
      <c r="N60" s="2319" t="e">
        <f ca="1">NUMBERSTRING(INT(N59*10000),2)&amp;"元整"</f>
        <v>#VALUE!</v>
      </c>
      <c r="O60" s="2320"/>
    </row>
    <row r="61" spans="1:35" ht="13.5" thickBot="1">
      <c r="A61" s="3280" t="s">
        <v>1373</v>
      </c>
      <c r="B61" s="3280"/>
      <c r="C61" s="3280"/>
      <c r="D61" s="3280"/>
      <c r="E61" s="3280"/>
      <c r="F61" s="1668"/>
      <c r="G61" s="1668"/>
      <c r="H61" s="151"/>
      <c r="I61" s="121"/>
      <c r="J61" s="2307">
        <f>J59+1</f>
        <v>7</v>
      </c>
      <c r="K61" s="3332" t="s">
        <v>1374</v>
      </c>
      <c r="L61" s="3332"/>
      <c r="M61" s="2324"/>
      <c r="N61" s="2325" t="e">
        <f ca="1">ROUND(N59*10000/'数据-汇总表'!E3,0)</f>
        <v>#VALUE!</v>
      </c>
      <c r="O61" s="2326"/>
    </row>
    <row r="62" spans="1:35" ht="12.75">
      <c r="A62" s="3298" t="s">
        <v>1375</v>
      </c>
      <c r="B62" s="3299"/>
      <c r="C62" s="1863"/>
      <c r="D62" s="1863" t="s">
        <v>1376</v>
      </c>
      <c r="E62" s="158" t="s">
        <v>1377</v>
      </c>
      <c r="F62" s="1668"/>
      <c r="G62" s="1668"/>
      <c r="H62" s="151"/>
      <c r="I62" s="121"/>
    </row>
    <row r="63" spans="1:35" ht="12.75">
      <c r="A63" s="165" t="s">
        <v>330</v>
      </c>
      <c r="B63" s="159" t="s">
        <v>1378</v>
      </c>
      <c r="C63" s="2347" t="e">
        <f ca="1">ROUND((C64+C65)/(1+'数据-取费表'!C42),0)</f>
        <v>#REF!</v>
      </c>
      <c r="D63" s="159"/>
      <c r="E63" s="160"/>
      <c r="F63" s="1668"/>
      <c r="G63" s="1668"/>
      <c r="H63" s="151"/>
      <c r="I63" s="121"/>
      <c r="J63" s="3357" t="s">
        <v>1379</v>
      </c>
      <c r="K63" s="1243" t="s">
        <v>1380</v>
      </c>
      <c r="L63" s="1243" t="e">
        <f>IF(M49&gt;10000,M49*0.5%,IF(AND(M49&gt;1000,M49&lt;=10000),M49*1%,IF(AND(M49&gt;100,M49&lt;=1000),M49*3%,IF(AND(M49&gt;10,M49&lt;=100),M49*5%,M49*8%))))</f>
        <v>#VALUE!</v>
      </c>
      <c r="M63" s="294" t="e">
        <f>ROUND(L63,1)</f>
        <v>#VALUE!</v>
      </c>
      <c r="N63" s="2327"/>
      <c r="Z63" s="1621"/>
      <c r="AI63" s="1559"/>
    </row>
    <row r="64" spans="1:35" ht="14.25" customHeight="1">
      <c r="A64" s="161" t="s">
        <v>325</v>
      </c>
      <c r="B64" s="162" t="s">
        <v>1381</v>
      </c>
      <c r="C64" s="2348" t="e">
        <f ca="1">D45</f>
        <v>#REF!</v>
      </c>
      <c r="D64" s="162" t="s">
        <v>26</v>
      </c>
      <c r="E64" s="164"/>
      <c r="F64" s="1668"/>
      <c r="G64" s="1668"/>
      <c r="H64" s="151"/>
      <c r="I64" s="121"/>
      <c r="J64" s="3357"/>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1"/>
      <c r="AI64" s="1559"/>
    </row>
    <row r="65" spans="1:35" ht="14.25" customHeight="1">
      <c r="A65" s="161" t="s">
        <v>326</v>
      </c>
      <c r="B65" s="162" t="s">
        <v>1384</v>
      </c>
      <c r="C65" s="2349"/>
      <c r="D65" s="162"/>
      <c r="E65" s="164"/>
      <c r="F65" s="1668"/>
      <c r="G65" s="1668"/>
      <c r="H65" s="151"/>
      <c r="I65" s="121"/>
      <c r="J65" s="3357"/>
      <c r="K65" s="1243" t="s">
        <v>1385</v>
      </c>
      <c r="L65" s="1243" t="e">
        <f>IF(M49&gt;1000,M49*0.1%,IF(AND(M49&gt;500,M49&lt;=1000),M49*0.5%,IF(AND(M49&gt;50,M49&lt;=500),M49*1%,IF(AND(M49&gt;1,M49&lt;=50),M49*1.5%))))</f>
        <v>#VALUE!</v>
      </c>
      <c r="M65" s="294" t="e">
        <f t="shared" si="1"/>
        <v>#VALUE!</v>
      </c>
      <c r="N65" s="2328" t="s">
        <v>1383</v>
      </c>
      <c r="Z65" s="1621"/>
      <c r="AI65" s="1559"/>
    </row>
    <row r="66" spans="1:35" ht="14.25" customHeight="1">
      <c r="A66" s="165" t="s">
        <v>327</v>
      </c>
      <c r="B66" s="166" t="s">
        <v>1386</v>
      </c>
      <c r="C66" s="2350"/>
      <c r="D66" s="166" t="s">
        <v>26</v>
      </c>
      <c r="E66" s="1249" t="s">
        <v>671</v>
      </c>
      <c r="F66" s="1668"/>
      <c r="G66" s="1668"/>
      <c r="H66" s="151"/>
      <c r="I66" s="121"/>
      <c r="J66" s="3357"/>
      <c r="K66" s="1243" t="s">
        <v>1387</v>
      </c>
      <c r="L66" s="1243" t="e">
        <f>M49*0.5%</f>
        <v>#VALUE!</v>
      </c>
      <c r="M66" s="294" t="e">
        <f>IF(L66&gt;0.5,0.5,ROUND(L66,0))</f>
        <v>#VALUE!</v>
      </c>
      <c r="N66" s="2328" t="s">
        <v>1388</v>
      </c>
      <c r="Z66" s="1621"/>
      <c r="AI66" s="1559"/>
    </row>
    <row r="67" spans="1:35" ht="14.25" customHeight="1">
      <c r="A67" s="165" t="s">
        <v>328</v>
      </c>
      <c r="B67" s="166" t="s">
        <v>1389</v>
      </c>
      <c r="C67" s="2351" t="e">
        <f ca="1">C63-C66</f>
        <v>#REF!</v>
      </c>
      <c r="D67" s="162" t="s">
        <v>26</v>
      </c>
      <c r="E67" s="164"/>
      <c r="F67" s="1668"/>
      <c r="G67" s="1668"/>
      <c r="H67" s="151"/>
      <c r="I67" s="121"/>
      <c r="J67" s="3357"/>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1"/>
      <c r="AI67" s="1559"/>
    </row>
    <row r="68" spans="1:35" ht="14.25" customHeight="1" thickBot="1">
      <c r="A68" s="168" t="s">
        <v>329</v>
      </c>
      <c r="B68" s="169" t="s">
        <v>1391</v>
      </c>
      <c r="C68" s="2352" t="e">
        <f ca="1">IF(C67&lt;=0,0,ROUND(C67*D68,0))</f>
        <v>#REF!</v>
      </c>
      <c r="D68" s="2353">
        <f>'数据-取费表'!B41</f>
        <v>5.6000000000000001E-2</v>
      </c>
      <c r="E68" s="170"/>
      <c r="F68" s="1668"/>
      <c r="G68" s="1668"/>
      <c r="H68" s="151"/>
      <c r="I68" s="121"/>
      <c r="J68" s="3357"/>
      <c r="K68" s="1243" t="s">
        <v>1392</v>
      </c>
      <c r="L68" s="1243" t="e">
        <f>IF(M49&gt;10000,M49*0.5%,IF(AND(M49&gt;5000,M49&lt;=10000),M49*1%,IF(AND(M49&gt;1000,M49&lt;=5000),M49*2%,IF(AND(M49&gt;200,M49&lt;=1000),M49*3%,M49*5%))))</f>
        <v>#VALUE!</v>
      </c>
      <c r="M68" s="294" t="e">
        <f>ROUND(L68,1)</f>
        <v>#VALUE!</v>
      </c>
      <c r="N68" s="2327"/>
      <c r="Z68" s="1621"/>
      <c r="AI68" s="1559"/>
    </row>
    <row r="69" spans="1:35" ht="16.5" customHeight="1">
      <c r="A69" s="1670"/>
      <c r="B69" s="1671"/>
      <c r="C69" s="1672"/>
      <c r="D69" s="1673"/>
      <c r="E69" s="1674"/>
      <c r="F69" s="1464"/>
      <c r="G69" s="1464"/>
      <c r="H69" s="1465"/>
      <c r="I69" s="646"/>
      <c r="J69" s="3357"/>
      <c r="K69" s="1243" t="s">
        <v>1393</v>
      </c>
      <c r="L69" s="1243"/>
      <c r="M69" s="294" t="e">
        <f>ROUND(SUM(M63:M68),0)</f>
        <v>#VALUE!</v>
      </c>
      <c r="N69" s="2329" t="e">
        <f>M69/M49</f>
        <v>#VALUE!</v>
      </c>
      <c r="Z69" s="1621"/>
      <c r="AI69" s="1559"/>
    </row>
    <row r="70" spans="1:35" s="642" customFormat="1" ht="15" thickBot="1">
      <c r="A70" s="3319" t="s">
        <v>1394</v>
      </c>
      <c r="B70" s="3320"/>
      <c r="C70" s="3320"/>
      <c r="D70" s="3320"/>
      <c r="E70" s="3320"/>
      <c r="F70" s="3320"/>
      <c r="G70" s="3320"/>
      <c r="H70" s="3320"/>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4.25">
      <c r="A71" s="3298" t="s">
        <v>1375</v>
      </c>
      <c r="B71" s="3299"/>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4.25">
      <c r="A72" s="165" t="s">
        <v>330</v>
      </c>
      <c r="B72" s="166" t="s">
        <v>1395</v>
      </c>
      <c r="C72" s="2351" t="e">
        <f ca="1">ROUND(D45/(1+'数据-取费表'!C42),0)</f>
        <v>#REF!</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4.25">
      <c r="A73" s="165" t="s">
        <v>327</v>
      </c>
      <c r="B73" s="155" t="s">
        <v>1396</v>
      </c>
      <c r="C73" s="2351" t="e">
        <f ca="1">C74+C78</f>
        <v>#REF!</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14.25">
      <c r="A75" s="161" t="s">
        <v>331</v>
      </c>
      <c r="B75" s="162" t="s">
        <v>1398</v>
      </c>
      <c r="C75" s="2354"/>
      <c r="D75" s="162" t="s">
        <v>26</v>
      </c>
      <c r="E75" s="176" t="s">
        <v>1399</v>
      </c>
      <c r="F75" s="2355"/>
      <c r="G75" s="176" t="s">
        <v>1400</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7">
        <v>0.05</v>
      </c>
      <c r="E76" s="3293" t="s">
        <v>1402</v>
      </c>
      <c r="F76" s="3267"/>
      <c r="G76" s="3267"/>
      <c r="H76" s="331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9" t="e">
        <f ca="1">ROUND(D45*D78/(1+'数据-取费表'!C42),0)</f>
        <v>#REF!</v>
      </c>
      <c r="D78" s="2360">
        <f>'数据-取费表'!B43</f>
        <v>6.000000000000001E-3</v>
      </c>
      <c r="E78" s="3277" t="s">
        <v>1406</v>
      </c>
      <c r="F78" s="3278"/>
      <c r="G78" s="3278"/>
      <c r="H78" s="328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4.25">
      <c r="A79" s="165" t="s">
        <v>334</v>
      </c>
      <c r="B79" s="166" t="s">
        <v>1407</v>
      </c>
      <c r="C79" s="2351" t="e">
        <f ca="1">C72-C73</f>
        <v>#REF!</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5" thickBot="1">
      <c r="A83" s="3319" t="s">
        <v>1410</v>
      </c>
      <c r="B83" s="3320"/>
      <c r="C83" s="3320"/>
      <c r="D83" s="3320"/>
      <c r="E83" s="3320"/>
      <c r="F83" s="3320"/>
      <c r="G83" s="3320"/>
      <c r="H83" s="332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4.25">
      <c r="A84" s="3298" t="s">
        <v>1375</v>
      </c>
      <c r="B84" s="3299"/>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4.25">
      <c r="A85" s="165" t="s">
        <v>330</v>
      </c>
      <c r="B85" s="166" t="s">
        <v>1395</v>
      </c>
      <c r="C85" s="2351" t="e">
        <f ca="1">ROUND(D45/(1+'数据-取费表'!C42),0)</f>
        <v>#REF!</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4.25">
      <c r="A86" s="165" t="s">
        <v>327</v>
      </c>
      <c r="B86" s="155" t="s">
        <v>1396</v>
      </c>
      <c r="C86" s="2351" t="e">
        <f ca="1">IF(H88="仅含出让金",C87+C90+C91+C92+C93+C94,C87+C91+C92+C93+C94)</f>
        <v>#REF!</v>
      </c>
      <c r="D86" s="2364"/>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4.25">
      <c r="A87" s="161" t="s">
        <v>325</v>
      </c>
      <c r="B87" s="162" t="s">
        <v>1411</v>
      </c>
      <c r="C87" s="2359">
        <f>C88+C89</f>
        <v>0</v>
      </c>
      <c r="D87" s="2360"/>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25">
      <c r="A88" s="161" t="s">
        <v>331</v>
      </c>
      <c r="B88" s="162" t="s">
        <v>1412</v>
      </c>
      <c r="C88" s="2365"/>
      <c r="D88" s="2360"/>
      <c r="E88" s="185" t="s">
        <v>1413</v>
      </c>
      <c r="F88" s="2146"/>
      <c r="G88" s="186" t="s">
        <v>1414</v>
      </c>
      <c r="H88" s="1682"/>
      <c r="I88" s="1679"/>
      <c r="J88" s="2305" t="s">
        <v>2285</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4.25">
      <c r="A89" s="161" t="s">
        <v>332</v>
      </c>
      <c r="B89" s="162" t="s">
        <v>1403</v>
      </c>
      <c r="C89" s="2359">
        <f>ROUND(C88*D89,0)</f>
        <v>0</v>
      </c>
      <c r="D89" s="2360">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25">
      <c r="A90" s="161" t="s">
        <v>326</v>
      </c>
      <c r="B90" s="162" t="s">
        <v>1416</v>
      </c>
      <c r="C90" s="2365"/>
      <c r="D90" s="2360"/>
      <c r="E90" s="185" t="str">
        <f>IF(H88="-","土地取得成本中已包含该笔费用"," ")</f>
        <v xml:space="preserve"> </v>
      </c>
      <c r="F90" s="2146"/>
      <c r="G90" s="3359" t="s">
        <v>2129</v>
      </c>
      <c r="H90" s="3360"/>
      <c r="I90" s="1679"/>
      <c r="J90" s="2305" t="s">
        <v>2286</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9">
        <f>IF(H91="——",成本法!C33,I91)</f>
        <v>0</v>
      </c>
      <c r="D91" s="2360"/>
      <c r="E91" s="3277" t="s">
        <v>1419</v>
      </c>
      <c r="F91" s="3278"/>
      <c r="G91" s="327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9">
        <f>ROUND((C87+C90+C91)*D92,0)</f>
        <v>0</v>
      </c>
      <c r="D92" s="2366"/>
      <c r="E92" s="3277" t="s">
        <v>1422</v>
      </c>
      <c r="F92" s="3278"/>
      <c r="G92" s="3278"/>
      <c r="H92" s="3287"/>
      <c r="I92" s="1679"/>
      <c r="J92" s="2306" t="s">
        <v>2287</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9" t="e">
        <f ca="1">ROUND(D45*D93/(1+'数据-取费表'!C42),0)</f>
        <v>#REF!</v>
      </c>
      <c r="D93" s="2360">
        <f>'数据-取费表'!B43</f>
        <v>6.000000000000001E-3</v>
      </c>
      <c r="E93" s="3277" t="s">
        <v>1406</v>
      </c>
      <c r="F93" s="3278"/>
      <c r="G93" s="3278"/>
      <c r="H93" s="328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5">
        <f>ROUND((C87+C90+C91)*D94,0)</f>
        <v>0</v>
      </c>
      <c r="D94" s="2360">
        <v>0.2</v>
      </c>
      <c r="E94" s="3288" t="s">
        <v>1426</v>
      </c>
      <c r="F94" s="3289"/>
      <c r="G94" s="3289"/>
      <c r="H94" s="329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4.25">
      <c r="A95" s="165" t="s">
        <v>334</v>
      </c>
      <c r="B95" s="166" t="s">
        <v>1407</v>
      </c>
      <c r="C95" s="2351" t="e">
        <f ca="1">ROUND(C85-C86,0)</f>
        <v>#REF!</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68">
        <f>C4</f>
        <v>0</v>
      </c>
      <c r="D101" s="2369">
        <f>D4</f>
        <v>0</v>
      </c>
      <c r="E101" s="3354" t="s">
        <v>1431</v>
      </c>
      <c r="F101" s="3311"/>
      <c r="G101" s="1685" t="s">
        <v>1432</v>
      </c>
      <c r="H101" s="2378" t="e">
        <f ca="1">H118</f>
        <v>#REF!</v>
      </c>
      <c r="I101" s="121"/>
    </row>
    <row r="102" spans="1:35" ht="18.75" customHeight="1">
      <c r="A102" s="3313" t="s">
        <v>1433</v>
      </c>
      <c r="B102" s="2367" t="s">
        <v>1432</v>
      </c>
      <c r="C102" s="2368" t="e">
        <f ca="1">IF(D32="楼面单价",ROUND(C19,0),C19)</f>
        <v>#REF!</v>
      </c>
      <c r="D102" s="2369" t="e">
        <f ca="1">IF(D32="楼面单价",ROUND(D19,0),D19)</f>
        <v>#REF!</v>
      </c>
      <c r="E102" s="3354"/>
      <c r="F102" s="3311"/>
      <c r="G102" s="1685" t="s">
        <v>1434</v>
      </c>
      <c r="H102" s="2338" t="e">
        <f ca="1">I118</f>
        <v>#REF!</v>
      </c>
      <c r="I102" s="121"/>
    </row>
    <row r="103" spans="1:35" ht="42.75" customHeight="1">
      <c r="A103" s="3313"/>
      <c r="B103" s="2367" t="s">
        <v>1434</v>
      </c>
      <c r="C103" s="2370" t="e">
        <f ca="1">C20</f>
        <v>#REF!</v>
      </c>
      <c r="D103" s="2371" t="e">
        <f ca="1">D20</f>
        <v>#REF!</v>
      </c>
      <c r="E103" s="3348" t="s">
        <v>1435</v>
      </c>
      <c r="F103" s="3349"/>
      <c r="G103" s="1686" t="s">
        <v>1436</v>
      </c>
      <c r="H103" s="2378">
        <f>IF(D36="正常操作",H104+H105+H106,H105+H106)</f>
        <v>0</v>
      </c>
      <c r="I103" s="121"/>
    </row>
    <row r="104" spans="1:35" ht="18.75" customHeight="1">
      <c r="A104" s="3313" t="s">
        <v>1437</v>
      </c>
      <c r="B104" s="2372" t="s">
        <v>1432</v>
      </c>
      <c r="C104" s="2373" t="e">
        <f ca="1">H118</f>
        <v>#REF!</v>
      </c>
      <c r="D104" s="2374"/>
      <c r="E104" s="1553" t="s">
        <v>1438</v>
      </c>
      <c r="F104" s="1546"/>
      <c r="G104" s="1686" t="s">
        <v>1436</v>
      </c>
      <c r="H104" s="2379">
        <f>IF(D36="同一抵押权人同一抵押物续贷",C36&amp;"（续贷，未扣减，详见特别提示）",C36)</f>
        <v>0</v>
      </c>
      <c r="I104" s="121"/>
    </row>
    <row r="105" spans="1:35" ht="18.75" customHeight="1" thickBot="1">
      <c r="A105" s="3314"/>
      <c r="B105" s="2375" t="s">
        <v>1434</v>
      </c>
      <c r="C105" s="2376" t="e">
        <f ca="1">I118</f>
        <v>#REF!</v>
      </c>
      <c r="D105" s="2377"/>
      <c r="E105" s="1553" t="s">
        <v>1439</v>
      </c>
      <c r="F105" s="1546"/>
      <c r="G105" s="1686" t="s">
        <v>1436</v>
      </c>
      <c r="H105" s="2380">
        <f>C37</f>
        <v>0</v>
      </c>
      <c r="I105" s="121"/>
    </row>
    <row r="106" spans="1:35" ht="18.75" customHeight="1">
      <c r="A106" s="646" t="s">
        <v>1440</v>
      </c>
      <c r="B106" s="646"/>
      <c r="C106" s="646"/>
      <c r="D106" s="646"/>
      <c r="E106" s="1687" t="s">
        <v>1441</v>
      </c>
      <c r="F106" s="1546"/>
      <c r="G106" s="1686" t="s">
        <v>1436</v>
      </c>
      <c r="H106" s="2380">
        <f>C38</f>
        <v>0</v>
      </c>
      <c r="I106" s="121"/>
    </row>
    <row r="107" spans="1:35" ht="18.75" customHeight="1">
      <c r="A107" s="121"/>
      <c r="B107" s="121"/>
      <c r="C107" s="121"/>
      <c r="D107" s="121"/>
      <c r="E107" s="3310" t="str">
        <f>IF(项目基本情况!E8="已注销","——","3.房地产抵押价值")</f>
        <v>3.房地产抵押价值</v>
      </c>
      <c r="F107" s="3311"/>
      <c r="G107" s="1685" t="s">
        <v>1432</v>
      </c>
      <c r="H107" s="2378" t="e">
        <f ca="1">IF(E107="——","——",H101-H103)</f>
        <v>#REF!</v>
      </c>
      <c r="I107" s="121"/>
    </row>
    <row r="108" spans="1:35" ht="18.75" customHeight="1">
      <c r="A108" s="121"/>
      <c r="B108" s="121"/>
      <c r="C108" s="121"/>
      <c r="D108" s="121"/>
      <c r="E108" s="3310"/>
      <c r="F108" s="3311"/>
      <c r="G108" s="1685" t="s">
        <v>1434</v>
      </c>
      <c r="H108" s="2338">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5" t="s">
        <v>1432</v>
      </c>
      <c r="H109" s="2381" t="str">
        <f>IF(E109="——","——",H101-H105-H106)</f>
        <v>——</v>
      </c>
      <c r="I109" s="121"/>
    </row>
    <row r="110" spans="1:35" ht="18.75" customHeight="1">
      <c r="A110" s="121"/>
      <c r="B110" s="121"/>
      <c r="C110" s="121"/>
      <c r="D110" s="121"/>
      <c r="E110" s="3310"/>
      <c r="F110" s="3311"/>
      <c r="G110" s="1685" t="s">
        <v>1434</v>
      </c>
      <c r="H110" s="2338"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5" t="s">
        <v>1432</v>
      </c>
      <c r="H111" s="2378" t="str">
        <f>IF(E111="——","——",N59)</f>
        <v>——</v>
      </c>
      <c r="I111" s="121"/>
    </row>
    <row r="112" spans="1:35" ht="18.75" customHeight="1" thickBot="1">
      <c r="A112" s="121"/>
      <c r="B112" s="121"/>
      <c r="C112" s="121"/>
      <c r="D112" s="121"/>
      <c r="E112" s="3343"/>
      <c r="F112" s="3344"/>
      <c r="G112" s="1688" t="s">
        <v>1434</v>
      </c>
      <c r="H112" s="2382"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69"/>
      <c r="F114" s="1669"/>
      <c r="G114" s="1669"/>
      <c r="H114" s="1669"/>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41825.5</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1" t="s">
        <v>1452</v>
      </c>
      <c r="B119" s="3281"/>
      <c r="C119" s="3281"/>
      <c r="D119" s="3321" t="e">
        <f ca="1">NUMBERSTRING(INT(D118*10000),2)&amp;"元整"</f>
        <v>#REF!</v>
      </c>
      <c r="E119" s="3323"/>
      <c r="F119" s="3321" t="e">
        <f ca="1">NUMBERSTRING(INT(F118*10000),2)&amp;"元整"</f>
        <v>#REF!</v>
      </c>
      <c r="G119" s="3323"/>
      <c r="H119" s="3321" t="e">
        <f ca="1">NUMBERSTRING(INT(H118*10000),2)&amp;"元整"</f>
        <v>#REF!</v>
      </c>
      <c r="I119" s="3323"/>
    </row>
    <row r="120" spans="1:27" ht="18.75" customHeight="1">
      <c r="A120" s="3345" t="str">
        <f>IF(项目基本情况!B9="房地产市场价值","",MID(E103,3,LEN(E103)-2))</f>
        <v/>
      </c>
      <c r="B120" s="3346"/>
      <c r="C120" s="3347"/>
      <c r="D120" s="3345">
        <f>H103</f>
        <v>0</v>
      </c>
      <c r="E120" s="3346"/>
      <c r="F120" s="3346"/>
      <c r="G120" s="3346"/>
      <c r="H120" s="3346"/>
      <c r="I120" s="3347"/>
      <c r="J120" s="1621"/>
      <c r="K120" s="1621" t="str">
        <f>IF(D120=0,"故，本次评估不存在"&amp;A120,"故，本次评估"&amp;A120&amp;"为人民币"&amp;D120&amp;"万元整。")</f>
        <v>故，本次评估不存在</v>
      </c>
      <c r="L120" s="1621"/>
      <c r="M120" s="1621"/>
      <c r="N120" s="1621"/>
      <c r="O120" s="1621"/>
      <c r="P120" s="1621"/>
      <c r="Q120" s="1621"/>
      <c r="R120" s="1621"/>
      <c r="S120" s="1621"/>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
      </c>
      <c r="B122" s="3312"/>
      <c r="C122" s="3312"/>
      <c r="D122" s="3345" t="e">
        <f ca="1">H107</f>
        <v>#REF!</v>
      </c>
      <c r="E122" s="3346"/>
      <c r="F122" s="3346"/>
      <c r="G122" s="3346"/>
      <c r="H122" s="3346"/>
      <c r="I122" s="3347"/>
      <c r="AA122" s="684"/>
    </row>
    <row r="123" spans="1:27" ht="18.75" customHeight="1">
      <c r="A123" s="3281" t="s">
        <v>1452</v>
      </c>
      <c r="B123" s="3281"/>
      <c r="C123" s="3281"/>
      <c r="D123" s="3321" t="e">
        <f ca="1">NUMBERSTRING(INT(D122*10000),2)&amp;"元整"</f>
        <v>#REF!</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10" stopIfTrue="1" operator="equal">
      <formula>25</formula>
    </cfRule>
  </conditionalFormatting>
  <conditionalFormatting sqref="C8:D13">
    <cfRule type="cellIs" dxfId="170" priority="8" stopIfTrue="1" operator="equal">
      <formula>15</formula>
    </cfRule>
  </conditionalFormatting>
  <conditionalFormatting sqref="C14:D16">
    <cfRule type="cellIs" dxfId="169" priority="6"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577F4-26D7-4963-9435-0B67E2A370BF}">
  <dimension ref="A1:O52"/>
  <sheetViews>
    <sheetView tabSelected="1" workbookViewId="0">
      <selection activeCell="J11" sqref="J11"/>
    </sheetView>
  </sheetViews>
  <sheetFormatPr defaultRowHeight="13.5"/>
  <cols>
    <col min="1" max="2" width="16" style="3170" customWidth="1"/>
    <col min="3" max="3" width="13.75" style="3170" customWidth="1"/>
    <col min="4" max="4" width="12.375" style="3170" customWidth="1"/>
    <col min="5" max="5" width="11.625" style="3170" customWidth="1"/>
    <col min="6" max="6" width="14.625" style="3170" customWidth="1"/>
    <col min="7" max="7" width="13.875" style="3170" customWidth="1"/>
    <col min="8" max="8" width="15.625" style="3170" customWidth="1"/>
    <col min="9" max="9" width="24.25" style="3170" customWidth="1"/>
    <col min="10" max="10" width="9" style="3170"/>
    <col min="11" max="11" width="16.25" style="3170" customWidth="1"/>
    <col min="12" max="12" width="9.5" style="3170" customWidth="1"/>
    <col min="13" max="13" width="20.375" style="3170" customWidth="1"/>
    <col min="14" max="14" width="9.875" style="3170" customWidth="1"/>
    <col min="15" max="16384" width="9" style="3170"/>
  </cols>
  <sheetData>
    <row r="1" spans="1:15">
      <c r="A1" s="3173" t="s">
        <v>2540</v>
      </c>
      <c r="B1" s="3173" t="s">
        <v>3498</v>
      </c>
      <c r="C1" s="3173" t="s">
        <v>3495</v>
      </c>
      <c r="D1" s="3173" t="s">
        <v>3497</v>
      </c>
      <c r="E1" s="3173" t="s">
        <v>3496</v>
      </c>
      <c r="F1" s="3173" t="s">
        <v>3497</v>
      </c>
      <c r="G1" s="3173" t="s">
        <v>3387</v>
      </c>
      <c r="H1" s="3173" t="s">
        <v>3500</v>
      </c>
      <c r="I1" s="3173" t="s">
        <v>3551</v>
      </c>
      <c r="J1" s="3173" t="s">
        <v>3552</v>
      </c>
      <c r="K1" s="3173" t="s">
        <v>3553</v>
      </c>
      <c r="L1" s="3173" t="s">
        <v>3552</v>
      </c>
    </row>
    <row r="2" spans="1:15">
      <c r="A2" s="3173" t="s">
        <v>3499</v>
      </c>
      <c r="B2" s="3174">
        <v>11124.33</v>
      </c>
      <c r="C2" s="3174">
        <f ca="1">'成本法地上商业 (元)'!B3</f>
        <v>27713</v>
      </c>
      <c r="D2" s="3175">
        <v>0.8</v>
      </c>
      <c r="E2" s="3174">
        <f ca="1">'收益法 (元)地上商业'!B3</f>
        <v>14496</v>
      </c>
      <c r="F2" s="3175">
        <f>1-D2</f>
        <v>0.19999999999999996</v>
      </c>
      <c r="G2" s="3173">
        <f ca="1">ROUND(C2*D2+E2*F2,0)</f>
        <v>25070</v>
      </c>
      <c r="H2" s="3174">
        <f ca="1">ROUND(G2*B2/10000,4)</f>
        <v>27888.695299999999</v>
      </c>
      <c r="I2" s="3174">
        <f t="shared" ref="I2:I7" ca="1" si="0">ROUND(H2*J2,4)</f>
        <v>23091.8397</v>
      </c>
      <c r="J2" s="3178">
        <f ca="1">'成本法地上商业 (元)'!C56</f>
        <v>0.82800000000000007</v>
      </c>
      <c r="K2" s="3174">
        <f t="shared" ref="K2:K7" ca="1" si="1">H2-I2</f>
        <v>4796.855599999999</v>
      </c>
      <c r="L2" s="3178">
        <f ca="1">'成本法地上商业 (元)'!C57</f>
        <v>0.17199999999999999</v>
      </c>
    </row>
    <row r="3" spans="1:15">
      <c r="A3" s="3173" t="s">
        <v>3446</v>
      </c>
      <c r="B3" s="3174">
        <v>5677.85</v>
      </c>
      <c r="C3" s="3174">
        <f ca="1">'成本法地下商业 (元)'!B3</f>
        <v>8328</v>
      </c>
      <c r="D3" s="3175">
        <v>0.5</v>
      </c>
      <c r="E3" s="3174">
        <f ca="1">'收益法 (元) 地下商业'!B3</f>
        <v>8361</v>
      </c>
      <c r="F3" s="3175">
        <f t="shared" ref="F3:F7" si="2">1-D3</f>
        <v>0.5</v>
      </c>
      <c r="G3" s="3173">
        <f t="shared" ref="G3:G7" ca="1" si="3">ROUND(C3*D3+E3*F3,0)</f>
        <v>8345</v>
      </c>
      <c r="H3" s="3174">
        <f t="shared" ref="H3:H7" ca="1" si="4">ROUND(G3*B3/10000,4)</f>
        <v>4738.1657999999998</v>
      </c>
      <c r="I3" s="3174">
        <f t="shared" ca="1" si="0"/>
        <v>1885.79</v>
      </c>
      <c r="J3" s="3178">
        <f ca="1">'成本法地下商业 (元)'!C56</f>
        <v>0.39800000000000002</v>
      </c>
      <c r="K3" s="3174">
        <f t="shared" ca="1" si="1"/>
        <v>2852.3757999999998</v>
      </c>
      <c r="L3" s="3178">
        <f ca="1">'成本法地下商业 (元)'!C57</f>
        <v>0.60199999999999998</v>
      </c>
    </row>
    <row r="4" spans="1:15">
      <c r="A4" s="3173" t="s">
        <v>3445</v>
      </c>
      <c r="B4" s="3174">
        <v>682.17</v>
      </c>
      <c r="C4" s="3174">
        <f ca="1">'成本法地下办公 (元)'!B3</f>
        <v>6606</v>
      </c>
      <c r="D4" s="3175">
        <v>0.5</v>
      </c>
      <c r="E4" s="3174">
        <f ca="1">'收益法 (元) 地下办公'!B3</f>
        <v>7514</v>
      </c>
      <c r="F4" s="3175">
        <f t="shared" si="2"/>
        <v>0.5</v>
      </c>
      <c r="G4" s="3173">
        <f t="shared" ca="1" si="3"/>
        <v>7060</v>
      </c>
      <c r="H4" s="3174">
        <f t="shared" ca="1" si="4"/>
        <v>481.61200000000002</v>
      </c>
      <c r="I4" s="3174">
        <f t="shared" ca="1" si="0"/>
        <v>116.0685</v>
      </c>
      <c r="J4" s="3178">
        <f ca="1">'成本法地下办公 (元)'!C56</f>
        <v>0.24099999999999999</v>
      </c>
      <c r="K4" s="3174">
        <f t="shared" ca="1" si="1"/>
        <v>365.54349999999999</v>
      </c>
      <c r="L4" s="3178">
        <f ca="1">'成本法地下办公 (元)'!C57</f>
        <v>0.75900000000000001</v>
      </c>
    </row>
    <row r="5" spans="1:15">
      <c r="A5" s="3173" t="s">
        <v>3443</v>
      </c>
      <c r="B5" s="3174">
        <v>3518.8</v>
      </c>
      <c r="C5" s="3174">
        <f ca="1">'成本法机械车位 (元) '!B3</f>
        <v>5911</v>
      </c>
      <c r="D5" s="3175">
        <v>0.8</v>
      </c>
      <c r="E5" s="3174">
        <f ca="1">'收益法 (元)机械车位'!B3</f>
        <v>2574</v>
      </c>
      <c r="F5" s="3175">
        <f t="shared" si="2"/>
        <v>0.19999999999999996</v>
      </c>
      <c r="G5" s="3173">
        <f t="shared" ca="1" si="3"/>
        <v>5244</v>
      </c>
      <c r="H5" s="3174">
        <f t="shared" ca="1" si="4"/>
        <v>1845.2587000000001</v>
      </c>
      <c r="I5" s="3174">
        <f t="shared" ca="1" si="0"/>
        <v>317.3845</v>
      </c>
      <c r="J5" s="3178">
        <f ca="1">'成本法机械车位 (元) '!C56</f>
        <v>0.17200000000000004</v>
      </c>
      <c r="K5" s="3174">
        <f t="shared" ca="1" si="1"/>
        <v>1527.8742000000002</v>
      </c>
      <c r="L5" s="3178">
        <f ca="1">'成本法机械车位 (元) '!C57</f>
        <v>0.82799999999999996</v>
      </c>
      <c r="M5" s="3170">
        <f ca="1">H5/115</f>
        <v>16.045727826086956</v>
      </c>
      <c r="N5" s="1446" t="s">
        <v>3550</v>
      </c>
    </row>
    <row r="6" spans="1:15">
      <c r="A6" s="3173" t="s">
        <v>3444</v>
      </c>
      <c r="B6" s="3174">
        <v>17387.98</v>
      </c>
      <c r="C6" s="3174">
        <f ca="1">'成本法车位 (元) '!B3</f>
        <v>5803</v>
      </c>
      <c r="D6" s="3175">
        <v>0.8</v>
      </c>
      <c r="E6" s="3174">
        <f ca="1">'收益法 (元)车位'!B3</f>
        <v>2053</v>
      </c>
      <c r="F6" s="3175">
        <f t="shared" si="2"/>
        <v>0.19999999999999996</v>
      </c>
      <c r="G6" s="3173">
        <f t="shared" ca="1" si="3"/>
        <v>5053</v>
      </c>
      <c r="H6" s="3174">
        <f t="shared" ca="1" si="4"/>
        <v>8786.1463000000003</v>
      </c>
      <c r="I6" s="3174">
        <f t="shared" ca="1" si="0"/>
        <v>1537.5755999999999</v>
      </c>
      <c r="J6" s="3178">
        <f ca="1">'成本法车位 (元) '!C56</f>
        <v>0.17500000000000004</v>
      </c>
      <c r="K6" s="3174">
        <f t="shared" ca="1" si="1"/>
        <v>7248.5707000000002</v>
      </c>
      <c r="L6" s="3178">
        <f ca="1">'成本法车位 (元) '!C57</f>
        <v>0.82499999999999996</v>
      </c>
      <c r="M6" s="3170">
        <f ca="1">H6/320</f>
        <v>27.456707187500001</v>
      </c>
      <c r="N6" s="1446" t="s">
        <v>3550</v>
      </c>
    </row>
    <row r="7" spans="1:15">
      <c r="A7" s="3173" t="s">
        <v>3442</v>
      </c>
      <c r="B7" s="3174">
        <v>3434.37</v>
      </c>
      <c r="C7" s="3174">
        <f ca="1">'成本法车仓储 (元) '!B3</f>
        <v>6313</v>
      </c>
      <c r="D7" s="3175">
        <v>0.8</v>
      </c>
      <c r="E7" s="3174">
        <f ca="1">'收益法（元）仓储'!B3</f>
        <v>4981</v>
      </c>
      <c r="F7" s="3175">
        <f t="shared" si="2"/>
        <v>0.19999999999999996</v>
      </c>
      <c r="G7" s="3173">
        <f t="shared" ca="1" si="3"/>
        <v>6047</v>
      </c>
      <c r="H7" s="3174">
        <f t="shared" ca="1" si="4"/>
        <v>2076.7635</v>
      </c>
      <c r="I7" s="3174">
        <f t="shared" ca="1" si="0"/>
        <v>502.57679999999999</v>
      </c>
      <c r="J7" s="3178">
        <f ca="1">'成本法车仓储 (元) '!C56</f>
        <v>0.24199999999999999</v>
      </c>
      <c r="K7" s="3174">
        <f t="shared" ca="1" si="1"/>
        <v>1574.1867</v>
      </c>
      <c r="L7" s="3178">
        <f ca="1">'成本法车仓储 (元) '!C57</f>
        <v>0.75800000000000001</v>
      </c>
    </row>
    <row r="8" spans="1:15">
      <c r="A8" s="3361" t="s">
        <v>2589</v>
      </c>
      <c r="B8" s="3362"/>
      <c r="C8" s="3362"/>
      <c r="D8" s="3362"/>
      <c r="E8" s="3362"/>
      <c r="F8" s="3362"/>
      <c r="G8" s="3362"/>
      <c r="H8" s="3174">
        <f ca="1">SUM(H2:H7)</f>
        <v>45816.641599999995</v>
      </c>
      <c r="I8" s="3174">
        <f ca="1">SUM(I2:I7)</f>
        <v>27451.235100000002</v>
      </c>
      <c r="K8" s="3174">
        <f ca="1">SUM(K2:K7)</f>
        <v>18365.406499999997</v>
      </c>
    </row>
    <row r="14" spans="1:15">
      <c r="A14" s="1446" t="s">
        <v>3530</v>
      </c>
    </row>
    <row r="16" spans="1:15">
      <c r="A16" s="1403" t="s">
        <v>3501</v>
      </c>
      <c r="B16"/>
      <c r="C16"/>
      <c r="D16"/>
      <c r="E16"/>
      <c r="F16"/>
      <c r="G16"/>
      <c r="H16"/>
      <c r="I16"/>
      <c r="J16"/>
      <c r="K16"/>
      <c r="L16"/>
      <c r="M16"/>
      <c r="N16"/>
      <c r="O16"/>
    </row>
    <row r="17" spans="1:15">
      <c r="A17" s="3176" t="s">
        <v>3502</v>
      </c>
      <c r="B17" s="3176" t="s">
        <v>3503</v>
      </c>
      <c r="C17" s="3176" t="s">
        <v>3504</v>
      </c>
      <c r="D17" s="3176" t="s">
        <v>3505</v>
      </c>
      <c r="E17" s="3176" t="s">
        <v>3506</v>
      </c>
      <c r="F17" s="3176" t="s">
        <v>3507</v>
      </c>
      <c r="G17" s="3176" t="s">
        <v>3508</v>
      </c>
      <c r="H17" s="3176" t="s">
        <v>3509</v>
      </c>
      <c r="I17" s="3176" t="s">
        <v>3510</v>
      </c>
      <c r="J17" s="3176" t="s">
        <v>3511</v>
      </c>
      <c r="K17" s="3176" t="s">
        <v>3512</v>
      </c>
      <c r="L17" s="3176" t="s">
        <v>3476</v>
      </c>
      <c r="M17" s="3176" t="s">
        <v>3513</v>
      </c>
      <c r="N17" s="3176" t="s">
        <v>3514</v>
      </c>
      <c r="O17" s="3176" t="s">
        <v>3515</v>
      </c>
    </row>
    <row r="18" spans="1:15">
      <c r="A18" s="3177">
        <v>45735.333831018521</v>
      </c>
      <c r="B18" s="3176" t="s">
        <v>3516</v>
      </c>
      <c r="C18" s="3176" t="s">
        <v>3516</v>
      </c>
      <c r="D18" s="3176" t="s">
        <v>3517</v>
      </c>
      <c r="E18" s="3176">
        <v>1</v>
      </c>
      <c r="F18" s="3176">
        <v>12</v>
      </c>
      <c r="G18" s="3176">
        <v>-2</v>
      </c>
      <c r="H18" s="3176" t="s">
        <v>3518</v>
      </c>
      <c r="I18" s="3176" t="s">
        <v>3519</v>
      </c>
      <c r="J18" s="3176" t="s">
        <v>3520</v>
      </c>
      <c r="K18" s="3176" t="s">
        <v>3521</v>
      </c>
      <c r="L18" s="3176">
        <v>1</v>
      </c>
      <c r="M18" s="3176">
        <v>35.619999999999997</v>
      </c>
      <c r="N18" s="3176">
        <v>25</v>
      </c>
      <c r="O18" s="3176">
        <v>7019</v>
      </c>
    </row>
    <row r="19" spans="1:15">
      <c r="A19"/>
      <c r="B19"/>
      <c r="C19"/>
      <c r="D19"/>
      <c r="E19"/>
      <c r="F19"/>
      <c r="G19"/>
      <c r="H19"/>
      <c r="I19"/>
      <c r="J19"/>
      <c r="K19"/>
      <c r="L19"/>
      <c r="M19"/>
      <c r="N19"/>
      <c r="O19"/>
    </row>
    <row r="20" spans="1:15">
      <c r="A20" s="3177">
        <v>45652.333831018521</v>
      </c>
      <c r="B20" s="3176" t="s">
        <v>3516</v>
      </c>
      <c r="C20" s="3176" t="s">
        <v>3516</v>
      </c>
      <c r="D20" s="3176" t="s">
        <v>3522</v>
      </c>
      <c r="E20" s="3176" t="s">
        <v>3516</v>
      </c>
      <c r="F20" s="3176" t="s">
        <v>3516</v>
      </c>
      <c r="G20" s="3176">
        <v>-2</v>
      </c>
      <c r="H20" s="3176" t="s">
        <v>3523</v>
      </c>
      <c r="I20" s="3176" t="s">
        <v>3524</v>
      </c>
      <c r="J20" s="3176" t="s">
        <v>3331</v>
      </c>
      <c r="K20" s="3176" t="s">
        <v>3521</v>
      </c>
      <c r="L20" s="3176">
        <v>1</v>
      </c>
      <c r="M20" s="3176">
        <v>24.66</v>
      </c>
      <c r="N20" s="3176">
        <v>4.4400000000000004</v>
      </c>
      <c r="O20" s="3176">
        <v>1800</v>
      </c>
    </row>
    <row r="21" spans="1:15">
      <c r="A21" s="3177">
        <v>45652.333831018521</v>
      </c>
      <c r="B21" s="3176" t="s">
        <v>3516</v>
      </c>
      <c r="C21" s="3176" t="s">
        <v>3516</v>
      </c>
      <c r="D21" s="3176" t="s">
        <v>3525</v>
      </c>
      <c r="E21" s="3176" t="s">
        <v>3516</v>
      </c>
      <c r="F21" s="3176" t="s">
        <v>3516</v>
      </c>
      <c r="G21" s="3176">
        <v>-2</v>
      </c>
      <c r="H21" s="3176" t="s">
        <v>3523</v>
      </c>
      <c r="I21" s="3176" t="s">
        <v>3526</v>
      </c>
      <c r="J21" s="3176" t="s">
        <v>3331</v>
      </c>
      <c r="K21" s="3176" t="s">
        <v>3521</v>
      </c>
      <c r="L21" s="3176">
        <v>1</v>
      </c>
      <c r="M21" s="3176">
        <v>330.68</v>
      </c>
      <c r="N21" s="3176">
        <v>59.52</v>
      </c>
      <c r="O21" s="3176">
        <v>1800</v>
      </c>
    </row>
    <row r="22" spans="1:15">
      <c r="A22" s="3177">
        <v>45652.333831018521</v>
      </c>
      <c r="B22" s="3176" t="s">
        <v>3516</v>
      </c>
      <c r="C22" s="3176" t="s">
        <v>3516</v>
      </c>
      <c r="D22" s="3176" t="s">
        <v>3527</v>
      </c>
      <c r="E22" s="3176" t="s">
        <v>3516</v>
      </c>
      <c r="F22" s="3176" t="s">
        <v>3516</v>
      </c>
      <c r="G22" s="3176">
        <v>-2</v>
      </c>
      <c r="H22" s="3176" t="s">
        <v>3528</v>
      </c>
      <c r="I22" s="3176" t="s">
        <v>3529</v>
      </c>
      <c r="J22" s="3176" t="s">
        <v>3331</v>
      </c>
      <c r="K22" s="3176" t="s">
        <v>3521</v>
      </c>
      <c r="L22" s="3176">
        <v>1</v>
      </c>
      <c r="M22" s="3176">
        <v>134.33000000000001</v>
      </c>
      <c r="N22" s="3176">
        <v>24.18</v>
      </c>
      <c r="O22" s="3176">
        <v>1800</v>
      </c>
    </row>
    <row r="25" spans="1:15">
      <c r="A25" s="1446" t="s">
        <v>3531</v>
      </c>
    </row>
    <row r="26" spans="1:15" customFormat="1">
      <c r="A26" s="3176" t="s">
        <v>3502</v>
      </c>
      <c r="B26" s="3176" t="s">
        <v>3503</v>
      </c>
      <c r="C26" s="3176" t="s">
        <v>3504</v>
      </c>
      <c r="D26" s="3176" t="s">
        <v>3505</v>
      </c>
      <c r="E26" s="3176" t="s">
        <v>3506</v>
      </c>
      <c r="F26" s="3176" t="s">
        <v>3507</v>
      </c>
      <c r="G26" s="3176" t="s">
        <v>3508</v>
      </c>
      <c r="H26" s="3176" t="s">
        <v>3509</v>
      </c>
      <c r="I26" s="3176" t="s">
        <v>3510</v>
      </c>
      <c r="J26" s="3176" t="s">
        <v>3511</v>
      </c>
      <c r="K26" s="3176" t="s">
        <v>3512</v>
      </c>
      <c r="L26" s="3176" t="s">
        <v>3476</v>
      </c>
      <c r="M26" s="3176" t="s">
        <v>3513</v>
      </c>
      <c r="N26" s="3176" t="s">
        <v>3514</v>
      </c>
      <c r="O26" s="3176" t="s">
        <v>3515</v>
      </c>
    </row>
    <row r="27" spans="1:15" customFormat="1">
      <c r="A27" s="3177">
        <v>45828.333831018521</v>
      </c>
      <c r="B27" s="3176" t="s">
        <v>3516</v>
      </c>
      <c r="C27" s="3176" t="s">
        <v>3516</v>
      </c>
      <c r="D27" s="3176" t="s">
        <v>3532</v>
      </c>
      <c r="E27" s="3176">
        <v>1</v>
      </c>
      <c r="F27" s="3176">
        <v>41</v>
      </c>
      <c r="G27" s="3176">
        <v>3</v>
      </c>
      <c r="H27" s="3176">
        <v>312</v>
      </c>
      <c r="I27" s="3176" t="s">
        <v>3533</v>
      </c>
      <c r="J27" s="3176" t="s">
        <v>673</v>
      </c>
      <c r="K27" s="3176" t="s">
        <v>3521</v>
      </c>
      <c r="L27" s="3176">
        <v>1</v>
      </c>
      <c r="M27" s="3176">
        <v>291.64999999999998</v>
      </c>
      <c r="N27" s="3176">
        <v>554.14</v>
      </c>
      <c r="O27" s="3176">
        <v>19000</v>
      </c>
    </row>
    <row r="28" spans="1:15" customFormat="1">
      <c r="A28" s="3177">
        <v>45827.333831018521</v>
      </c>
      <c r="B28" s="3176" t="s">
        <v>3516</v>
      </c>
      <c r="C28" s="3176" t="s">
        <v>3516</v>
      </c>
      <c r="D28" s="3176" t="s">
        <v>3532</v>
      </c>
      <c r="E28" s="3176">
        <v>1</v>
      </c>
      <c r="F28" s="3176">
        <v>41</v>
      </c>
      <c r="G28" s="3176">
        <v>1</v>
      </c>
      <c r="H28" s="3177">
        <v>36904.000497685185</v>
      </c>
      <c r="I28" s="3176" t="s">
        <v>3533</v>
      </c>
      <c r="J28" s="3176" t="s">
        <v>673</v>
      </c>
      <c r="K28" s="3176" t="s">
        <v>3521</v>
      </c>
      <c r="L28" s="3176">
        <v>1</v>
      </c>
      <c r="M28" s="3176">
        <v>59.01</v>
      </c>
      <c r="N28" s="3176">
        <v>112.12</v>
      </c>
      <c r="O28" s="3176">
        <v>19000</v>
      </c>
    </row>
    <row r="29" spans="1:15" customFormat="1">
      <c r="A29" s="3177">
        <v>45827.333831018521</v>
      </c>
      <c r="B29" s="3176" t="s">
        <v>3516</v>
      </c>
      <c r="C29" s="3176" t="s">
        <v>3516</v>
      </c>
      <c r="D29" s="3176" t="s">
        <v>3532</v>
      </c>
      <c r="E29" s="3176">
        <v>1</v>
      </c>
      <c r="F29" s="3176">
        <v>41</v>
      </c>
      <c r="G29" s="3176">
        <v>1</v>
      </c>
      <c r="H29" s="3177">
        <v>36905.000497685185</v>
      </c>
      <c r="I29" s="3176" t="s">
        <v>3533</v>
      </c>
      <c r="J29" s="3176" t="s">
        <v>673</v>
      </c>
      <c r="K29" s="3176" t="s">
        <v>3521</v>
      </c>
      <c r="L29" s="3176">
        <v>1</v>
      </c>
      <c r="M29" s="3176">
        <v>62.08</v>
      </c>
      <c r="N29" s="3176">
        <v>117.95</v>
      </c>
      <c r="O29" s="3176">
        <v>19000</v>
      </c>
    </row>
    <row r="32" spans="1:15">
      <c r="A32" s="1446" t="s">
        <v>3534</v>
      </c>
    </row>
    <row r="33" spans="1:15" customFormat="1">
      <c r="A33" s="3176" t="s">
        <v>3502</v>
      </c>
      <c r="B33" s="3176" t="s">
        <v>3503</v>
      </c>
      <c r="C33" s="3176" t="s">
        <v>3504</v>
      </c>
      <c r="D33" s="3176" t="s">
        <v>3505</v>
      </c>
      <c r="E33" s="3176" t="s">
        <v>3506</v>
      </c>
      <c r="F33" s="3176" t="s">
        <v>3507</v>
      </c>
      <c r="G33" s="3176" t="s">
        <v>3508</v>
      </c>
      <c r="H33" s="3176" t="s">
        <v>3509</v>
      </c>
      <c r="I33" s="3176" t="s">
        <v>3510</v>
      </c>
      <c r="J33" s="3176" t="s">
        <v>3511</v>
      </c>
      <c r="K33" s="3176" t="s">
        <v>3512</v>
      </c>
      <c r="L33" s="3176" t="s">
        <v>3476</v>
      </c>
      <c r="M33" s="3176" t="s">
        <v>3513</v>
      </c>
      <c r="N33" s="3176" t="s">
        <v>3514</v>
      </c>
      <c r="O33" s="3176" t="s">
        <v>3515</v>
      </c>
    </row>
    <row r="34" spans="1:15" customFormat="1">
      <c r="A34" s="3177">
        <v>45859.333831018521</v>
      </c>
      <c r="B34" s="3176" t="s">
        <v>3516</v>
      </c>
      <c r="C34" s="3176" t="s">
        <v>3516</v>
      </c>
      <c r="D34" s="3176" t="s">
        <v>404</v>
      </c>
      <c r="E34" s="3176">
        <v>1</v>
      </c>
      <c r="F34" s="3176" t="s">
        <v>3516</v>
      </c>
      <c r="G34" s="3176">
        <v>-1</v>
      </c>
      <c r="H34" s="3176" t="s">
        <v>3535</v>
      </c>
      <c r="I34" s="3176" t="s">
        <v>3536</v>
      </c>
      <c r="J34" s="3176" t="s">
        <v>3520</v>
      </c>
      <c r="K34" s="3176" t="s">
        <v>3521</v>
      </c>
      <c r="L34" s="3176">
        <v>1</v>
      </c>
      <c r="M34" s="3176">
        <v>38.28</v>
      </c>
      <c r="N34" s="3176">
        <v>34.83</v>
      </c>
      <c r="O34" s="3176">
        <v>9100</v>
      </c>
    </row>
    <row r="35" spans="1:15" customFormat="1">
      <c r="A35" s="3177">
        <v>45859.333831018521</v>
      </c>
      <c r="B35" s="3176" t="s">
        <v>3516</v>
      </c>
      <c r="C35" s="3176" t="s">
        <v>3516</v>
      </c>
      <c r="D35" s="3176" t="s">
        <v>404</v>
      </c>
      <c r="E35" s="3176">
        <v>1</v>
      </c>
      <c r="F35" s="3176" t="s">
        <v>3516</v>
      </c>
      <c r="G35" s="3176">
        <v>-1</v>
      </c>
      <c r="H35" s="3176" t="s">
        <v>3537</v>
      </c>
      <c r="I35" s="3176" t="s">
        <v>3536</v>
      </c>
      <c r="J35" s="3176" t="s">
        <v>3520</v>
      </c>
      <c r="K35" s="3176" t="s">
        <v>3521</v>
      </c>
      <c r="L35" s="3176">
        <v>1</v>
      </c>
      <c r="M35" s="3176">
        <v>39.869999999999997</v>
      </c>
      <c r="N35" s="3176">
        <v>36.28</v>
      </c>
      <c r="O35" s="3176">
        <v>9100</v>
      </c>
    </row>
    <row r="36" spans="1:15" customFormat="1">
      <c r="A36" s="3177">
        <v>45859.333831018521</v>
      </c>
      <c r="B36" s="3176" t="s">
        <v>3516</v>
      </c>
      <c r="C36" s="3176" t="s">
        <v>3516</v>
      </c>
      <c r="D36" s="3176" t="s">
        <v>404</v>
      </c>
      <c r="E36" s="3176">
        <v>1</v>
      </c>
      <c r="F36" s="3176" t="s">
        <v>3516</v>
      </c>
      <c r="G36" s="3176">
        <v>-1</v>
      </c>
      <c r="H36" s="3176" t="s">
        <v>3538</v>
      </c>
      <c r="I36" s="3176" t="s">
        <v>3536</v>
      </c>
      <c r="J36" s="3176" t="s">
        <v>3520</v>
      </c>
      <c r="K36" s="3176" t="s">
        <v>3521</v>
      </c>
      <c r="L36" s="3176">
        <v>1</v>
      </c>
      <c r="M36" s="3176">
        <v>38.28</v>
      </c>
      <c r="N36" s="3176">
        <v>34.83</v>
      </c>
      <c r="O36" s="3176">
        <v>9100</v>
      </c>
    </row>
    <row r="39" spans="1:15">
      <c r="A39" s="1446" t="s">
        <v>3539</v>
      </c>
    </row>
    <row r="40" spans="1:15" customFormat="1">
      <c r="A40" s="3176" t="s">
        <v>3502</v>
      </c>
      <c r="B40" s="3176" t="s">
        <v>3503</v>
      </c>
      <c r="C40" s="3176" t="s">
        <v>3504</v>
      </c>
      <c r="D40" s="3176" t="s">
        <v>3505</v>
      </c>
      <c r="E40" s="3176" t="s">
        <v>3506</v>
      </c>
      <c r="F40" s="3176" t="s">
        <v>3507</v>
      </c>
      <c r="G40" s="3176" t="s">
        <v>3508</v>
      </c>
      <c r="H40" s="3176" t="s">
        <v>3509</v>
      </c>
      <c r="I40" s="3176" t="s">
        <v>3510</v>
      </c>
      <c r="J40" s="3176" t="s">
        <v>3511</v>
      </c>
      <c r="K40" s="3176" t="s">
        <v>3512</v>
      </c>
      <c r="L40" s="3176" t="s">
        <v>3476</v>
      </c>
      <c r="M40" s="3176" t="s">
        <v>3513</v>
      </c>
      <c r="N40" s="3176" t="s">
        <v>3514</v>
      </c>
      <c r="O40" s="3176" t="s">
        <v>3515</v>
      </c>
    </row>
    <row r="41" spans="1:15" customFormat="1">
      <c r="A41" s="3177">
        <v>45799.333831018521</v>
      </c>
      <c r="B41" s="3176" t="s">
        <v>3516</v>
      </c>
      <c r="C41" s="3176" t="s">
        <v>3516</v>
      </c>
      <c r="D41" s="3176" t="s">
        <v>3540</v>
      </c>
      <c r="E41" s="3176">
        <v>1</v>
      </c>
      <c r="F41" s="3176" t="s">
        <v>3516</v>
      </c>
      <c r="G41" s="3176">
        <v>-1</v>
      </c>
      <c r="H41" s="3176">
        <v>8</v>
      </c>
      <c r="I41" s="3176" t="s">
        <v>3541</v>
      </c>
      <c r="J41" s="3176" t="s">
        <v>3520</v>
      </c>
      <c r="K41" s="3176" t="s">
        <v>3521</v>
      </c>
      <c r="L41" s="3176">
        <v>1</v>
      </c>
      <c r="M41" s="3176">
        <v>35.08</v>
      </c>
      <c r="N41" s="3176">
        <v>10.66</v>
      </c>
      <c r="O41" s="3176">
        <v>3040</v>
      </c>
    </row>
    <row r="42" spans="1:15" customFormat="1">
      <c r="A42" s="3177">
        <v>45798.333831018521</v>
      </c>
      <c r="B42" s="3176" t="s">
        <v>3516</v>
      </c>
      <c r="C42" s="3176" t="s">
        <v>3516</v>
      </c>
      <c r="D42" s="3176" t="s">
        <v>3540</v>
      </c>
      <c r="E42" s="3176">
        <v>1</v>
      </c>
      <c r="F42" s="3176" t="s">
        <v>3516</v>
      </c>
      <c r="G42" s="3176">
        <v>-1</v>
      </c>
      <c r="H42" s="3176">
        <v>92</v>
      </c>
      <c r="I42" s="3176" t="s">
        <v>3541</v>
      </c>
      <c r="J42" s="3176" t="s">
        <v>3520</v>
      </c>
      <c r="K42" s="3176" t="s">
        <v>3521</v>
      </c>
      <c r="L42" s="3176">
        <v>1</v>
      </c>
      <c r="M42" s="3176">
        <v>35.08</v>
      </c>
      <c r="N42" s="3176">
        <v>10.66</v>
      </c>
      <c r="O42" s="3176">
        <v>3040</v>
      </c>
    </row>
    <row r="43" spans="1:15" customFormat="1">
      <c r="A43" s="3177">
        <v>45798.333831018521</v>
      </c>
      <c r="B43" s="3176" t="s">
        <v>3516</v>
      </c>
      <c r="C43" s="3176" t="s">
        <v>3516</v>
      </c>
      <c r="D43" s="3176" t="s">
        <v>3540</v>
      </c>
      <c r="E43" s="3176">
        <v>1</v>
      </c>
      <c r="F43" s="3176" t="s">
        <v>3516</v>
      </c>
      <c r="G43" s="3176">
        <v>-1</v>
      </c>
      <c r="H43" s="3176">
        <v>104</v>
      </c>
      <c r="I43" s="3176" t="s">
        <v>3541</v>
      </c>
      <c r="J43" s="3176" t="s">
        <v>3520</v>
      </c>
      <c r="K43" s="3176" t="s">
        <v>3521</v>
      </c>
      <c r="L43" s="3176">
        <v>1</v>
      </c>
      <c r="M43" s="3176">
        <v>36.47</v>
      </c>
      <c r="N43" s="3176">
        <v>11.09</v>
      </c>
      <c r="O43" s="3176">
        <v>3040</v>
      </c>
    </row>
    <row r="44" spans="1:15" customFormat="1">
      <c r="A44" s="3177">
        <v>45798.333831018521</v>
      </c>
      <c r="B44" s="3176" t="s">
        <v>3516</v>
      </c>
      <c r="C44" s="3176" t="s">
        <v>3516</v>
      </c>
      <c r="D44" s="3176" t="s">
        <v>3540</v>
      </c>
      <c r="E44" s="3176">
        <v>1</v>
      </c>
      <c r="F44" s="3176" t="s">
        <v>3516</v>
      </c>
      <c r="G44" s="3176">
        <v>-1</v>
      </c>
      <c r="H44" s="3176">
        <v>3</v>
      </c>
      <c r="I44" s="3176" t="s">
        <v>3541</v>
      </c>
      <c r="J44" s="3176" t="s">
        <v>3520</v>
      </c>
      <c r="K44" s="3176" t="s">
        <v>3521</v>
      </c>
      <c r="L44" s="3176">
        <v>1</v>
      </c>
      <c r="M44" s="3176">
        <v>35.08</v>
      </c>
      <c r="N44" s="3176">
        <v>10.66</v>
      </c>
      <c r="O44" s="3176">
        <v>3040</v>
      </c>
    </row>
    <row r="47" spans="1:15">
      <c r="A47" s="1446" t="s">
        <v>3542</v>
      </c>
    </row>
    <row r="48" spans="1:15" customFormat="1">
      <c r="A48" s="3176" t="s">
        <v>3502</v>
      </c>
      <c r="B48" s="3176" t="s">
        <v>3503</v>
      </c>
      <c r="C48" s="3176" t="s">
        <v>3504</v>
      </c>
      <c r="D48" s="3176" t="s">
        <v>3505</v>
      </c>
      <c r="E48" s="3176" t="s">
        <v>3506</v>
      </c>
      <c r="F48" s="3176" t="s">
        <v>3507</v>
      </c>
      <c r="G48" s="3176" t="s">
        <v>3508</v>
      </c>
      <c r="H48" s="3176" t="s">
        <v>3509</v>
      </c>
      <c r="I48" s="3176" t="s">
        <v>3510</v>
      </c>
      <c r="J48" s="3176" t="s">
        <v>3511</v>
      </c>
      <c r="K48" s="3176" t="s">
        <v>3512</v>
      </c>
      <c r="L48" s="3176" t="s">
        <v>3476</v>
      </c>
      <c r="M48" s="3176" t="s">
        <v>3513</v>
      </c>
      <c r="N48" s="3176" t="s">
        <v>3514</v>
      </c>
      <c r="O48" s="3176" t="s">
        <v>3515</v>
      </c>
    </row>
    <row r="49" spans="1:15" customFormat="1">
      <c r="A49" s="3177">
        <v>45650.333831018521</v>
      </c>
      <c r="B49" s="3176" t="s">
        <v>3516</v>
      </c>
      <c r="C49" s="3176" t="s">
        <v>3516</v>
      </c>
      <c r="D49" s="3176" t="s">
        <v>3543</v>
      </c>
      <c r="E49" s="3176" t="s">
        <v>3516</v>
      </c>
      <c r="F49" s="3176" t="s">
        <v>3516</v>
      </c>
      <c r="G49" s="3176">
        <v>-1</v>
      </c>
      <c r="H49" s="3176" t="s">
        <v>3544</v>
      </c>
      <c r="I49" s="3176" t="s">
        <v>3545</v>
      </c>
      <c r="J49" s="3176" t="s">
        <v>3520</v>
      </c>
      <c r="K49" s="3176" t="s">
        <v>3521</v>
      </c>
      <c r="L49" s="3176">
        <v>1</v>
      </c>
      <c r="M49" s="3176">
        <v>12.72</v>
      </c>
      <c r="N49" s="3176">
        <v>8.27</v>
      </c>
      <c r="O49" s="3176">
        <v>6504</v>
      </c>
    </row>
    <row r="50" spans="1:15" customFormat="1">
      <c r="A50" s="3177">
        <v>45643.333831018521</v>
      </c>
      <c r="B50" s="3176" t="s">
        <v>3516</v>
      </c>
      <c r="C50" s="3176" t="s">
        <v>3516</v>
      </c>
      <c r="D50" s="3176" t="s">
        <v>3543</v>
      </c>
      <c r="E50" s="3176" t="s">
        <v>3516</v>
      </c>
      <c r="F50" s="3176" t="s">
        <v>3516</v>
      </c>
      <c r="G50" s="3176">
        <v>-1</v>
      </c>
      <c r="H50" s="3176" t="s">
        <v>3546</v>
      </c>
      <c r="I50" s="3176" t="s">
        <v>3545</v>
      </c>
      <c r="J50" s="3176" t="s">
        <v>3520</v>
      </c>
      <c r="K50" s="3176" t="s">
        <v>3521</v>
      </c>
      <c r="L50" s="3176">
        <v>1</v>
      </c>
      <c r="M50" s="3176">
        <v>12.72</v>
      </c>
      <c r="N50" s="3176">
        <v>1</v>
      </c>
      <c r="O50" s="3176">
        <v>786</v>
      </c>
    </row>
    <row r="51" spans="1:15" customFormat="1"/>
    <row r="52" spans="1:15" customFormat="1">
      <c r="A52" s="3177">
        <v>45656.333831018521</v>
      </c>
      <c r="B52" s="3176" t="s">
        <v>3516</v>
      </c>
      <c r="C52" s="3176" t="s">
        <v>3516</v>
      </c>
      <c r="D52" s="3176" t="s">
        <v>3547</v>
      </c>
      <c r="E52" s="3176" t="s">
        <v>3516</v>
      </c>
      <c r="F52" s="3176" t="s">
        <v>3516</v>
      </c>
      <c r="G52" s="3176">
        <v>1</v>
      </c>
      <c r="H52" s="3176" t="s">
        <v>3548</v>
      </c>
      <c r="I52" s="3176" t="s">
        <v>3549</v>
      </c>
      <c r="J52" s="3176" t="s">
        <v>673</v>
      </c>
      <c r="K52" s="3176" t="s">
        <v>3521</v>
      </c>
      <c r="L52" s="3176">
        <v>1</v>
      </c>
      <c r="M52" s="3176">
        <v>537.33000000000004</v>
      </c>
      <c r="N52" s="3176">
        <v>2740.38</v>
      </c>
      <c r="O52" s="3176">
        <v>51000</v>
      </c>
    </row>
  </sheetData>
  <mergeCells count="1">
    <mergeCell ref="A8:G8"/>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79" t="str">
        <f>项目基本情况!B1</f>
        <v>北京市房地产市场价值预评估</v>
      </c>
      <c r="C37" s="3179"/>
      <c r="D37" s="3179"/>
      <c r="E37" s="3179"/>
      <c r="F37" s="3179"/>
      <c r="G37" s="3179"/>
      <c r="H37" s="3179"/>
      <c r="I37" s="3179"/>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12</v>
      </c>
    </row>
    <row r="2" spans="1:9" s="192" customFormat="1" ht="18" customHeight="1">
      <c r="A2" s="193" t="s">
        <v>1462</v>
      </c>
      <c r="B2" s="194">
        <f ca="1">IF(D2="——",C52,C52-E2)</f>
        <v>21239</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5078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0" t="s">
        <v>1472</v>
      </c>
      <c r="B6" s="207" t="s">
        <v>1473</v>
      </c>
      <c r="C6" s="208"/>
      <c r="D6" s="209"/>
      <c r="E6" s="210"/>
      <c r="F6" s="210"/>
      <c r="G6" s="211"/>
    </row>
    <row r="7" spans="1:9" s="206" customFormat="1" ht="13.5" customHeight="1">
      <c r="A7" s="730" t="s">
        <v>1474</v>
      </c>
      <c r="B7" s="207" t="s">
        <v>1475</v>
      </c>
      <c r="C7" s="212">
        <f>ROUND(C6*F7,0)</f>
        <v>0</v>
      </c>
      <c r="D7" s="212"/>
      <c r="E7" s="210"/>
      <c r="F7" s="213">
        <f>IF(项目基本情况!B8="出让",0,'数据-取费表'!B48+'数据-取费表'!B49)</f>
        <v>3.0499999999999999E-2</v>
      </c>
      <c r="G7" s="211"/>
    </row>
    <row r="8" spans="1:9" s="215" customFormat="1">
      <c r="A8" s="730" t="s">
        <v>1476</v>
      </c>
      <c r="B8" s="207" t="s">
        <v>1477</v>
      </c>
      <c r="C8" s="212">
        <f>IF(G8="已包含在土地购买价格中","0",IF(B1="",'数据-取费表'!B29,IF(G9="全部缴纳",C9+C10,H9)))</f>
        <v>0</v>
      </c>
      <c r="D8" s="214"/>
      <c r="E8" s="212"/>
      <c r="F8" s="213"/>
      <c r="G8" s="1712"/>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3"/>
      <c r="H9" s="1068"/>
      <c r="I9" s="1714" t="s">
        <v>1479</v>
      </c>
    </row>
    <row r="10" spans="1:9" s="206" customFormat="1" ht="13.5" customHeight="1">
      <c r="A10" s="731" t="s">
        <v>356</v>
      </c>
      <c r="B10" s="216" t="s">
        <v>1480</v>
      </c>
      <c r="C10" s="217">
        <f ca="1">ROUND(D10*E10/10000,0)</f>
        <v>837</v>
      </c>
      <c r="D10" s="793">
        <f ca="1">IF(B1="",'数据-汇总表'!E6,IF(INDIRECT("'数据-取费表'!c"&amp;$G$1)="住宅",INDIRECT("'数据-取费表'!s"&amp;$G$1),INDIRECT("'数据-取费表'!k"&amp;$G$1)+INDIRECT("'数据-取费表'!s"&amp;$G$1)))</f>
        <v>41825.5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837</v>
      </c>
      <c r="D19" s="204">
        <f ca="1">D9+D10</f>
        <v>41825.5</v>
      </c>
      <c r="E19" s="203">
        <f>'数据-取费表'!B31</f>
        <v>200</v>
      </c>
      <c r="F19" s="223"/>
      <c r="G19" s="1712"/>
    </row>
    <row r="20" spans="1:7" s="206" customFormat="1" ht="13.5" customHeight="1">
      <c r="A20" s="247" t="s">
        <v>1493</v>
      </c>
      <c r="B20" s="202" t="s">
        <v>1494</v>
      </c>
      <c r="C20" s="224">
        <f ca="1">ROUND((C5+C19)*F20,0)</f>
        <v>17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79</v>
      </c>
      <c r="D22" s="227">
        <f ca="1">C26</f>
        <v>8.9999999999999998E-4</v>
      </c>
      <c r="E22" s="228" t="s">
        <v>1498</v>
      </c>
      <c r="F22" s="229">
        <f ca="1">'数据-取费表'!B40</f>
        <v>0.03</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0</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78</v>
      </c>
      <c r="D24" s="230"/>
      <c r="E24" s="230"/>
      <c r="F24" s="231"/>
      <c r="G24" s="232" t="s">
        <v>1507</v>
      </c>
    </row>
    <row r="25" spans="1:7" s="206" customFormat="1" ht="24">
      <c r="A25" s="732" t="s">
        <v>1508</v>
      </c>
      <c r="B25" s="207" t="s">
        <v>1509</v>
      </c>
      <c r="C25" s="1040">
        <f ca="1">ROUND(IF('数据-取费表'!B22&lt;=1,C20*F22*'数据-取费表'!B23/2,C20*(POWER((1+F22),'数据-取费表'!B23/2)-1)),0)</f>
        <v>1</v>
      </c>
      <c r="D25" s="230"/>
      <c r="E25" s="233"/>
      <c r="F25" s="231"/>
      <c r="G25" s="234" t="s">
        <v>1510</v>
      </c>
    </row>
    <row r="26" spans="1:7" s="206" customFormat="1">
      <c r="A26" s="732"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60</v>
      </c>
      <c r="D27" s="227">
        <f ca="1">C29</f>
        <v>1.4E-3</v>
      </c>
      <c r="E27" s="228" t="s">
        <v>1514</v>
      </c>
      <c r="F27" s="238">
        <f ca="1">IF(B1="",'数据-取费表'!Q16,INDIRECT("'数据-取费表'!q"&amp;$G$1))</f>
        <v>7.0000000000000007E-2</v>
      </c>
      <c r="G27" s="239" t="s">
        <v>1515</v>
      </c>
    </row>
    <row r="28" spans="1:7" s="206" customFormat="1" ht="13.5" customHeight="1">
      <c r="A28" s="732" t="s">
        <v>346</v>
      </c>
      <c r="B28" s="240" t="s">
        <v>1516</v>
      </c>
      <c r="C28" s="241">
        <f ca="1">ROUND((C5+C19+C20)*F27*'数据-取费表'!B21/'数据-取费表'!B20,0)</f>
        <v>60</v>
      </c>
      <c r="D28" s="227"/>
      <c r="E28" s="228"/>
      <c r="F28" s="238"/>
      <c r="G28" s="239"/>
    </row>
    <row r="29" spans="1:7" s="206" customFormat="1" ht="13.5" customHeight="1">
      <c r="A29" s="732" t="s">
        <v>347</v>
      </c>
      <c r="B29" s="240" t="s">
        <v>1517</v>
      </c>
      <c r="C29" s="230">
        <f ca="1">ROUND(C21*F27*'数据-取费表'!B21/'数据-取费表'!B20,4)</f>
        <v>1.4E-3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1074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17247</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15703</v>
      </c>
      <c r="D34" s="209"/>
      <c r="E34" s="212"/>
      <c r="F34" s="249">
        <f ca="1">IF('数据-取费表'!B24=0,1,IF(B1="",'数据-取费表'!N16,INDIRECT("'数据-取费表'!n"&amp;$G$1)))</f>
        <v>1</v>
      </c>
      <c r="G34" s="211" t="s">
        <v>1526</v>
      </c>
    </row>
    <row r="35" spans="1:7" ht="13.5" customHeight="1">
      <c r="A35" s="732" t="s">
        <v>351</v>
      </c>
      <c r="B35" s="207" t="s">
        <v>1527</v>
      </c>
      <c r="C35" s="212">
        <f ca="1">ROUND(C34*F35,0)</f>
        <v>471</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2" t="s">
        <v>353</v>
      </c>
      <c r="B37" s="207" t="s">
        <v>1531</v>
      </c>
      <c r="C37" s="241">
        <f ca="1">ROUND(E37*D37*F34/10000,0)</f>
        <v>837</v>
      </c>
      <c r="D37" s="209">
        <f ca="1">D19</f>
        <v>41825.5</v>
      </c>
      <c r="E37" s="241">
        <f>'数据-取费表'!B35</f>
        <v>200</v>
      </c>
      <c r="F37" s="251"/>
      <c r="G37" s="253" t="s">
        <v>1532</v>
      </c>
    </row>
    <row r="38" spans="1:7" ht="13.5" customHeight="1">
      <c r="A38" s="732" t="s">
        <v>354</v>
      </c>
      <c r="B38" s="207" t="s">
        <v>1533</v>
      </c>
      <c r="C38" s="212">
        <f ca="1">ROUND(C34*F38,0)</f>
        <v>236</v>
      </c>
      <c r="D38" s="212"/>
      <c r="E38" s="212"/>
      <c r="F38" s="251">
        <f>'数据-取费表'!B36</f>
        <v>1.4999999999999999E-2</v>
      </c>
      <c r="G38" s="211" t="s">
        <v>1528</v>
      </c>
    </row>
    <row r="39" spans="1:7" s="206" customFormat="1" ht="13.5" customHeight="1">
      <c r="A39" s="247" t="s">
        <v>1534</v>
      </c>
      <c r="B39" s="202" t="s">
        <v>1535</v>
      </c>
      <c r="C39" s="224">
        <f ca="1">ROUND(C33*F20,0)</f>
        <v>345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798</v>
      </c>
      <c r="D41" s="227">
        <f ca="1">C44</f>
        <v>8.9999999999999998E-4</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782</v>
      </c>
      <c r="D42" s="230"/>
      <c r="E42" s="230"/>
      <c r="F42" s="231"/>
      <c r="G42" s="3363" t="s">
        <v>1544</v>
      </c>
    </row>
    <row r="43" spans="1:7" ht="13.5" customHeight="1">
      <c r="A43" s="732" t="s">
        <v>347</v>
      </c>
      <c r="B43" s="207" t="s">
        <v>1545</v>
      </c>
      <c r="C43" s="230">
        <f ca="1">ROUND(IF('数据-取费表'!B22&lt;=1,C39*F22*'数据-取费表'!B21/2,C39*(POWER((1+F22),'数据-取费表'!B21/2)-1)),0)</f>
        <v>16</v>
      </c>
      <c r="D43" s="230"/>
      <c r="E43" s="230"/>
      <c r="F43" s="231"/>
      <c r="G43" s="3364"/>
    </row>
    <row r="44" spans="1:7" ht="13.5" customHeight="1">
      <c r="A44" s="732" t="s">
        <v>348</v>
      </c>
      <c r="B44" s="207" t="s">
        <v>1546</v>
      </c>
      <c r="C44" s="230">
        <f ca="1">ROUND(IF('数据-取费表'!B22&lt;=1,C40*F22*'数据-取费表'!B21/2,C40*(POWER((1+F22),'数据-取费表'!B21/2)-1)),4)</f>
        <v>8.9999999999999998E-4</v>
      </c>
      <c r="D44" s="230"/>
      <c r="E44" s="230"/>
      <c r="F44" s="231"/>
      <c r="G44" s="3365"/>
    </row>
    <row r="45" spans="1:7" s="206" customFormat="1" ht="13.5" customHeight="1">
      <c r="A45" s="247" t="s">
        <v>1547</v>
      </c>
      <c r="B45" s="236" t="s">
        <v>1513</v>
      </c>
      <c r="C45" s="237">
        <f ca="1">C46</f>
        <v>1231</v>
      </c>
      <c r="D45" s="227">
        <f ca="1">C47</f>
        <v>1.4E-3</v>
      </c>
      <c r="E45" s="228" t="s">
        <v>1539</v>
      </c>
      <c r="F45" s="238">
        <f ca="1">F27</f>
        <v>7.0000000000000007E-2</v>
      </c>
      <c r="G45" s="239" t="s">
        <v>1548</v>
      </c>
    </row>
    <row r="46" spans="1:7" s="206" customFormat="1" ht="13.5" customHeight="1">
      <c r="A46" s="732" t="s">
        <v>346</v>
      </c>
      <c r="B46" s="240" t="s">
        <v>1549</v>
      </c>
      <c r="C46" s="241">
        <f ca="1">ROUND((C33+C39)*F27,0)</f>
        <v>1231</v>
      </c>
      <c r="D46" s="255"/>
      <c r="E46" s="228"/>
      <c r="F46" s="238"/>
      <c r="G46" s="239"/>
    </row>
    <row r="47" spans="1:7" s="206" customFormat="1" ht="13.5" customHeight="1">
      <c r="A47" s="732" t="s">
        <v>347</v>
      </c>
      <c r="B47" s="240" t="s">
        <v>1550</v>
      </c>
      <c r="C47" s="230">
        <f ca="1">ROUND(C40*F27,4)</f>
        <v>1.4E-3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21226</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20165</v>
      </c>
      <c r="D51" s="224"/>
      <c r="E51" s="224"/>
      <c r="F51" s="256"/>
      <c r="G51" s="226" t="s">
        <v>1560</v>
      </c>
    </row>
    <row r="52" spans="1:7" s="200" customFormat="1" ht="16.5" thickBot="1">
      <c r="A52" s="257" t="s">
        <v>1561</v>
      </c>
      <c r="B52" s="258"/>
      <c r="C52" s="259">
        <f ca="1">C31+C51</f>
        <v>21239</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57" sqref="C5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673</v>
      </c>
      <c r="C1" s="1715" t="s">
        <v>1563</v>
      </c>
      <c r="D1" s="190"/>
      <c r="E1" s="190"/>
      <c r="F1" s="190"/>
      <c r="G1" s="1060">
        <f>MATCH(B1,'数据-取费表'!A6:A16,0)+5</f>
        <v>6</v>
      </c>
      <c r="H1" s="996" t="str">
        <f>IF(ISERROR(FIND("住宅",B1)),"非住宅","住宅")</f>
        <v>非住宅</v>
      </c>
    </row>
    <row r="2" spans="1:8" s="192" customFormat="1" ht="18" customHeight="1">
      <c r="A2" s="193" t="s">
        <v>1462</v>
      </c>
      <c r="B2" s="3120">
        <f ca="1">ROUND(IF(D2="——",C52/10000,C52/10000-E2),4)</f>
        <v>30828.649300000001</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27713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194038494</v>
      </c>
      <c r="D5" s="203" t="s">
        <v>1469</v>
      </c>
      <c r="E5" s="204" t="s">
        <v>1470</v>
      </c>
      <c r="F5" s="204" t="s">
        <v>1471</v>
      </c>
      <c r="G5" s="205"/>
    </row>
    <row r="6" spans="1:8" s="206" customFormat="1" ht="13.5" customHeight="1">
      <c r="A6" s="730" t="s">
        <v>1472</v>
      </c>
      <c r="B6" s="207" t="s">
        <v>1473</v>
      </c>
      <c r="C6" s="208">
        <f>'基准地价修正-商业'!V2+'基准地价修正-商业'!V3+'基准地价修正-商业'!V4+'基准地价修正-商业'!V5</f>
        <v>186136466</v>
      </c>
      <c r="D6" s="209"/>
      <c r="E6" s="210"/>
      <c r="F6" s="210"/>
      <c r="G6" s="211"/>
    </row>
    <row r="7" spans="1:8" s="206" customFormat="1" ht="13.5" customHeight="1">
      <c r="A7" s="730" t="s">
        <v>1474</v>
      </c>
      <c r="B7" s="207" t="s">
        <v>1475</v>
      </c>
      <c r="C7" s="212">
        <f>ROUND(C6*F7,0)</f>
        <v>5677162</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2224866</v>
      </c>
      <c r="D8" s="214"/>
      <c r="E8" s="212"/>
      <c r="F8" s="213"/>
      <c r="G8" s="1712" t="s">
        <v>3470</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2224866</v>
      </c>
      <c r="D10" s="793">
        <f ca="1">IF(B1="",'数据-汇总表'!E6,IF(INDIRECT("'数据-取费表'!c"&amp;$G$1)="住宅",INDIRECT("'数据-取费表'!s"&amp;$G$1),INDIRECT("'数据-取费表'!k"&amp;$G$1)+INDIRECT("'数据-取费表'!s"&amp;$G$1)))</f>
        <v>11124.33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11124.33</v>
      </c>
      <c r="E19" s="203">
        <f>'数据-取费表'!B31</f>
        <v>200</v>
      </c>
      <c r="F19" s="223"/>
      <c r="G19" s="1712" t="s">
        <v>3471</v>
      </c>
    </row>
    <row r="20" spans="1:7" s="206" customFormat="1" ht="13.5" customHeight="1">
      <c r="A20" s="247" t="s">
        <v>1574</v>
      </c>
      <c r="B20" s="202" t="s">
        <v>1575</v>
      </c>
      <c r="C20" s="224">
        <f ca="1">ROUND((C5+C19)*F20,0)</f>
        <v>3880770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18168545</v>
      </c>
      <c r="D22" s="227">
        <f ca="1">C26</f>
        <v>8.9999999999999998E-4</v>
      </c>
      <c r="E22" s="228" t="s">
        <v>1579</v>
      </c>
      <c r="F22" s="229">
        <f ca="1">'数据-取费表'!B40</f>
        <v>0.03</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17992607</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2" t="s">
        <v>1476</v>
      </c>
      <c r="B25" s="207" t="s">
        <v>1587</v>
      </c>
      <c r="C25" s="230">
        <f ca="1">ROUND(IF('数据-取费表'!B22&lt;=1,C20*F22*'数据-取费表'!B22/2,C20*(POWER((1+F22),'数据-取费表'!B22/2)-1)),0)</f>
        <v>175938</v>
      </c>
      <c r="D25" s="230"/>
      <c r="E25" s="233"/>
      <c r="F25" s="231"/>
      <c r="G25" s="234" t="s">
        <v>1588</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19791926</v>
      </c>
      <c r="D27" s="227">
        <f ca="1">C29</f>
        <v>2E-3</v>
      </c>
      <c r="E27" s="228" t="s">
        <v>1514</v>
      </c>
      <c r="F27" s="238">
        <f ca="1">IF(B1="",'数据-取费表'!Q16,INDIRECT("'数据-取费表'!q"&amp;$G$1))</f>
        <v>0.1</v>
      </c>
      <c r="G27" s="239" t="s">
        <v>1515</v>
      </c>
    </row>
    <row r="28" spans="1:7" s="206" customFormat="1" ht="13.5" customHeight="1">
      <c r="A28" s="732" t="s">
        <v>346</v>
      </c>
      <c r="B28" s="240" t="s">
        <v>1516</v>
      </c>
      <c r="C28" s="241">
        <f ca="1">ROUND((C5+C19+C20)*F27,0)</f>
        <v>19791926</v>
      </c>
      <c r="D28" s="227"/>
      <c r="E28" s="228"/>
      <c r="F28" s="238"/>
      <c r="G28" s="239"/>
    </row>
    <row r="29" spans="1:7" s="206" customFormat="1" ht="13.5" customHeight="1">
      <c r="A29" s="732"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255336366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44074596</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40047588</v>
      </c>
      <c r="D34" s="209"/>
      <c r="E34" s="212"/>
      <c r="F34" s="249"/>
      <c r="G34" s="211"/>
    </row>
    <row r="35" spans="1:7" ht="13.5" customHeight="1">
      <c r="A35" s="732" t="s">
        <v>351</v>
      </c>
      <c r="B35" s="207" t="s">
        <v>1527</v>
      </c>
      <c r="C35" s="212">
        <f ca="1">ROUND(C34*F35,0)</f>
        <v>1201428</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2224866</v>
      </c>
      <c r="D37" s="209">
        <f ca="1">D19</f>
        <v>11124.33</v>
      </c>
      <c r="E37" s="241">
        <f>'数据-取费表'!B35</f>
        <v>200</v>
      </c>
      <c r="F37" s="251"/>
      <c r="G37" s="253"/>
    </row>
    <row r="38" spans="1:7" ht="13.5" customHeight="1">
      <c r="A38" s="732" t="s">
        <v>354</v>
      </c>
      <c r="B38" s="207" t="s">
        <v>1533</v>
      </c>
      <c r="C38" s="212">
        <f ca="1">ROUND(C34*F38,0)</f>
        <v>600714</v>
      </c>
      <c r="D38" s="212"/>
      <c r="E38" s="212"/>
      <c r="F38" s="251">
        <f>'数据-取费表'!B36</f>
        <v>1.4999999999999999E-2</v>
      </c>
      <c r="G38" s="211" t="s">
        <v>1528</v>
      </c>
    </row>
    <row r="39" spans="1:7" s="206" customFormat="1" ht="13.5" customHeight="1">
      <c r="A39" s="247" t="s">
        <v>1534</v>
      </c>
      <c r="B39" s="202" t="s">
        <v>1535</v>
      </c>
      <c r="C39" s="224">
        <f ca="1">ROUND(C33*F20,0)</f>
        <v>881492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2038121</v>
      </c>
      <c r="D41" s="227">
        <f ca="1">C44</f>
        <v>8.9999999999999998E-4</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1998158</v>
      </c>
      <c r="D42" s="230"/>
      <c r="E42" s="230"/>
      <c r="F42" s="231"/>
      <c r="G42" s="3363" t="s">
        <v>1591</v>
      </c>
    </row>
    <row r="43" spans="1:7" ht="13.5" customHeight="1">
      <c r="A43" s="732" t="s">
        <v>347</v>
      </c>
      <c r="B43" s="207" t="s">
        <v>1545</v>
      </c>
      <c r="C43" s="230">
        <f ca="1">ROUND(IF('数据-取费表'!B22&lt;=1,C39*F22*'数据-取费表'!B20/2,C39*(POWER((1+F22),'数据-取费表'!B20/2)-1)),0)</f>
        <v>39963</v>
      </c>
      <c r="D43" s="230"/>
      <c r="E43" s="230"/>
      <c r="F43" s="231"/>
      <c r="G43" s="3364"/>
    </row>
    <row r="44" spans="1:7" ht="13.5" customHeight="1">
      <c r="A44" s="732" t="s">
        <v>348</v>
      </c>
      <c r="B44" s="207" t="s">
        <v>1546</v>
      </c>
      <c r="C44" s="230">
        <f ca="1">ROUND(IF('数据-取费表'!B22&lt;=1,C40*F22*'数据-取费表'!B20/2,C40*(POWER((1+F22),'数据-取费表'!B20/2)-1)),4)</f>
        <v>8.9999999999999998E-4</v>
      </c>
      <c r="D44" s="230"/>
      <c r="E44" s="230"/>
      <c r="F44" s="231"/>
      <c r="G44" s="3365"/>
    </row>
    <row r="45" spans="1:7" s="206" customFormat="1" ht="13.5" customHeight="1">
      <c r="A45" s="247" t="s">
        <v>1547</v>
      </c>
      <c r="B45" s="236" t="s">
        <v>1513</v>
      </c>
      <c r="C45" s="237">
        <f ca="1">C46</f>
        <v>4495609</v>
      </c>
      <c r="D45" s="227">
        <f ca="1">C47</f>
        <v>2E-3</v>
      </c>
      <c r="E45" s="228" t="s">
        <v>1539</v>
      </c>
      <c r="F45" s="238">
        <f ca="1">F27</f>
        <v>0.1</v>
      </c>
      <c r="G45" s="239" t="s">
        <v>1548</v>
      </c>
    </row>
    <row r="46" spans="1:7" s="206" customFormat="1" ht="13.5" customHeight="1">
      <c r="A46" s="732" t="s">
        <v>346</v>
      </c>
      <c r="B46" s="240" t="s">
        <v>1549</v>
      </c>
      <c r="C46" s="241">
        <f ca="1">ROUND((C33+C39)*F27,0)</f>
        <v>4495609</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55736976</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52950127</v>
      </c>
      <c r="D51" s="224"/>
      <c r="E51" s="224"/>
      <c r="F51" s="256"/>
      <c r="G51" s="226" t="s">
        <v>1560</v>
      </c>
    </row>
    <row r="52" spans="1:7" s="200" customFormat="1" ht="16.5" thickBot="1">
      <c r="A52" s="257" t="s">
        <v>1561</v>
      </c>
      <c r="B52" s="258"/>
      <c r="C52" s="259">
        <f ca="1">C31+C51</f>
        <v>308286493</v>
      </c>
      <c r="D52" s="258"/>
      <c r="E52" s="258"/>
      <c r="F52" s="258"/>
      <c r="G52" s="260"/>
    </row>
    <row r="55" spans="1:7" ht="15">
      <c r="B55" s="262" t="s">
        <v>1562</v>
      </c>
      <c r="C55" s="263"/>
    </row>
    <row r="56" spans="1:7">
      <c r="B56" s="265" t="s">
        <v>802</v>
      </c>
      <c r="C56" s="267">
        <f ca="1">1-C57</f>
        <v>0.82800000000000007</v>
      </c>
    </row>
    <row r="57" spans="1:7">
      <c r="B57" s="265" t="s">
        <v>803</v>
      </c>
      <c r="C57" s="266">
        <f ca="1">ROUND(C51/C52,3)</f>
        <v>0.17199999999999999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8"/>
      <c r="D1" s="1107"/>
      <c r="E1" s="2565"/>
      <c r="F1" s="2565"/>
      <c r="G1" s="2446"/>
      <c r="H1" s="2565"/>
      <c r="I1" s="2565"/>
      <c r="J1" s="2565"/>
      <c r="K1" s="2566">
        <f>MATCH(C1,'数据-取费表'!A6:A16,0)+5</f>
        <v>12</v>
      </c>
    </row>
    <row r="2" spans="1:33" ht="18" customHeight="1">
      <c r="A2" s="193" t="s">
        <v>1462</v>
      </c>
      <c r="B2" s="196">
        <f ca="1">C32</f>
        <v>-888</v>
      </c>
      <c r="C2" s="268" t="s">
        <v>1595</v>
      </c>
      <c r="D2" s="268"/>
      <c r="E2" s="2565"/>
      <c r="F2" s="2565"/>
      <c r="G2" s="2565"/>
      <c r="H2" s="2565"/>
      <c r="I2" s="2565"/>
      <c r="J2" s="2565"/>
      <c r="K2" s="2565"/>
    </row>
    <row r="3" spans="1:33" ht="18" customHeight="1" thickBot="1">
      <c r="A3" s="195" t="s">
        <v>1464</v>
      </c>
      <c r="B3" s="196">
        <f ca="1">ROUND(B2*10000/IF(C1="",'数据-汇总表'!E3,INDIRECT("'数据-取费表'!K"&amp;$K$1)),0)</f>
        <v>-212</v>
      </c>
      <c r="C3" s="268" t="s">
        <v>1596</v>
      </c>
      <c r="D3" s="268"/>
      <c r="E3" s="2565"/>
      <c r="F3" s="2565"/>
      <c r="G3" s="2565"/>
      <c r="H3" s="2565"/>
      <c r="I3" s="2565"/>
      <c r="J3" s="2565"/>
      <c r="K3" s="2565"/>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41825.5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41825.5</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837</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837</v>
      </c>
      <c r="D20" s="794">
        <f ca="1">IF(C1="",'数据-汇总表'!E6,IF(INDIRECT("'数据-取费表'!c"&amp;$K$1)="住宅",INDIRECT("'数据-取费表'!s"&amp;$K$1),INDIRECT("'数据-取费表'!k"&amp;$K$1)+INDIRECT("'数据-取费表'!s"&amp;$K$1)))</f>
        <v>41825.5</v>
      </c>
      <c r="E20" s="21">
        <f>'数据-取费表'!B28</f>
        <v>200</v>
      </c>
      <c r="F20" s="754"/>
      <c r="G20" s="12"/>
      <c r="H20" s="759"/>
      <c r="I20" s="759"/>
      <c r="J20" s="759"/>
      <c r="K20" s="760"/>
    </row>
    <row r="21" spans="1:33" s="753" customFormat="1" ht="13.5" customHeight="1">
      <c r="A21" s="742" t="s">
        <v>357</v>
      </c>
      <c r="B21" s="763" t="s">
        <v>1628</v>
      </c>
      <c r="C21" s="764">
        <f ca="1">C16+C17+C18</f>
        <v>837</v>
      </c>
      <c r="D21" s="765"/>
      <c r="E21" s="273"/>
      <c r="F21" s="273"/>
      <c r="G21" s="123" t="s">
        <v>1629</v>
      </c>
      <c r="H21" s="757"/>
      <c r="I21" s="757"/>
      <c r="J21" s="757"/>
      <c r="K21" s="758"/>
    </row>
    <row r="22" spans="1:33" s="753" customFormat="1" ht="13.5" customHeight="1">
      <c r="A22" s="742" t="s">
        <v>1601</v>
      </c>
      <c r="B22" s="763" t="s">
        <v>1630</v>
      </c>
      <c r="C22" s="764">
        <f ca="1">ROUND(C21*F22,0)</f>
        <v>17</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1641</v>
      </c>
      <c r="B28" s="1721" t="s">
        <v>1642</v>
      </c>
      <c r="C28" s="279">
        <f ca="1">C30</f>
        <v>60</v>
      </c>
      <c r="D28" s="272">
        <f ca="1">C29</f>
        <v>0</v>
      </c>
      <c r="E28" s="274" t="s">
        <v>12</v>
      </c>
      <c r="F28" s="280">
        <f ca="1">IF(C1="",'数据-取费表'!Q16,INDIRECT("'数据-取费表'!q"&amp;$K$1))</f>
        <v>7.0000000000000007E-2</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60</v>
      </c>
      <c r="D30" s="276"/>
      <c r="E30" s="277"/>
      <c r="F30" s="282"/>
      <c r="G30" s="123"/>
      <c r="H30" s="757"/>
      <c r="I30" s="757"/>
      <c r="J30" s="757"/>
      <c r="K30" s="758"/>
    </row>
    <row r="31" spans="1:33" s="753" customFormat="1" ht="13.5" customHeight="1" thickBot="1">
      <c r="A31" s="1722"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-888</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A080-3547-469D-878D-5C637A947A3C}">
  <sheetPr>
    <tabColor rgb="FF92D050"/>
  </sheetPr>
  <dimension ref="A1:AK83"/>
  <sheetViews>
    <sheetView view="pageBreakPreview" zoomScale="85" zoomScaleNormal="70" zoomScaleSheetLayoutView="85" workbookViewId="0">
      <selection activeCell="J52" sqref="J5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673</v>
      </c>
      <c r="D1" s="1269" t="s">
        <v>43</v>
      </c>
      <c r="E1" s="1270" t="s">
        <v>678</v>
      </c>
      <c r="F1" s="997">
        <f ca="1">J53</f>
        <v>25.59</v>
      </c>
      <c r="G1" s="1284">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16126.206399999999</v>
      </c>
      <c r="C2" s="1287" t="s">
        <v>805</v>
      </c>
      <c r="D2" s="1373">
        <f ca="1">C40+J29+L46</f>
        <v>161262064</v>
      </c>
      <c r="E2" s="1293" t="s">
        <v>880</v>
      </c>
      <c r="F2" s="1294"/>
      <c r="G2" s="2476"/>
      <c r="H2" s="2466"/>
      <c r="I2" s="2466"/>
      <c r="J2" s="2466"/>
      <c r="K2" s="2467"/>
      <c r="L2" s="2466"/>
      <c r="M2" s="2466"/>
    </row>
    <row r="3" spans="1:37" ht="18" customHeight="1" thickBot="1">
      <c r="A3" s="1295" t="s">
        <v>806</v>
      </c>
      <c r="B3" s="1296">
        <f ca="1">IF(ISERROR(D2/F43),0,ROUND(D2/F43,0))</f>
        <v>14496</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13537968</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13521067</v>
      </c>
      <c r="D6" s="147" t="s">
        <v>2106</v>
      </c>
      <c r="E6" s="294" t="s">
        <v>696</v>
      </c>
      <c r="F6" s="295">
        <f ca="1">INDIRECT("'数据-取费表'!u"&amp;$G$1)</f>
        <v>3.7</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11124.329999999998</v>
      </c>
      <c r="G7" s="1290"/>
      <c r="H7" s="296"/>
      <c r="I7" s="3367"/>
      <c r="J7" s="298"/>
      <c r="K7" s="299"/>
      <c r="L7" s="294" t="s">
        <v>697</v>
      </c>
      <c r="M7" s="295">
        <f ca="1">F7</f>
        <v>11124.329999999998</v>
      </c>
    </row>
    <row r="8" spans="1:37" ht="18" customHeight="1">
      <c r="A8" s="296"/>
      <c r="B8" s="3367"/>
      <c r="C8" s="298"/>
      <c r="D8" s="299"/>
      <c r="E8" s="294" t="s">
        <v>698</v>
      </c>
      <c r="F8" s="295">
        <f ca="1">INDIRECT("'数据-取费表'!ai"&amp;$G$1)</f>
        <v>365</v>
      </c>
      <c r="G8" s="1290"/>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16901</v>
      </c>
      <c r="D10" s="150" t="s">
        <v>2116</v>
      </c>
      <c r="E10" s="305" t="s">
        <v>701</v>
      </c>
      <c r="F10" s="1051" t="s">
        <v>3491</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52950127</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40047588</v>
      </c>
      <c r="D14" s="1255" t="s">
        <v>708</v>
      </c>
      <c r="E14" s="1253"/>
      <c r="F14" s="311"/>
      <c r="G14" s="1290"/>
      <c r="H14" s="926" t="s">
        <v>398</v>
      </c>
      <c r="I14" s="294" t="s">
        <v>709</v>
      </c>
      <c r="J14" s="21">
        <f ca="1">C29</f>
        <v>55736976</v>
      </c>
      <c r="K14" s="12"/>
      <c r="L14" s="757"/>
      <c r="M14" s="758"/>
    </row>
    <row r="15" spans="1:37" s="1302" customFormat="1" ht="18" customHeight="1" thickBot="1">
      <c r="A15" s="926" t="s">
        <v>399</v>
      </c>
      <c r="B15" s="294" t="s">
        <v>710</v>
      </c>
      <c r="C15" s="21">
        <f ca="1">ROUND(C14*F15,0)</f>
        <v>1201428</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111474</v>
      </c>
      <c r="K16" s="1022" t="s">
        <v>715</v>
      </c>
      <c r="L16" s="1023"/>
      <c r="M16" s="1007"/>
    </row>
    <row r="17" spans="1:37" s="1302" customFormat="1" ht="18" customHeight="1">
      <c r="A17" s="926" t="s">
        <v>681</v>
      </c>
      <c r="B17" s="294" t="s">
        <v>716</v>
      </c>
      <c r="C17" s="21">
        <f ca="1">ROUND(F17*(F43+INDIRECT("'数据-取费表'!S"&amp;$G$1)),0)</f>
        <v>2224866</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600714</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44074596</v>
      </c>
      <c r="D19" s="123" t="s">
        <v>726</v>
      </c>
      <c r="E19" s="1267"/>
      <c r="F19" s="23"/>
      <c r="G19" s="1290"/>
      <c r="H19" s="926" t="s">
        <v>399</v>
      </c>
      <c r="I19" s="294" t="s">
        <v>727</v>
      </c>
      <c r="J19" s="21">
        <f ca="1">IF(K19="按租金收入计税",ROUND(J6*M19/(1+'数据-取费表'!C42),0),ROUND(C29*M19*0.7,0))</f>
        <v>0</v>
      </c>
      <c r="K19" s="1276" t="s">
        <v>3333</v>
      </c>
      <c r="L19" s="294" t="s">
        <v>712</v>
      </c>
      <c r="M19" s="314">
        <f>IF(K19="按租金收入计税",'数据-取费表'!B51,'数据-取费表'!B50)</f>
        <v>0.12</v>
      </c>
    </row>
    <row r="20" spans="1:37" s="1302" customFormat="1" ht="18" customHeight="1">
      <c r="A20" s="926" t="s">
        <v>402</v>
      </c>
      <c r="B20" s="294" t="s">
        <v>728</v>
      </c>
      <c r="C20" s="21">
        <f ca="1">ROUND(C19*F20,0)</f>
        <v>881492</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111474</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2038121</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-111474</v>
      </c>
      <c r="K25" s="1030" t="s">
        <v>753</v>
      </c>
      <c r="L25" s="1031"/>
      <c r="M25" s="1032"/>
    </row>
    <row r="26" spans="1:37" ht="18" customHeight="1">
      <c r="A26" s="926" t="s">
        <v>397</v>
      </c>
      <c r="B26" s="294" t="s">
        <v>754</v>
      </c>
      <c r="C26" s="21">
        <f ca="1">ROUND((C19+C20)*F26,0)</f>
        <v>4495609</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55736976</v>
      </c>
      <c r="D29" s="1027"/>
      <c r="E29" s="1025"/>
      <c r="F29" s="1028"/>
      <c r="G29" s="1301"/>
      <c r="H29" s="325" t="s">
        <v>396</v>
      </c>
      <c r="I29" s="326" t="s">
        <v>768</v>
      </c>
      <c r="J29" s="327">
        <f ca="1">ROUND(J26/(1+F40)^F41,0)</f>
        <v>0</v>
      </c>
      <c r="K29" s="328" t="s">
        <v>769</v>
      </c>
      <c r="L29" s="329"/>
      <c r="M29" s="330">
        <f ca="1">INDIRECT("'数据-取费表'!k"&amp;$G$1)</f>
        <v>11124.33</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2566193</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2266389</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721124</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1545265</v>
      </c>
      <c r="D33" s="1276" t="s">
        <v>3333</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111474</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52950</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135380</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10971775</v>
      </c>
      <c r="D39" s="1030" t="s">
        <v>753</v>
      </c>
      <c r="E39" s="1031"/>
      <c r="F39" s="1032"/>
      <c r="G39" s="1290"/>
      <c r="H39" s="2471"/>
      <c r="I39" s="1303"/>
      <c r="J39" s="1304"/>
      <c r="K39" s="2469"/>
      <c r="L39" s="2471"/>
      <c r="M39" s="2471"/>
    </row>
    <row r="40" spans="1:18" ht="18" customHeight="1">
      <c r="A40" s="291" t="s">
        <v>395</v>
      </c>
      <c r="B40" s="292" t="s">
        <v>774</v>
      </c>
      <c r="C40" s="293">
        <f ca="1">ROUND(C39*(1-((1+F42)/(1+F40))^F41)/(F40-F42),0)</f>
        <v>156091430</v>
      </c>
      <c r="D40" s="316" t="s">
        <v>758</v>
      </c>
      <c r="E40" s="294" t="s">
        <v>759</v>
      </c>
      <c r="F40" s="304">
        <f ca="1">INDIRECT("'数据-取费表'!I"&amp;$G$1)</f>
        <v>5.5E-2</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25.59</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14032</v>
      </c>
      <c r="D43" s="328" t="s">
        <v>777</v>
      </c>
      <c r="E43" s="329" t="s">
        <v>778</v>
      </c>
      <c r="F43" s="330">
        <f ca="1">INDIRECT("'数据-取费表'!k"&amp;$G$1)</f>
        <v>11124.33</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3349</v>
      </c>
      <c r="B45" s="1305"/>
      <c r="C45" s="1374">
        <f ca="1">ROUND((C68-C40)/10000,4)</f>
        <v>-15832.138000000001</v>
      </c>
      <c r="D45" s="3128" t="s">
        <v>3350</v>
      </c>
      <c r="E45" s="1305"/>
      <c r="F45" s="1305"/>
      <c r="O45" s="1308" t="s">
        <v>808</v>
      </c>
      <c r="P45" s="1364"/>
      <c r="Q45" s="1364"/>
      <c r="R45" s="1364"/>
    </row>
    <row r="46" spans="1:18" s="1290" customFormat="1" ht="13.5" thickBot="1">
      <c r="A46" s="1309" t="s">
        <v>809</v>
      </c>
      <c r="C46" s="1310">
        <f ca="1">ROUND(C45,0)</f>
        <v>-15832</v>
      </c>
      <c r="D46" s="1311" t="str">
        <f>C2</f>
        <v>万元</v>
      </c>
      <c r="I46" s="1312" t="s">
        <v>810</v>
      </c>
      <c r="J46" s="1313"/>
      <c r="K46" s="1314"/>
      <c r="L46" s="1315">
        <f ca="1">IF(M47="住宅",0,IF(L48&gt;J51,L60,J60))</f>
        <v>5170634</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3492</v>
      </c>
      <c r="K47" s="1321" t="s">
        <v>816</v>
      </c>
      <c r="L47" s="1322">
        <f ca="1">INDIRECT("'数据-取费表'!d"&amp;$G$1)</f>
        <v>40</v>
      </c>
      <c r="M47" s="1286" t="str">
        <f>IF(ISNUMBER(FIND("住宅",C1)),"住宅","非住宅")</f>
        <v>非住宅</v>
      </c>
      <c r="O47" s="1323" t="s">
        <v>403</v>
      </c>
      <c r="P47" s="1324" t="s">
        <v>817</v>
      </c>
      <c r="Q47" s="1325">
        <f ca="1">C40+J29</f>
        <v>156091430</v>
      </c>
      <c r="R47" s="1325" t="s">
        <v>818</v>
      </c>
    </row>
    <row r="48" spans="1:18" s="1290" customFormat="1" ht="28.5" thickBot="1">
      <c r="A48" s="1045" t="s">
        <v>438</v>
      </c>
      <c r="B48" s="292" t="s">
        <v>692</v>
      </c>
      <c r="C48" s="1266">
        <f ca="1">C49+C53+C55</f>
        <v>0</v>
      </c>
      <c r="D48" s="1047"/>
      <c r="E48" s="1048"/>
      <c r="F48" s="906"/>
      <c r="G48" s="681"/>
      <c r="H48" s="682"/>
      <c r="I48" s="1326" t="s">
        <v>819</v>
      </c>
      <c r="J48" s="1327" t="s">
        <v>3493</v>
      </c>
      <c r="K48" s="1328" t="s">
        <v>820</v>
      </c>
      <c r="L48" s="1329">
        <f ca="1">INDIRECT("'数据-取费表'!f"&amp;$G$1)</f>
        <v>25.59</v>
      </c>
      <c r="O48" s="1323" t="s">
        <v>404</v>
      </c>
      <c r="P48" s="1324" t="s">
        <v>821</v>
      </c>
      <c r="Q48" s="1325">
        <f ca="1">J60</f>
        <v>5170634</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55736976</v>
      </c>
      <c r="R49" s="1325" t="s">
        <v>818</v>
      </c>
    </row>
    <row r="50" spans="1:18" s="1290" customFormat="1" ht="13.5" thickBot="1">
      <c r="A50" s="920"/>
      <c r="B50" s="923"/>
      <c r="C50" s="924"/>
      <c r="D50" s="897"/>
      <c r="E50" s="991" t="s">
        <v>697</v>
      </c>
      <c r="F50" s="992">
        <f ca="1">F7</f>
        <v>11124.329999999998</v>
      </c>
      <c r="H50" s="682"/>
      <c r="I50" s="1326" t="s">
        <v>826</v>
      </c>
      <c r="J50" s="1333">
        <f>SUMPRODUCT((I63:I65=J47)*(J62:L62=J48)*(J63:L65))</f>
        <v>60</v>
      </c>
      <c r="K50" s="1328" t="s">
        <v>827</v>
      </c>
      <c r="L50" s="1331"/>
      <c r="M50" s="1334"/>
      <c r="O50" s="1332" t="s">
        <v>406</v>
      </c>
      <c r="P50" s="1324" t="s">
        <v>828</v>
      </c>
      <c r="Q50" s="1335">
        <f ca="1">J58</f>
        <v>0.52400000000000002</v>
      </c>
      <c r="R50" s="1325"/>
    </row>
    <row r="51" spans="1:18" s="1290" customFormat="1" ht="13.5" thickBot="1">
      <c r="A51" s="921"/>
      <c r="B51" s="923"/>
      <c r="C51" s="924"/>
      <c r="D51" s="897"/>
      <c r="E51" s="925" t="s">
        <v>698</v>
      </c>
      <c r="F51" s="295">
        <f ca="1">F8</f>
        <v>365</v>
      </c>
      <c r="I51" s="1336" t="s">
        <v>829</v>
      </c>
      <c r="J51" s="1329">
        <f>IF(J49="",J50,J49+J50-YEAR('数据-取费表'!B2))</f>
        <v>57</v>
      </c>
      <c r="K51" s="1337" t="s">
        <v>830</v>
      </c>
      <c r="L51" s="1338">
        <f ca="1">ROUND(-PV(INDIRECT("'数据-取费表'!h"&amp;$G$1),J51,(C39-C13*C76),0),0)</f>
        <v>125851234</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'数据-取费表'!J6</f>
        <v>7.0000000000000007E-2</v>
      </c>
      <c r="K52" s="1340" t="s">
        <v>833</v>
      </c>
      <c r="L52" s="1341"/>
      <c r="O52" s="1332" t="s">
        <v>408</v>
      </c>
      <c r="P52" s="1324" t="s">
        <v>834</v>
      </c>
      <c r="Q52" s="1325">
        <f ca="1">J53</f>
        <v>25.59</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25.59</v>
      </c>
      <c r="K53" s="3369" t="s">
        <v>837</v>
      </c>
      <c r="L53" s="3370"/>
      <c r="O53" s="1323" t="s">
        <v>409</v>
      </c>
      <c r="P53" s="1324" t="s">
        <v>838</v>
      </c>
      <c r="Q53" s="1325">
        <f ca="1">Q47+Q48</f>
        <v>161262064</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0.52400000000000002</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52950127</v>
      </c>
      <c r="D56" s="1350"/>
      <c r="E56" s="1351"/>
      <c r="F56" s="1343"/>
      <c r="I56" s="1352" t="s">
        <v>842</v>
      </c>
      <c r="J56" s="1353" t="s">
        <v>3494</v>
      </c>
      <c r="K56" s="1326" t="s">
        <v>843</v>
      </c>
      <c r="L56" s="1329" t="str">
        <f ca="1">IF(L48&lt;J51,"——",L48-J51)</f>
        <v>——</v>
      </c>
      <c r="O56" s="1323" t="s">
        <v>403</v>
      </c>
      <c r="P56" s="1324" t="s">
        <v>817</v>
      </c>
      <c r="Q56" s="1325">
        <f ca="1">C40+J29</f>
        <v>156091430</v>
      </c>
      <c r="R56" s="1325" t="s">
        <v>818</v>
      </c>
    </row>
    <row r="57" spans="1:18" s="1290" customFormat="1" ht="24.75" thickBot="1">
      <c r="A57" s="1354"/>
      <c r="B57" s="894" t="s">
        <v>767</v>
      </c>
      <c r="C57" s="230">
        <f ca="1">C29</f>
        <v>55736976</v>
      </c>
      <c r="D57" s="1355"/>
      <c r="E57" s="1356"/>
      <c r="F57" s="1357"/>
      <c r="I57" s="1358" t="s">
        <v>844</v>
      </c>
      <c r="J57" s="1359">
        <f ca="1">IF(OR(M47="住宅",J51&lt;L48,J56="是"),"——",J51-L48)</f>
        <v>31.41</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164424</v>
      </c>
      <c r="D58" s="904" t="s">
        <v>715</v>
      </c>
      <c r="E58" s="905"/>
      <c r="F58" s="906"/>
      <c r="I58" s="1358" t="s">
        <v>848</v>
      </c>
      <c r="J58" s="1360">
        <f ca="1">IF(J55&lt;0.4,0.4,J55)</f>
        <v>0.52400000000000002</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29206175</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5170634</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3333</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156091430</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111474</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52950</v>
      </c>
      <c r="D65" s="908" t="s">
        <v>743</v>
      </c>
      <c r="E65" s="894" t="s">
        <v>712</v>
      </c>
      <c r="F65" s="321">
        <f t="shared" ca="1" si="0"/>
        <v>1E-3</v>
      </c>
      <c r="I65" s="1365" t="s">
        <v>867</v>
      </c>
      <c r="J65" s="610">
        <v>40</v>
      </c>
      <c r="K65" s="610">
        <v>30</v>
      </c>
      <c r="L65" s="610">
        <v>50</v>
      </c>
      <c r="M65" s="1367">
        <v>0.02</v>
      </c>
      <c r="O65" s="1323" t="s">
        <v>403</v>
      </c>
      <c r="P65" s="1324" t="s">
        <v>817</v>
      </c>
      <c r="Q65" s="1325">
        <f ca="1">C40+J29</f>
        <v>156091430</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-164424</v>
      </c>
      <c r="D67" s="907" t="s">
        <v>753</v>
      </c>
      <c r="E67" s="912"/>
      <c r="F67" s="913"/>
      <c r="O67" s="1332" t="s">
        <v>405</v>
      </c>
      <c r="P67" s="1324" t="s">
        <v>850</v>
      </c>
      <c r="Q67" s="1368">
        <f ca="1">L51</f>
        <v>125851234</v>
      </c>
      <c r="R67" s="1325" t="s">
        <v>870</v>
      </c>
    </row>
    <row r="68" spans="1:18" s="1290" customFormat="1" ht="16.5" thickBot="1">
      <c r="A68" s="891" t="s">
        <v>395</v>
      </c>
      <c r="B68" s="892" t="s">
        <v>774</v>
      </c>
      <c r="C68" s="293">
        <f ca="1">ROUND(C67*(1-((1+F70)/(1+F68))^F69)/(F68-F70),0)</f>
        <v>-2229950</v>
      </c>
      <c r="D68" s="909" t="s">
        <v>758</v>
      </c>
      <c r="E68" s="894" t="s">
        <v>759</v>
      </c>
      <c r="F68" s="304">
        <f ca="1">F40</f>
        <v>5.5E-2</v>
      </c>
      <c r="O68" s="1332" t="s">
        <v>406</v>
      </c>
      <c r="P68" s="1369" t="s">
        <v>871</v>
      </c>
      <c r="Q68" s="1325">
        <f ca="1">ROUND(Q69-Q70*Q71,0)</f>
        <v>7265266</v>
      </c>
      <c r="R68" s="1325" t="s">
        <v>414</v>
      </c>
    </row>
    <row r="69" spans="1:18" s="1290" customFormat="1" ht="13.5" thickBot="1">
      <c r="A69" s="895"/>
      <c r="B69" s="896"/>
      <c r="C69" s="298"/>
      <c r="D69" s="914" t="s">
        <v>762</v>
      </c>
      <c r="E69" s="894" t="s">
        <v>763</v>
      </c>
      <c r="F69" s="324">
        <f ca="1">F41</f>
        <v>25.59</v>
      </c>
      <c r="O69" s="1332" t="s">
        <v>411</v>
      </c>
      <c r="P69" s="1369" t="s">
        <v>872</v>
      </c>
      <c r="Q69" s="1325">
        <f ca="1">C39</f>
        <v>10971775</v>
      </c>
      <c r="R69" s="1325" t="s">
        <v>818</v>
      </c>
    </row>
    <row r="70" spans="1:18" s="1290" customFormat="1" ht="13.5" thickBot="1">
      <c r="A70" s="898"/>
      <c r="B70" s="899"/>
      <c r="C70" s="302"/>
      <c r="D70" s="910"/>
      <c r="E70" s="894" t="s">
        <v>766</v>
      </c>
      <c r="F70" s="989"/>
      <c r="O70" s="1332" t="s">
        <v>412</v>
      </c>
      <c r="P70" s="1369" t="s">
        <v>873</v>
      </c>
      <c r="Q70" s="1325">
        <f ca="1">C13</f>
        <v>52950127</v>
      </c>
      <c r="R70" s="1325" t="s">
        <v>818</v>
      </c>
    </row>
    <row r="71" spans="1:18" s="1290" customFormat="1" ht="13.5" thickBot="1">
      <c r="A71" s="915" t="s">
        <v>396</v>
      </c>
      <c r="B71" s="916" t="s">
        <v>776</v>
      </c>
      <c r="C71" s="327">
        <f ca="1">ROUND(C68/F71,0)</f>
        <v>-200</v>
      </c>
      <c r="D71" s="917" t="s">
        <v>777</v>
      </c>
      <c r="E71" s="918" t="s">
        <v>778</v>
      </c>
      <c r="F71" s="330">
        <f ca="1">F43</f>
        <v>11124.33</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3706509</v>
      </c>
      <c r="D75" s="1290"/>
      <c r="E75" s="1290"/>
      <c r="F75" s="1290"/>
      <c r="K75" s="1307"/>
      <c r="L75" s="1290"/>
      <c r="O75" s="1323" t="s">
        <v>409</v>
      </c>
      <c r="P75" s="1324" t="s">
        <v>838</v>
      </c>
      <c r="Q75" s="1325">
        <f ca="1">Q65+Q66</f>
        <v>156091430</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0.66199999999999992</v>
      </c>
    </row>
    <row r="80" spans="1:18">
      <c r="B80" s="331" t="s">
        <v>800</v>
      </c>
      <c r="C80" s="266">
        <f ca="1">ROUND(C75/C39,3)</f>
        <v>0.33800000000000002</v>
      </c>
    </row>
    <row r="81" spans="2:3">
      <c r="B81" s="262" t="s">
        <v>801</v>
      </c>
      <c r="C81" s="230"/>
    </row>
    <row r="82" spans="2:3">
      <c r="B82" s="265" t="s">
        <v>802</v>
      </c>
      <c r="C82" s="267">
        <f ca="1">1-C83</f>
        <v>0.66100000000000003</v>
      </c>
    </row>
    <row r="83" spans="2:3">
      <c r="B83" s="265" t="s">
        <v>803</v>
      </c>
      <c r="C83" s="266">
        <f ca="1">ROUND(C13/C40,3)</f>
        <v>0.33900000000000002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7" priority="3">
      <formula>$F$10="自定义"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J11">
    <cfRule type="expression" dxfId="164" priority="2">
      <formula>$M$10="自定义"</formula>
    </cfRule>
  </conditionalFormatting>
  <conditionalFormatting sqref="K55 K60">
    <cfRule type="expression" dxfId="163" priority="4">
      <formula>$L$48&gt;$J$51</formula>
    </cfRule>
  </conditionalFormatting>
  <dataValidations count="9">
    <dataValidation type="list" allowBlank="1" showInputMessage="1" showErrorMessage="1" sqref="D1" xr:uid="{10F55716-4B52-46BA-87D7-2460FE138EAA}">
      <formula1>"在建（套用方法）,土地（套用方法）,——"</formula1>
    </dataValidation>
    <dataValidation type="list" allowBlank="1" showInputMessage="1" showErrorMessage="1" sqref="F10 F53 M10" xr:uid="{86940A11-503E-4FF7-A546-271E9EF15FC0}">
      <formula1>"押一,押二,押三,自定义"</formula1>
    </dataValidation>
    <dataValidation type="list" allowBlank="1" showInputMessage="1" showErrorMessage="1" sqref="K19" xr:uid="{8BC106C1-070F-43FC-9A3A-F6193BDC7187}">
      <formula1>"按租金收入计税,按房产原值计税"</formula1>
    </dataValidation>
    <dataValidation type="list" allowBlank="1" showInputMessage="1" showErrorMessage="1" sqref="D33 D61" xr:uid="{B3D580B1-FB08-4C38-8406-9D48BD447920}">
      <formula1>"按租金收入计税,按房产原值计税,按票据"</formula1>
    </dataValidation>
    <dataValidation type="list" allowBlank="1" showInputMessage="1" showErrorMessage="1" sqref="C1" xr:uid="{17A20CE9-AB4C-406B-893B-2EB8849C9E82}">
      <formula1>项目类型</formula1>
    </dataValidation>
    <dataValidation type="list" allowBlank="1" showInputMessage="1" showErrorMessage="1" sqref="J47" xr:uid="{5B8BC3B1-2DD7-4059-9E87-A7343592F9C8}">
      <formula1>"钢,钢混,砖混"</formula1>
    </dataValidation>
    <dataValidation type="list" allowBlank="1" showInputMessage="1" showErrorMessage="1" sqref="J48" xr:uid="{8A2274DA-CDB9-475C-89C4-3AC3A3BE5155}">
      <formula1>"非生产用房,生产用房,受腐蚀的生产用房"</formula1>
    </dataValidation>
    <dataValidation type="list" allowBlank="1" showInputMessage="1" showErrorMessage="1" sqref="J56" xr:uid="{E3BDCC42-8EBA-473C-AF45-326E7EC73A65}">
      <formula1>估价范围判定</formula1>
    </dataValidation>
    <dataValidation type="list" allowBlank="1" showInputMessage="1" showErrorMessage="1" sqref="L55" xr:uid="{16C063B9-1FA4-4891-B332-577DE75464EB}">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CD1BB-5519-4DA0-834D-97ED1247FA4E}">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3473</v>
      </c>
      <c r="C1" s="1715" t="s">
        <v>1563</v>
      </c>
      <c r="D1" s="190"/>
      <c r="E1" s="190"/>
      <c r="F1" s="190"/>
      <c r="G1" s="1060">
        <f>MATCH(B1,'数据-取费表'!A6:A16,0)+5</f>
        <v>11</v>
      </c>
      <c r="H1" s="996" t="str">
        <f>IF(ISERROR(FIND("住宅",B1)),"非住宅","住宅")</f>
        <v>非住宅</v>
      </c>
    </row>
    <row r="2" spans="1:8" s="192" customFormat="1" ht="18" customHeight="1">
      <c r="A2" s="193" t="s">
        <v>685</v>
      </c>
      <c r="B2" s="3120">
        <f ca="1">ROUND(IF(D2="——",C52/10000,C52/10000-E2),4)</f>
        <v>4728.4687000000004</v>
      </c>
      <c r="C2" s="191" t="s">
        <v>1463</v>
      </c>
      <c r="D2" s="1709" t="s">
        <v>43</v>
      </c>
      <c r="E2" s="1087" t="e">
        <f ca="1">SUMIF(INDIRECT("'"&amp;G2&amp;"'"&amp;"!A:A"),"承租人权益价值",INDIRECT("'"&amp;G2&amp;"'"&amp;"!c:c"))</f>
        <v>#REF!</v>
      </c>
      <c r="F2" s="1710" t="s">
        <v>1463</v>
      </c>
      <c r="G2" s="1711"/>
    </row>
    <row r="3" spans="1:8" s="192" customFormat="1" ht="18" customHeight="1" thickBot="1">
      <c r="A3" s="195" t="s">
        <v>686</v>
      </c>
      <c r="B3" s="196">
        <f ca="1">ROUND(B2*10000/(IF(B1="",'数据-汇总表'!E3,INDIRECT("'数据-取费表'!k"&amp;$G$1))),0)</f>
        <v>8328</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14312077</v>
      </c>
      <c r="D5" s="203" t="s">
        <v>1469</v>
      </c>
      <c r="E5" s="204" t="s">
        <v>1470</v>
      </c>
      <c r="F5" s="204" t="s">
        <v>1471</v>
      </c>
      <c r="G5" s="205"/>
    </row>
    <row r="6" spans="1:8" s="206" customFormat="1" ht="13.5" customHeight="1">
      <c r="A6" s="730" t="s">
        <v>346</v>
      </c>
      <c r="B6" s="207" t="s">
        <v>1473</v>
      </c>
      <c r="C6" s="208">
        <f>'基准地价修正-商业'!I37</f>
        <v>12786518</v>
      </c>
      <c r="D6" s="209"/>
      <c r="E6" s="210"/>
      <c r="F6" s="210"/>
      <c r="G6" s="211"/>
    </row>
    <row r="7" spans="1:8" s="206" customFormat="1" ht="13.5" customHeight="1">
      <c r="A7" s="730" t="s">
        <v>347</v>
      </c>
      <c r="B7" s="207" t="s">
        <v>1475</v>
      </c>
      <c r="C7" s="212">
        <f>ROUND(C6*F7,0)</f>
        <v>389989</v>
      </c>
      <c r="D7" s="212"/>
      <c r="E7" s="210"/>
      <c r="F7" s="213">
        <f>IF(项目基本情况!B8="出让",0,'数据-取费表'!B48+'数据-取费表'!B49)</f>
        <v>3.0499999999999999E-2</v>
      </c>
      <c r="G7" s="211"/>
    </row>
    <row r="8" spans="1:8" s="215" customFormat="1">
      <c r="A8" s="730" t="s">
        <v>348</v>
      </c>
      <c r="B8" s="207" t="s">
        <v>1477</v>
      </c>
      <c r="C8" s="212">
        <f ca="1">IF(G8="已包含在土地购买价格中",0,C9+C10)</f>
        <v>1135570</v>
      </c>
      <c r="D8" s="214"/>
      <c r="E8" s="212"/>
      <c r="F8" s="213"/>
      <c r="G8" s="1712" t="s">
        <v>3470</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1135570</v>
      </c>
      <c r="D10" s="793">
        <f ca="1">IF(B1="",'数据-汇总表'!E6,IF(INDIRECT("'数据-取费表'!c"&amp;$G$1)="住宅",INDIRECT("'数据-取费表'!s"&amp;$G$1),INDIRECT("'数据-取费表'!k"&amp;$G$1)+INDIRECT("'数据-取费表'!s"&amp;$G$1)))</f>
        <v>5677.85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5677.85</v>
      </c>
      <c r="E19" s="203">
        <f>'数据-取费表'!B31</f>
        <v>200</v>
      </c>
      <c r="F19" s="223"/>
      <c r="G19" s="1712" t="s">
        <v>3471</v>
      </c>
    </row>
    <row r="20" spans="1:7" s="206" customFormat="1" ht="13.5" customHeight="1">
      <c r="A20" s="247" t="s">
        <v>1493</v>
      </c>
      <c r="B20" s="202" t="s">
        <v>1494</v>
      </c>
      <c r="C20" s="224">
        <f ca="1">ROUND((C5+C19)*F20,0)</f>
        <v>286242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1340093</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230">
        <f ca="1">ROUND(IF('数据-取费表'!B22&lt;=1,C5*F22*'数据-取费表'!B22,C5*(POWER((1+F22),'数据-取费表'!B22)-1)),0)</f>
        <v>1327116</v>
      </c>
      <c r="D23" s="230"/>
      <c r="E23" s="230"/>
      <c r="F23" s="231"/>
      <c r="G23" s="232" t="s">
        <v>1504</v>
      </c>
    </row>
    <row r="24" spans="1:7" s="206" customFormat="1" ht="13.5" customHeight="1">
      <c r="A24" s="732"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2" t="s">
        <v>348</v>
      </c>
      <c r="B25" s="207" t="s">
        <v>1509</v>
      </c>
      <c r="C25" s="230">
        <f ca="1">ROUND(IF('数据-取费表'!B22&lt;=1,C20*F22*'数据-取费表'!B22/2,C20*(POWER((1+F22),'数据-取费表'!B22/2)-1)),0)</f>
        <v>12977</v>
      </c>
      <c r="D25" s="230"/>
      <c r="E25" s="233"/>
      <c r="F25" s="231"/>
      <c r="G25" s="234" t="s">
        <v>1510</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1459832</v>
      </c>
      <c r="D27" s="227">
        <f ca="1">C29</f>
        <v>2E-3</v>
      </c>
      <c r="E27" s="228" t="s">
        <v>1498</v>
      </c>
      <c r="F27" s="238">
        <f ca="1">IF(B1="",'数据-取费表'!Q16,INDIRECT("'数据-取费表'!q"&amp;$G$1))</f>
        <v>0.1</v>
      </c>
      <c r="G27" s="239" t="s">
        <v>1515</v>
      </c>
    </row>
    <row r="28" spans="1:7" s="206" customFormat="1" ht="13.5" customHeight="1">
      <c r="A28" s="732" t="s">
        <v>346</v>
      </c>
      <c r="B28" s="240" t="s">
        <v>1516</v>
      </c>
      <c r="C28" s="241">
        <f ca="1">ROUND((C5+C19+C20)*F27,0)</f>
        <v>1459832</v>
      </c>
      <c r="D28" s="227"/>
      <c r="E28" s="228"/>
      <c r="F28" s="238"/>
      <c r="G28" s="239"/>
    </row>
    <row r="29" spans="1:7" s="206" customFormat="1" ht="13.5" customHeight="1">
      <c r="A29" s="732"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18833345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23682312</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21575830</v>
      </c>
      <c r="D34" s="209"/>
      <c r="E34" s="212"/>
      <c r="F34" s="249"/>
      <c r="G34" s="211"/>
    </row>
    <row r="35" spans="1:7" ht="13.5" customHeight="1">
      <c r="A35" s="732" t="s">
        <v>351</v>
      </c>
      <c r="B35" s="207" t="s">
        <v>1527</v>
      </c>
      <c r="C35" s="212">
        <f ca="1">ROUND(C34*F35,0)</f>
        <v>647275</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1135570</v>
      </c>
      <c r="D37" s="209">
        <f ca="1">D19</f>
        <v>5677.85</v>
      </c>
      <c r="E37" s="241">
        <f>'数据-取费表'!B35</f>
        <v>200</v>
      </c>
      <c r="F37" s="251"/>
      <c r="G37" s="253"/>
    </row>
    <row r="38" spans="1:7" ht="13.5" customHeight="1">
      <c r="A38" s="732" t="s">
        <v>354</v>
      </c>
      <c r="B38" s="207" t="s">
        <v>1533</v>
      </c>
      <c r="C38" s="212">
        <f ca="1">ROUND(C34*F38,0)</f>
        <v>323637</v>
      </c>
      <c r="D38" s="212"/>
      <c r="E38" s="212"/>
      <c r="F38" s="251">
        <f>'数据-取费表'!B36</f>
        <v>1.4999999999999999E-2</v>
      </c>
      <c r="G38" s="211" t="s">
        <v>1528</v>
      </c>
    </row>
    <row r="39" spans="1:7" s="206" customFormat="1" ht="13.5" customHeight="1">
      <c r="A39" s="247" t="s">
        <v>1491</v>
      </c>
      <c r="B39" s="202" t="s">
        <v>1494</v>
      </c>
      <c r="C39" s="224">
        <f ca="1">ROUND(C33*F20,0)</f>
        <v>473646</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1095130</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ROUND(IF('数据-取费表'!B22&lt;=1,C33*F22*'数据-取费表'!B20/2,C33*(POWER((1+F22),'数据-取费表'!B20/2)-1)),0)</f>
        <v>1073657</v>
      </c>
      <c r="D42" s="230"/>
      <c r="E42" s="230"/>
      <c r="F42" s="231"/>
      <c r="G42" s="3363" t="s">
        <v>1591</v>
      </c>
    </row>
    <row r="43" spans="1:7" ht="13.5" customHeight="1">
      <c r="A43" s="732" t="s">
        <v>347</v>
      </c>
      <c r="B43" s="207" t="s">
        <v>1506</v>
      </c>
      <c r="C43" s="230">
        <f ca="1">ROUND(IF('数据-取费表'!B22&lt;=1,C39*F22*'数据-取费表'!B20/2,C39*(POWER((1+F22),'数据-取费表'!B20/2)-1)),0)</f>
        <v>21473</v>
      </c>
      <c r="D43" s="230"/>
      <c r="E43" s="230"/>
      <c r="F43" s="231"/>
      <c r="G43" s="3364"/>
    </row>
    <row r="44" spans="1:7" ht="13.5" customHeight="1">
      <c r="A44" s="732" t="s">
        <v>348</v>
      </c>
      <c r="B44" s="207" t="s">
        <v>1509</v>
      </c>
      <c r="C44" s="230">
        <f ca="1">ROUND(IF('数据-取费表'!B22&lt;=1,C40*F22*'数据-取费表'!B20/2,C40*(POWER((1+F22),'数据-取费表'!B20/2)-1)),4)</f>
        <v>8.9999999999999998E-4</v>
      </c>
      <c r="D44" s="230"/>
      <c r="E44" s="230"/>
      <c r="F44" s="231"/>
      <c r="G44" s="3365"/>
    </row>
    <row r="45" spans="1:7" s="206" customFormat="1" ht="13.5" customHeight="1">
      <c r="A45" s="247" t="s">
        <v>1500</v>
      </c>
      <c r="B45" s="236" t="s">
        <v>1513</v>
      </c>
      <c r="C45" s="237">
        <f ca="1">C46</f>
        <v>2415596</v>
      </c>
      <c r="D45" s="227">
        <f ca="1">C47</f>
        <v>2E-3</v>
      </c>
      <c r="E45" s="228" t="s">
        <v>1539</v>
      </c>
      <c r="F45" s="238">
        <f ca="1">F27</f>
        <v>0.1</v>
      </c>
      <c r="G45" s="239" t="s">
        <v>1548</v>
      </c>
    </row>
    <row r="46" spans="1:7" s="206" customFormat="1" ht="13.5" customHeight="1">
      <c r="A46" s="732" t="s">
        <v>346</v>
      </c>
      <c r="B46" s="240" t="s">
        <v>1549</v>
      </c>
      <c r="C46" s="241">
        <f ca="1">ROUND((C33+C39)*F27,0)</f>
        <v>2415596</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29948781</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28451342</v>
      </c>
      <c r="D51" s="224"/>
      <c r="E51" s="224"/>
      <c r="F51" s="256"/>
      <c r="G51" s="226" t="s">
        <v>1560</v>
      </c>
    </row>
    <row r="52" spans="1:7" s="200" customFormat="1" ht="16.5" thickBot="1">
      <c r="A52" s="257" t="s">
        <v>1561</v>
      </c>
      <c r="B52" s="258"/>
      <c r="C52" s="259">
        <f ca="1">C31+C51</f>
        <v>47284687</v>
      </c>
      <c r="D52" s="258"/>
      <c r="E52" s="258"/>
      <c r="F52" s="258"/>
      <c r="G52" s="260"/>
    </row>
    <row r="55" spans="1:7" ht="15">
      <c r="B55" s="262" t="s">
        <v>1562</v>
      </c>
      <c r="C55" s="263"/>
    </row>
    <row r="56" spans="1:7">
      <c r="B56" s="265" t="s">
        <v>802</v>
      </c>
      <c r="C56" s="267">
        <f ca="1">1-C57</f>
        <v>0.39800000000000002</v>
      </c>
    </row>
    <row r="57" spans="1:7">
      <c r="B57" s="265" t="s">
        <v>803</v>
      </c>
      <c r="C57" s="266">
        <f ca="1">ROUND(C51/C52,3)</f>
        <v>0.60199999999999998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CEE4C1A2-0A5E-4B04-939E-595DA36915AE}">
      <formula1>"需扣减承租人权益,——"</formula1>
    </dataValidation>
    <dataValidation type="list" allowBlank="1" showInputMessage="1" showErrorMessage="1" sqref="G2" xr:uid="{93DDF2A9-3A22-4713-A0C6-FA367F45A658}">
      <formula1>估价方法</formula1>
    </dataValidation>
    <dataValidation type="list" allowBlank="1" showInputMessage="1" showErrorMessage="1" sqref="B1" xr:uid="{12928049-92D3-45AB-BB2E-B6567F93FF45}">
      <formula1>项目类型</formula1>
    </dataValidation>
    <dataValidation type="list" allowBlank="1" showInputMessage="1" showErrorMessage="1" sqref="G19" xr:uid="{49B9028F-2653-4F38-A359-3A262C6D391B}">
      <formula1>"已包含在土地取得成本中,未包含在土地取得成本中"</formula1>
    </dataValidation>
    <dataValidation type="list" allowBlank="1" showInputMessage="1" showErrorMessage="1" sqref="G8" xr:uid="{5BDB84AD-69A5-4796-A9B9-C9698BB38E14}">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62E07-4DEB-4E42-BD4A-743BD640584B}">
  <sheetPr>
    <tabColor rgb="FF92D050"/>
  </sheetPr>
  <dimension ref="A1:AK83"/>
  <sheetViews>
    <sheetView view="pageBreakPreview" zoomScale="85" zoomScaleNormal="70" zoomScaleSheetLayoutView="85"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3473</v>
      </c>
      <c r="D1" s="1269" t="s">
        <v>43</v>
      </c>
      <c r="E1" s="1270" t="s">
        <v>678</v>
      </c>
      <c r="F1" s="997">
        <f ca="1">J53</f>
        <v>25.59</v>
      </c>
      <c r="G1" s="1284">
        <f>MATCH(C1,'数据-取费表'!A6:A16,0)+5</f>
        <v>11</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4747.3608000000004</v>
      </c>
      <c r="C2" s="1287" t="s">
        <v>805</v>
      </c>
      <c r="D2" s="1373">
        <f ca="1">C40+J29+L46</f>
        <v>47473608</v>
      </c>
      <c r="E2" s="1293" t="s">
        <v>880</v>
      </c>
      <c r="F2" s="1294"/>
      <c r="G2" s="2476"/>
      <c r="H2" s="2466"/>
      <c r="I2" s="2466"/>
      <c r="J2" s="2466"/>
      <c r="K2" s="2467"/>
      <c r="L2" s="2466"/>
      <c r="M2" s="2466"/>
    </row>
    <row r="3" spans="1:37" ht="18" customHeight="1" thickBot="1">
      <c r="A3" s="1295" t="s">
        <v>806</v>
      </c>
      <c r="B3" s="1296">
        <f ca="1">IF(ISERROR(D2/F43),0,ROUND(D2/F43,0))</f>
        <v>8361</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3735010</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3730347</v>
      </c>
      <c r="D6" s="147" t="s">
        <v>2106</v>
      </c>
      <c r="E6" s="294" t="s">
        <v>696</v>
      </c>
      <c r="F6" s="295">
        <f ca="1">INDIRECT("'数据-取费表'!u"&amp;$G$1)</f>
        <v>2</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5677.85</v>
      </c>
      <c r="G7" s="1290"/>
      <c r="H7" s="296"/>
      <c r="I7" s="3367"/>
      <c r="J7" s="298"/>
      <c r="K7" s="299"/>
      <c r="L7" s="294" t="s">
        <v>697</v>
      </c>
      <c r="M7" s="295">
        <f ca="1">F7</f>
        <v>5677.85</v>
      </c>
    </row>
    <row r="8" spans="1:37" ht="18" customHeight="1">
      <c r="A8" s="296"/>
      <c r="B8" s="3367"/>
      <c r="C8" s="298"/>
      <c r="D8" s="299"/>
      <c r="E8" s="294" t="s">
        <v>698</v>
      </c>
      <c r="F8" s="295">
        <f ca="1">INDIRECT("'数据-取费表'!ai"&amp;$G$1)</f>
        <v>365</v>
      </c>
      <c r="G8" s="1290"/>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4663</v>
      </c>
      <c r="D10" s="150" t="s">
        <v>2116</v>
      </c>
      <c r="E10" s="305" t="s">
        <v>701</v>
      </c>
      <c r="F10" s="1051" t="s">
        <v>3491</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28451342</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21575830</v>
      </c>
      <c r="D14" s="1255" t="s">
        <v>708</v>
      </c>
      <c r="E14" s="1253"/>
      <c r="F14" s="311"/>
      <c r="G14" s="1290"/>
      <c r="H14" s="926" t="s">
        <v>398</v>
      </c>
      <c r="I14" s="294" t="s">
        <v>709</v>
      </c>
      <c r="J14" s="21">
        <f ca="1">C29</f>
        <v>29948781</v>
      </c>
      <c r="K14" s="12"/>
      <c r="L14" s="757"/>
      <c r="M14" s="758"/>
    </row>
    <row r="15" spans="1:37" s="1302" customFormat="1" ht="18" customHeight="1" thickBot="1">
      <c r="A15" s="926" t="s">
        <v>399</v>
      </c>
      <c r="B15" s="294" t="s">
        <v>710</v>
      </c>
      <c r="C15" s="21">
        <f ca="1">ROUND(C14*F15,0)</f>
        <v>647275</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59898</v>
      </c>
      <c r="K16" s="1022" t="s">
        <v>715</v>
      </c>
      <c r="L16" s="1023"/>
      <c r="M16" s="1007"/>
    </row>
    <row r="17" spans="1:37" s="1302" customFormat="1" ht="18" customHeight="1">
      <c r="A17" s="926" t="s">
        <v>681</v>
      </c>
      <c r="B17" s="294" t="s">
        <v>716</v>
      </c>
      <c r="C17" s="21">
        <f ca="1">ROUND(F17*(F43+INDIRECT("'数据-取费表'!S"&amp;$G$1)),0)</f>
        <v>1135570</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323637</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23682312</v>
      </c>
      <c r="D19" s="123" t="s">
        <v>726</v>
      </c>
      <c r="E19" s="1267"/>
      <c r="F19" s="23"/>
      <c r="G19" s="1290"/>
      <c r="H19" s="926" t="s">
        <v>399</v>
      </c>
      <c r="I19" s="294" t="s">
        <v>727</v>
      </c>
      <c r="J19" s="21">
        <f ca="1">IF(K19="按租金收入计税",ROUND(J6*M19/(1+'数据-取费表'!C42),0),ROUND(C29*M19*0.7,0))</f>
        <v>0</v>
      </c>
      <c r="K19" s="1276" t="s">
        <v>3333</v>
      </c>
      <c r="L19" s="294" t="s">
        <v>712</v>
      </c>
      <c r="M19" s="314">
        <f>IF(K19="按租金收入计税",'数据-取费表'!B51,'数据-取费表'!B50)</f>
        <v>0.12</v>
      </c>
    </row>
    <row r="20" spans="1:37" s="1302" customFormat="1" ht="18" customHeight="1">
      <c r="A20" s="926" t="s">
        <v>402</v>
      </c>
      <c r="B20" s="294" t="s">
        <v>728</v>
      </c>
      <c r="C20" s="21">
        <f ca="1">ROUND(C19*F20,0)</f>
        <v>473646</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59898</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1095130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-59898</v>
      </c>
      <c r="K25" s="1030" t="s">
        <v>753</v>
      </c>
      <c r="L25" s="1031"/>
      <c r="M25" s="1032"/>
    </row>
    <row r="26" spans="1:37" ht="18" customHeight="1">
      <c r="A26" s="926" t="s">
        <v>397</v>
      </c>
      <c r="B26" s="294" t="s">
        <v>754</v>
      </c>
      <c r="C26" s="21">
        <f ca="1">ROUND((C19+C20)*F26,0)</f>
        <v>2415596</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0.05</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29948781</v>
      </c>
      <c r="D29" s="1027"/>
      <c r="E29" s="1025"/>
      <c r="F29" s="1028"/>
      <c r="G29" s="1301"/>
      <c r="H29" s="325" t="s">
        <v>396</v>
      </c>
      <c r="I29" s="326" t="s">
        <v>768</v>
      </c>
      <c r="J29" s="327">
        <f ca="1">ROUND(J26/(1+F40)^F41,0)</f>
        <v>0</v>
      </c>
      <c r="K29" s="328" t="s">
        <v>769</v>
      </c>
      <c r="L29" s="329"/>
      <c r="M29" s="330">
        <f ca="1">INDIRECT("'数据-取费表'!k"&amp;$G$1)</f>
        <v>5677.85</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750976</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625277</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198952</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426325</v>
      </c>
      <c r="D33" s="1276" t="s">
        <v>3333</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59898</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28451</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37350</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2984034</v>
      </c>
      <c r="D39" s="1030" t="s">
        <v>753</v>
      </c>
      <c r="E39" s="1031"/>
      <c r="F39" s="1032"/>
      <c r="G39" s="1290"/>
      <c r="H39" s="2471"/>
      <c r="I39" s="1303"/>
      <c r="J39" s="1304"/>
      <c r="K39" s="2469"/>
      <c r="L39" s="2471"/>
      <c r="M39" s="2471"/>
    </row>
    <row r="40" spans="1:18" ht="18" customHeight="1">
      <c r="A40" s="291" t="s">
        <v>395</v>
      </c>
      <c r="B40" s="292" t="s">
        <v>774</v>
      </c>
      <c r="C40" s="293">
        <f ca="1">ROUND(C39*(1-((1+F42)/(1+F40))^F41)/(F40-F42),0)</f>
        <v>44695305</v>
      </c>
      <c r="D40" s="316" t="s">
        <v>758</v>
      </c>
      <c r="E40" s="294" t="s">
        <v>759</v>
      </c>
      <c r="F40" s="304">
        <f ca="1">INDIRECT("'数据-取费表'!I"&amp;$G$1)</f>
        <v>0.05</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25.59</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7872</v>
      </c>
      <c r="D43" s="328" t="s">
        <v>777</v>
      </c>
      <c r="E43" s="329" t="s">
        <v>778</v>
      </c>
      <c r="F43" s="330">
        <f ca="1">INDIRECT("'数据-取费表'!k"&amp;$G$1)</f>
        <v>5677.85</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3349</v>
      </c>
      <c r="B45" s="1305"/>
      <c r="C45" s="1374">
        <f ca="1">ROUND((C68-C40)/10000,4)</f>
        <v>-4595.5297</v>
      </c>
      <c r="D45" s="3128" t="s">
        <v>3350</v>
      </c>
      <c r="E45" s="1305"/>
      <c r="F45" s="1305"/>
      <c r="O45" s="1308" t="s">
        <v>808</v>
      </c>
      <c r="P45" s="1364"/>
      <c r="Q45" s="1364"/>
      <c r="R45" s="1364"/>
    </row>
    <row r="46" spans="1:18" s="1290" customFormat="1" ht="13.5" thickBot="1">
      <c r="A46" s="1309" t="s">
        <v>809</v>
      </c>
      <c r="C46" s="1310">
        <f ca="1">ROUND(C45,0)</f>
        <v>-4596</v>
      </c>
      <c r="D46" s="1311" t="str">
        <f>C2</f>
        <v>万元</v>
      </c>
      <c r="I46" s="1312" t="s">
        <v>810</v>
      </c>
      <c r="J46" s="1313"/>
      <c r="K46" s="1314"/>
      <c r="L46" s="1315">
        <f ca="1">IF(M47="住宅",0,IF(L48&gt;J51,L60,J60))</f>
        <v>2778303</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3492</v>
      </c>
      <c r="K47" s="1321" t="s">
        <v>816</v>
      </c>
      <c r="L47" s="1322">
        <f ca="1">INDIRECT("'数据-取费表'!d"&amp;$G$1)</f>
        <v>40</v>
      </c>
      <c r="M47" s="1286" t="str">
        <f>IF(ISNUMBER(FIND("住宅",C1)),"住宅","非住宅")</f>
        <v>非住宅</v>
      </c>
      <c r="O47" s="1323" t="s">
        <v>403</v>
      </c>
      <c r="P47" s="1324" t="s">
        <v>817</v>
      </c>
      <c r="Q47" s="1325">
        <f ca="1">C40+J29</f>
        <v>44695305</v>
      </c>
      <c r="R47" s="1325" t="s">
        <v>818</v>
      </c>
    </row>
    <row r="48" spans="1:18" s="1290" customFormat="1" ht="28.5" thickBot="1">
      <c r="A48" s="1045" t="s">
        <v>438</v>
      </c>
      <c r="B48" s="292" t="s">
        <v>692</v>
      </c>
      <c r="C48" s="1266">
        <f ca="1">C49+C53+C55</f>
        <v>0</v>
      </c>
      <c r="D48" s="1047"/>
      <c r="E48" s="1048"/>
      <c r="F48" s="906"/>
      <c r="G48" s="681"/>
      <c r="H48" s="682"/>
      <c r="I48" s="1326" t="s">
        <v>819</v>
      </c>
      <c r="J48" s="1327" t="s">
        <v>3493</v>
      </c>
      <c r="K48" s="1328" t="s">
        <v>820</v>
      </c>
      <c r="L48" s="1329">
        <f ca="1">INDIRECT("'数据-取费表'!f"&amp;$G$1)</f>
        <v>25.59</v>
      </c>
      <c r="O48" s="1323" t="s">
        <v>404</v>
      </c>
      <c r="P48" s="1324" t="s">
        <v>821</v>
      </c>
      <c r="Q48" s="1325">
        <f ca="1">J60</f>
        <v>2778303</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29948781</v>
      </c>
      <c r="R49" s="1325" t="s">
        <v>818</v>
      </c>
    </row>
    <row r="50" spans="1:18" s="1290" customFormat="1" ht="13.5" thickBot="1">
      <c r="A50" s="920"/>
      <c r="B50" s="923"/>
      <c r="C50" s="924"/>
      <c r="D50" s="897"/>
      <c r="E50" s="991" t="s">
        <v>697</v>
      </c>
      <c r="F50" s="992">
        <f ca="1">F7</f>
        <v>5677.85</v>
      </c>
      <c r="H50" s="682"/>
      <c r="I50" s="1326" t="s">
        <v>826</v>
      </c>
      <c r="J50" s="1333">
        <f>SUMPRODUCT((I63:I65=J47)*(J62:L62=J48)*(J63:L65))</f>
        <v>60</v>
      </c>
      <c r="K50" s="1328" t="s">
        <v>827</v>
      </c>
      <c r="L50" s="1331"/>
      <c r="M50" s="1334"/>
      <c r="O50" s="1332" t="s">
        <v>406</v>
      </c>
      <c r="P50" s="1324" t="s">
        <v>828</v>
      </c>
      <c r="Q50" s="1335">
        <f ca="1">J58</f>
        <v>0.52400000000000002</v>
      </c>
      <c r="R50" s="1325"/>
    </row>
    <row r="51" spans="1:18" s="1290" customFormat="1" ht="13.5" thickBot="1">
      <c r="A51" s="921"/>
      <c r="B51" s="923"/>
      <c r="C51" s="924"/>
      <c r="D51" s="897"/>
      <c r="E51" s="925" t="s">
        <v>698</v>
      </c>
      <c r="F51" s="295">
        <f ca="1">F8</f>
        <v>365</v>
      </c>
      <c r="I51" s="1336" t="s">
        <v>829</v>
      </c>
      <c r="J51" s="1329">
        <f>IF(J49="",J50,J49+J50-YEAR('数据-取费表'!B2))</f>
        <v>57</v>
      </c>
      <c r="K51" s="1337" t="s">
        <v>830</v>
      </c>
      <c r="L51" s="1338">
        <f ca="1">ROUND(-PV(INDIRECT("'数据-取费表'!h"&amp;$G$1),J51,(C39-C13*C76),0),0)</f>
        <v>18618690</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'数据-取费表'!J11</f>
        <v>7.0000000000000007E-2</v>
      </c>
      <c r="K52" s="1340" t="s">
        <v>833</v>
      </c>
      <c r="L52" s="1341"/>
      <c r="O52" s="1332" t="s">
        <v>408</v>
      </c>
      <c r="P52" s="1324" t="s">
        <v>834</v>
      </c>
      <c r="Q52" s="1325">
        <f ca="1">J53</f>
        <v>25.59</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25.59</v>
      </c>
      <c r="K53" s="3369" t="s">
        <v>837</v>
      </c>
      <c r="L53" s="3370"/>
      <c r="O53" s="1323" t="s">
        <v>409</v>
      </c>
      <c r="P53" s="1324" t="s">
        <v>838</v>
      </c>
      <c r="Q53" s="1325">
        <f ca="1">Q47+Q48</f>
        <v>47473608</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0.52400000000000002</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28451342</v>
      </c>
      <c r="D56" s="1350"/>
      <c r="E56" s="1351"/>
      <c r="F56" s="1343"/>
      <c r="I56" s="1352" t="s">
        <v>842</v>
      </c>
      <c r="J56" s="1353" t="s">
        <v>3494</v>
      </c>
      <c r="K56" s="1326" t="s">
        <v>843</v>
      </c>
      <c r="L56" s="1329" t="str">
        <f ca="1">IF(L48&lt;J51,"——",L48-J51)</f>
        <v>——</v>
      </c>
      <c r="O56" s="1323" t="s">
        <v>403</v>
      </c>
      <c r="P56" s="1324" t="s">
        <v>817</v>
      </c>
      <c r="Q56" s="1325">
        <f ca="1">C40+J29</f>
        <v>44695305</v>
      </c>
      <c r="R56" s="1325" t="s">
        <v>818</v>
      </c>
    </row>
    <row r="57" spans="1:18" s="1290" customFormat="1" ht="24.75" thickBot="1">
      <c r="A57" s="1354"/>
      <c r="B57" s="894" t="s">
        <v>767</v>
      </c>
      <c r="C57" s="230">
        <f ca="1">C29</f>
        <v>29948781</v>
      </c>
      <c r="D57" s="1355"/>
      <c r="E57" s="1356"/>
      <c r="F57" s="1357"/>
      <c r="I57" s="1358" t="s">
        <v>844</v>
      </c>
      <c r="J57" s="1359">
        <f ca="1">IF(OR(M47="住宅",J51&lt;L48,J56="是"),"——",J51-L48)</f>
        <v>31.41</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88349</v>
      </c>
      <c r="D58" s="904" t="s">
        <v>715</v>
      </c>
      <c r="E58" s="905"/>
      <c r="F58" s="906"/>
      <c r="I58" s="1358" t="s">
        <v>848</v>
      </c>
      <c r="J58" s="1360">
        <f ca="1">IF(J55&lt;0.4,0.4,J55)</f>
        <v>0.52400000000000002</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15693161</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2778303</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3333</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44695305</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59898</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28451</v>
      </c>
      <c r="D65" s="908" t="s">
        <v>743</v>
      </c>
      <c r="E65" s="894" t="s">
        <v>712</v>
      </c>
      <c r="F65" s="321">
        <f t="shared" ca="1" si="0"/>
        <v>1E-3</v>
      </c>
      <c r="I65" s="1365" t="s">
        <v>867</v>
      </c>
      <c r="J65" s="610">
        <v>40</v>
      </c>
      <c r="K65" s="610">
        <v>30</v>
      </c>
      <c r="L65" s="610">
        <v>50</v>
      </c>
      <c r="M65" s="1367">
        <v>0.02</v>
      </c>
      <c r="O65" s="1323" t="s">
        <v>403</v>
      </c>
      <c r="P65" s="1324" t="s">
        <v>817</v>
      </c>
      <c r="Q65" s="1325">
        <f ca="1">C40+J29</f>
        <v>44695305</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-88349</v>
      </c>
      <c r="D67" s="907" t="s">
        <v>753</v>
      </c>
      <c r="E67" s="912"/>
      <c r="F67" s="913"/>
      <c r="O67" s="1332" t="s">
        <v>405</v>
      </c>
      <c r="P67" s="1324" t="s">
        <v>850</v>
      </c>
      <c r="Q67" s="1368">
        <f ca="1">L51</f>
        <v>18618690</v>
      </c>
      <c r="R67" s="1325" t="s">
        <v>870</v>
      </c>
    </row>
    <row r="68" spans="1:18" s="1290" customFormat="1" ht="16.5" thickBot="1">
      <c r="A68" s="891" t="s">
        <v>395</v>
      </c>
      <c r="B68" s="892" t="s">
        <v>774</v>
      </c>
      <c r="C68" s="293">
        <f ca="1">ROUND(C67*(1-((1+F70)/(1+F68))^F69)/(F68-F70),0)</f>
        <v>-1259992</v>
      </c>
      <c r="D68" s="909" t="s">
        <v>758</v>
      </c>
      <c r="E68" s="894" t="s">
        <v>759</v>
      </c>
      <c r="F68" s="304">
        <f ca="1">F40</f>
        <v>0.05</v>
      </c>
      <c r="O68" s="1332" t="s">
        <v>406</v>
      </c>
      <c r="P68" s="1369" t="s">
        <v>871</v>
      </c>
      <c r="Q68" s="1325">
        <f ca="1">ROUND(Q69-Q70*Q71,0)</f>
        <v>992440</v>
      </c>
      <c r="R68" s="1325" t="s">
        <v>414</v>
      </c>
    </row>
    <row r="69" spans="1:18" s="1290" customFormat="1" ht="13.5" thickBot="1">
      <c r="A69" s="895"/>
      <c r="B69" s="896"/>
      <c r="C69" s="298"/>
      <c r="D69" s="914" t="s">
        <v>762</v>
      </c>
      <c r="E69" s="894" t="s">
        <v>763</v>
      </c>
      <c r="F69" s="324">
        <f ca="1">F41</f>
        <v>25.59</v>
      </c>
      <c r="O69" s="1332" t="s">
        <v>411</v>
      </c>
      <c r="P69" s="1369" t="s">
        <v>872</v>
      </c>
      <c r="Q69" s="1325">
        <f ca="1">C39</f>
        <v>2984034</v>
      </c>
      <c r="R69" s="1325" t="s">
        <v>818</v>
      </c>
    </row>
    <row r="70" spans="1:18" s="1290" customFormat="1" ht="13.5" thickBot="1">
      <c r="A70" s="898"/>
      <c r="B70" s="899"/>
      <c r="C70" s="302"/>
      <c r="D70" s="910"/>
      <c r="E70" s="894" t="s">
        <v>766</v>
      </c>
      <c r="F70" s="989"/>
      <c r="O70" s="1332" t="s">
        <v>412</v>
      </c>
      <c r="P70" s="1369" t="s">
        <v>873</v>
      </c>
      <c r="Q70" s="1325">
        <f ca="1">C13</f>
        <v>28451342</v>
      </c>
      <c r="R70" s="1325" t="s">
        <v>818</v>
      </c>
    </row>
    <row r="71" spans="1:18" s="1290" customFormat="1" ht="13.5" thickBot="1">
      <c r="A71" s="915" t="s">
        <v>396</v>
      </c>
      <c r="B71" s="916" t="s">
        <v>776</v>
      </c>
      <c r="C71" s="327">
        <f ca="1">ROUND(C68/F71,0)</f>
        <v>-222</v>
      </c>
      <c r="D71" s="917" t="s">
        <v>777</v>
      </c>
      <c r="E71" s="918" t="s">
        <v>778</v>
      </c>
      <c r="F71" s="330">
        <f ca="1">F43</f>
        <v>5677.85</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1991594</v>
      </c>
      <c r="D75" s="1290"/>
      <c r="E75" s="1290"/>
      <c r="F75" s="1290"/>
      <c r="K75" s="1307"/>
      <c r="L75" s="1290"/>
      <c r="O75" s="1323" t="s">
        <v>409</v>
      </c>
      <c r="P75" s="1324" t="s">
        <v>838</v>
      </c>
      <c r="Q75" s="1325">
        <f ca="1">Q65+Q66</f>
        <v>44695305</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0.33299999999999996</v>
      </c>
    </row>
    <row r="80" spans="1:18">
      <c r="B80" s="331" t="s">
        <v>800</v>
      </c>
      <c r="C80" s="266">
        <f ca="1">ROUND(C75/C39,3)</f>
        <v>0.66700000000000004</v>
      </c>
    </row>
    <row r="81" spans="2:3">
      <c r="B81" s="262" t="s">
        <v>801</v>
      </c>
      <c r="C81" s="230"/>
    </row>
    <row r="82" spans="2:3">
      <c r="B82" s="265" t="s">
        <v>802</v>
      </c>
      <c r="C82" s="267">
        <f ca="1">1-C83</f>
        <v>0.36299999999999999</v>
      </c>
    </row>
    <row r="83" spans="2:3">
      <c r="B83" s="265" t="s">
        <v>803</v>
      </c>
      <c r="C83" s="266">
        <f ca="1">ROUND(C13/C40,3)</f>
        <v>0.63700000000000001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2" priority="3">
      <formula>$F$10="自定义"</formula>
    </cfRule>
  </conditionalFormatting>
  <conditionalFormatting sqref="C54">
    <cfRule type="expression" dxfId="161" priority="1">
      <formula>$F$53="自定义"</formula>
    </cfRule>
  </conditionalFormatting>
  <conditionalFormatting sqref="I55 I60">
    <cfRule type="expression" dxfId="160" priority="5">
      <formula>$J$51&gt;$L$48</formula>
    </cfRule>
  </conditionalFormatting>
  <conditionalFormatting sqref="J11">
    <cfRule type="expression" dxfId="159" priority="2">
      <formula>$M$10="自定义"</formula>
    </cfRule>
  </conditionalFormatting>
  <conditionalFormatting sqref="K55 K60">
    <cfRule type="expression" dxfId="158" priority="4">
      <formula>$L$48&gt;$J$51</formula>
    </cfRule>
  </conditionalFormatting>
  <dataValidations count="9">
    <dataValidation type="list" allowBlank="1" showInputMessage="1" showErrorMessage="1" sqref="L55" xr:uid="{C077EA27-6020-42B1-8A64-D6FE5B805EF1}">
      <formula1>"比较法,基准地价,收益还原"</formula1>
    </dataValidation>
    <dataValidation type="list" allowBlank="1" showInputMessage="1" showErrorMessage="1" sqref="J56" xr:uid="{867B48CF-605B-4790-830A-5D624010B79D}">
      <formula1>估价范围判定</formula1>
    </dataValidation>
    <dataValidation type="list" allowBlank="1" showInputMessage="1" showErrorMessage="1" sqref="J48" xr:uid="{7050FEDD-5945-4A84-AEFD-9908DCE7AF4A}">
      <formula1>"非生产用房,生产用房,受腐蚀的生产用房"</formula1>
    </dataValidation>
    <dataValidation type="list" allowBlank="1" showInputMessage="1" showErrorMessage="1" sqref="J47" xr:uid="{8D72FFF1-5976-49A5-A9F4-ACC32B61D7A7}">
      <formula1>"钢,钢混,砖混"</formula1>
    </dataValidation>
    <dataValidation type="list" allowBlank="1" showInputMessage="1" showErrorMessage="1" sqref="C1" xr:uid="{5AB43AA0-E23F-4C24-AC8B-B5F578886920}">
      <formula1>项目类型</formula1>
    </dataValidation>
    <dataValidation type="list" allowBlank="1" showInputMessage="1" showErrorMessage="1" sqref="D33 D61" xr:uid="{4230F38D-5209-45C3-946F-8A9F430EC8FC}">
      <formula1>"按租金收入计税,按房产原值计税,按票据"</formula1>
    </dataValidation>
    <dataValidation type="list" allowBlank="1" showInputMessage="1" showErrorMessage="1" sqref="K19" xr:uid="{5DB0A3AF-5672-4F31-BDB7-4EAE009B60A4}">
      <formula1>"按租金收入计税,按房产原值计税"</formula1>
    </dataValidation>
    <dataValidation type="list" allowBlank="1" showInputMessage="1" showErrorMessage="1" sqref="F10 F53 M10" xr:uid="{C40CB190-8BF6-481F-8897-F14B06FCB195}">
      <formula1>"押一,押二,押三,自定义"</formula1>
    </dataValidation>
    <dataValidation type="list" allowBlank="1" showInputMessage="1" showErrorMessage="1" sqref="D1" xr:uid="{927E66D9-0CB6-4622-8805-7AD9F32E1D1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7BE49-57FF-413C-A342-12BE04F3EFD5}">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3472</v>
      </c>
      <c r="C1" s="1715" t="s">
        <v>1563</v>
      </c>
      <c r="D1" s="190"/>
      <c r="E1" s="190"/>
      <c r="F1" s="190"/>
      <c r="G1" s="1060">
        <f>MATCH(B1,'数据-取费表'!A6:A16,0)+5</f>
        <v>7</v>
      </c>
      <c r="H1" s="996" t="str">
        <f>IF(ISERROR(FIND("住宅",B1)),"非住宅","住宅")</f>
        <v>非住宅</v>
      </c>
    </row>
    <row r="2" spans="1:8" s="192" customFormat="1" ht="18" customHeight="1">
      <c r="A2" s="193" t="s">
        <v>685</v>
      </c>
      <c r="B2" s="3120">
        <f ca="1">ROUND(IF(D2="——",C52/10000,C52/10000-E2),4)</f>
        <v>450.62450000000001</v>
      </c>
      <c r="C2" s="191" t="s">
        <v>1463</v>
      </c>
      <c r="D2" s="1709" t="s">
        <v>43</v>
      </c>
      <c r="E2" s="1087" t="e">
        <f ca="1">SUMIF(INDIRECT("'"&amp;G2&amp;"'"&amp;"!A:A"),"承租人权益价值",INDIRECT("'"&amp;G2&amp;"'"&amp;"!c:c"))</f>
        <v>#REF!</v>
      </c>
      <c r="F2" s="1710" t="s">
        <v>1463</v>
      </c>
      <c r="G2" s="1711"/>
    </row>
    <row r="3" spans="1:8" s="192" customFormat="1" ht="18" customHeight="1" thickBot="1">
      <c r="A3" s="195" t="s">
        <v>686</v>
      </c>
      <c r="B3" s="196">
        <f ca="1">ROUND(B2*10000/(IF(B1="",'数据-汇总表'!E3,INDIRECT("'数据-取费表'!k"&amp;$G$1))),0)</f>
        <v>6606</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826757</v>
      </c>
      <c r="D5" s="203" t="s">
        <v>1469</v>
      </c>
      <c r="E5" s="204" t="s">
        <v>1470</v>
      </c>
      <c r="F5" s="204" t="s">
        <v>1471</v>
      </c>
      <c r="G5" s="205"/>
    </row>
    <row r="6" spans="1:8" s="206" customFormat="1" ht="13.5" customHeight="1">
      <c r="A6" s="730" t="s">
        <v>346</v>
      </c>
      <c r="B6" s="207" t="s">
        <v>1473</v>
      </c>
      <c r="C6" s="208">
        <f>'基准地价修正 -办公'!I40</f>
        <v>669891</v>
      </c>
      <c r="D6" s="209"/>
      <c r="E6" s="210"/>
      <c r="F6" s="210"/>
      <c r="G6" s="211"/>
    </row>
    <row r="7" spans="1:8" s="206" customFormat="1" ht="13.5" customHeight="1">
      <c r="A7" s="730" t="s">
        <v>347</v>
      </c>
      <c r="B7" s="207" t="s">
        <v>1475</v>
      </c>
      <c r="C7" s="212">
        <f>ROUND(C6*F7,0)</f>
        <v>20432</v>
      </c>
      <c r="D7" s="212"/>
      <c r="E7" s="210"/>
      <c r="F7" s="213">
        <f>IF(项目基本情况!B8="出让",0,'数据-取费表'!B48+'数据-取费表'!B49)</f>
        <v>3.0499999999999999E-2</v>
      </c>
      <c r="G7" s="211"/>
    </row>
    <row r="8" spans="1:8" s="215" customFormat="1">
      <c r="A8" s="730" t="s">
        <v>348</v>
      </c>
      <c r="B8" s="207" t="s">
        <v>1477</v>
      </c>
      <c r="C8" s="212">
        <f ca="1">IF(G8="已包含在土地购买价格中",0,C9+C10)</f>
        <v>136434</v>
      </c>
      <c r="D8" s="214"/>
      <c r="E8" s="212"/>
      <c r="F8" s="213"/>
      <c r="G8" s="1712" t="s">
        <v>3470</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136434</v>
      </c>
      <c r="D10" s="793">
        <f ca="1">IF(B1="",'数据-汇总表'!E6,IF(INDIRECT("'数据-取费表'!c"&amp;$G$1)="住宅",INDIRECT("'数据-取费表'!s"&amp;$G$1),INDIRECT("'数据-取费表'!k"&amp;$G$1)+INDIRECT("'数据-取费表'!s"&amp;$G$1)))</f>
        <v>682.17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682.17</v>
      </c>
      <c r="E19" s="203">
        <f>'数据-取费表'!B31</f>
        <v>200</v>
      </c>
      <c r="F19" s="223"/>
      <c r="G19" s="1712" t="s">
        <v>3471</v>
      </c>
    </row>
    <row r="20" spans="1:7" s="206" customFormat="1" ht="13.5" customHeight="1">
      <c r="A20" s="247" t="s">
        <v>1493</v>
      </c>
      <c r="B20" s="202" t="s">
        <v>1494</v>
      </c>
      <c r="C20" s="224">
        <f ca="1">ROUND((C5+C19)*F20,0)</f>
        <v>16535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77413</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230">
        <f ca="1">ROUND(IF('数据-取费表'!B22&lt;=1,C5*F22*'数据-取费表'!B22,C5*(POWER((1+F22),'数据-取费表'!B22)-1)),0)</f>
        <v>76663</v>
      </c>
      <c r="D23" s="230"/>
      <c r="E23" s="230"/>
      <c r="F23" s="231"/>
      <c r="G23" s="232" t="s">
        <v>1504</v>
      </c>
    </row>
    <row r="24" spans="1:7" s="206" customFormat="1" ht="13.5" customHeight="1">
      <c r="A24" s="732"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2" t="s">
        <v>348</v>
      </c>
      <c r="B25" s="207" t="s">
        <v>1509</v>
      </c>
      <c r="C25" s="230">
        <f ca="1">ROUND(IF('数据-取费表'!B22&lt;=1,C20*F22*'数据-取费表'!B22/2,C20*(POWER((1+F22),'数据-取费表'!B22/2)-1)),0)</f>
        <v>750</v>
      </c>
      <c r="D25" s="230"/>
      <c r="E25" s="233"/>
      <c r="F25" s="231"/>
      <c r="G25" s="234" t="s">
        <v>1510</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84329</v>
      </c>
      <c r="D27" s="227">
        <f ca="1">C29</f>
        <v>2E-3</v>
      </c>
      <c r="E27" s="228" t="s">
        <v>1498</v>
      </c>
      <c r="F27" s="238">
        <f ca="1">IF(B1="",'数据-取费表'!Q16,INDIRECT("'数据-取费表'!q"&amp;$G$1))</f>
        <v>0.1</v>
      </c>
      <c r="G27" s="239" t="s">
        <v>1515</v>
      </c>
    </row>
    <row r="28" spans="1:7" s="206" customFormat="1" ht="13.5" customHeight="1">
      <c r="A28" s="732" t="s">
        <v>346</v>
      </c>
      <c r="B28" s="240" t="s">
        <v>1516</v>
      </c>
      <c r="C28" s="241">
        <f ca="1">ROUND((C5+C19+C20)*F27,0)</f>
        <v>84329</v>
      </c>
      <c r="D28" s="227"/>
      <c r="E28" s="228"/>
      <c r="F28" s="238"/>
      <c r="G28" s="239"/>
    </row>
    <row r="29" spans="1:7" s="206" customFormat="1" ht="13.5" customHeight="1">
      <c r="A29" s="732"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1087935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2845331</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2592246</v>
      </c>
      <c r="D34" s="209"/>
      <c r="E34" s="212"/>
      <c r="F34" s="249"/>
      <c r="G34" s="211"/>
    </row>
    <row r="35" spans="1:7" ht="13.5" customHeight="1">
      <c r="A35" s="732" t="s">
        <v>351</v>
      </c>
      <c r="B35" s="207" t="s">
        <v>1527</v>
      </c>
      <c r="C35" s="212">
        <f ca="1">ROUND(C34*F35,0)</f>
        <v>77767</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136434</v>
      </c>
      <c r="D37" s="209">
        <f ca="1">D19</f>
        <v>682.17</v>
      </c>
      <c r="E37" s="241">
        <f>'数据-取费表'!B35</f>
        <v>200</v>
      </c>
      <c r="F37" s="251"/>
      <c r="G37" s="253"/>
    </row>
    <row r="38" spans="1:7" ht="13.5" customHeight="1">
      <c r="A38" s="732" t="s">
        <v>354</v>
      </c>
      <c r="B38" s="207" t="s">
        <v>1533</v>
      </c>
      <c r="C38" s="212">
        <f ca="1">ROUND(C34*F38,0)</f>
        <v>38884</v>
      </c>
      <c r="D38" s="212"/>
      <c r="E38" s="212"/>
      <c r="F38" s="251">
        <f>'数据-取费表'!B36</f>
        <v>1.4999999999999999E-2</v>
      </c>
      <c r="G38" s="211" t="s">
        <v>1528</v>
      </c>
    </row>
    <row r="39" spans="1:7" s="206" customFormat="1" ht="13.5" customHeight="1">
      <c r="A39" s="247" t="s">
        <v>1491</v>
      </c>
      <c r="B39" s="202" t="s">
        <v>1494</v>
      </c>
      <c r="C39" s="224">
        <f ca="1">ROUND(C33*F20,0)</f>
        <v>56907</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131575</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ROUND(IF('数据-取费表'!B22&lt;=1,C33*F22*'数据-取费表'!B20/2,C33*(POWER((1+F22),'数据-取费表'!B20/2)-1)),0)</f>
        <v>128995</v>
      </c>
      <c r="D42" s="230"/>
      <c r="E42" s="230"/>
      <c r="F42" s="231"/>
      <c r="G42" s="3363" t="s">
        <v>1591</v>
      </c>
    </row>
    <row r="43" spans="1:7" ht="13.5" customHeight="1">
      <c r="A43" s="732" t="s">
        <v>347</v>
      </c>
      <c r="B43" s="207" t="s">
        <v>1506</v>
      </c>
      <c r="C43" s="230">
        <f ca="1">ROUND(IF('数据-取费表'!B22&lt;=1,C39*F22*'数据-取费表'!B20/2,C39*(POWER((1+F22),'数据-取费表'!B20/2)-1)),0)</f>
        <v>2580</v>
      </c>
      <c r="D43" s="230"/>
      <c r="E43" s="230"/>
      <c r="F43" s="231"/>
      <c r="G43" s="3364"/>
    </row>
    <row r="44" spans="1:7" ht="13.5" customHeight="1">
      <c r="A44" s="732" t="s">
        <v>348</v>
      </c>
      <c r="B44" s="207" t="s">
        <v>1509</v>
      </c>
      <c r="C44" s="230">
        <f ca="1">ROUND(IF('数据-取费表'!B22&lt;=1,C40*F22*'数据-取费表'!B20/2,C40*(POWER((1+F22),'数据-取费表'!B20/2)-1)),4)</f>
        <v>8.9999999999999998E-4</v>
      </c>
      <c r="D44" s="230"/>
      <c r="E44" s="230"/>
      <c r="F44" s="231"/>
      <c r="G44" s="3365"/>
    </row>
    <row r="45" spans="1:7" s="206" customFormat="1" ht="13.5" customHeight="1">
      <c r="A45" s="247" t="s">
        <v>1500</v>
      </c>
      <c r="B45" s="236" t="s">
        <v>1513</v>
      </c>
      <c r="C45" s="237">
        <f ca="1">C46</f>
        <v>290224</v>
      </c>
      <c r="D45" s="227">
        <f ca="1">C47</f>
        <v>2E-3</v>
      </c>
      <c r="E45" s="228" t="s">
        <v>1539</v>
      </c>
      <c r="F45" s="238">
        <f ca="1">F27</f>
        <v>0.1</v>
      </c>
      <c r="G45" s="239" t="s">
        <v>1548</v>
      </c>
    </row>
    <row r="46" spans="1:7" s="206" customFormat="1" ht="13.5" customHeight="1">
      <c r="A46" s="732" t="s">
        <v>346</v>
      </c>
      <c r="B46" s="240" t="s">
        <v>1549</v>
      </c>
      <c r="C46" s="241">
        <f ca="1">ROUND((C33+C39)*F27,0)</f>
        <v>290224</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3598221</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3418310</v>
      </c>
      <c r="D51" s="224"/>
      <c r="E51" s="224"/>
      <c r="F51" s="256"/>
      <c r="G51" s="226" t="s">
        <v>1560</v>
      </c>
    </row>
    <row r="52" spans="1:7" s="200" customFormat="1" ht="16.5" thickBot="1">
      <c r="A52" s="257" t="s">
        <v>1561</v>
      </c>
      <c r="B52" s="258"/>
      <c r="C52" s="259">
        <f ca="1">C31+C51</f>
        <v>4506245</v>
      </c>
      <c r="D52" s="258"/>
      <c r="E52" s="258"/>
      <c r="F52" s="258"/>
      <c r="G52" s="260"/>
    </row>
    <row r="55" spans="1:7" ht="15">
      <c r="B55" s="262" t="s">
        <v>1562</v>
      </c>
      <c r="C55" s="263"/>
    </row>
    <row r="56" spans="1:7">
      <c r="B56" s="265" t="s">
        <v>802</v>
      </c>
      <c r="C56" s="267">
        <f ca="1">1-C57</f>
        <v>0.24099999999999999</v>
      </c>
    </row>
    <row r="57" spans="1:7">
      <c r="B57" s="265" t="s">
        <v>803</v>
      </c>
      <c r="C57" s="266">
        <f ca="1">ROUND(C51/C52,3)</f>
        <v>0.75900000000000001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FA07A23F-AB07-4809-AA6C-E869BCD290F7}">
      <formula1>"需扣减承租人权益,——"</formula1>
    </dataValidation>
    <dataValidation type="list" allowBlank="1" showInputMessage="1" showErrorMessage="1" sqref="G2" xr:uid="{9923B401-4472-4CA4-96E9-BE0716BCF0A2}">
      <formula1>估价方法</formula1>
    </dataValidation>
    <dataValidation type="list" allowBlank="1" showInputMessage="1" showErrorMessage="1" sqref="B1" xr:uid="{D7EDCBE1-2979-43F1-A2AC-3A4821723549}">
      <formula1>项目类型</formula1>
    </dataValidation>
    <dataValidation type="list" allowBlank="1" showInputMessage="1" showErrorMessage="1" sqref="G19" xr:uid="{2860272B-7F61-409C-B6EE-80F734C3430C}">
      <formula1>"已包含在土地取得成本中,未包含在土地取得成本中"</formula1>
    </dataValidation>
    <dataValidation type="list" allowBlank="1" showInputMessage="1" showErrorMessage="1" sqref="G8" xr:uid="{DB68318F-7AE3-472E-9F32-8479C07D73F7}">
      <formula1>"已包含在土地购买价格中,未包含在土地购买价格中"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F5347-8112-4EB7-86CE-B693B5397022}">
  <sheetPr>
    <tabColor rgb="FF92D050"/>
  </sheetPr>
  <dimension ref="A1:AK83"/>
  <sheetViews>
    <sheetView view="pageBreakPreview" zoomScale="85" zoomScaleNormal="70" zoomScaleSheetLayoutView="85"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3472</v>
      </c>
      <c r="D1" s="1269" t="s">
        <v>43</v>
      </c>
      <c r="E1" s="1270" t="s">
        <v>678</v>
      </c>
      <c r="F1" s="997">
        <f ca="1">J53</f>
        <v>35.6</v>
      </c>
      <c r="G1" s="1284">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512.56949999999995</v>
      </c>
      <c r="C2" s="1287" t="s">
        <v>805</v>
      </c>
      <c r="D2" s="1373">
        <f ca="1">C40+J29+L46</f>
        <v>5125695</v>
      </c>
      <c r="E2" s="1293" t="s">
        <v>880</v>
      </c>
      <c r="F2" s="1294"/>
      <c r="G2" s="2476"/>
      <c r="H2" s="2466"/>
      <c r="I2" s="2466"/>
      <c r="J2" s="2466"/>
      <c r="K2" s="2467"/>
      <c r="L2" s="2466"/>
      <c r="M2" s="2466"/>
    </row>
    <row r="3" spans="1:37" ht="18" customHeight="1" thickBot="1">
      <c r="A3" s="1295" t="s">
        <v>806</v>
      </c>
      <c r="B3" s="1296">
        <f ca="1">IF(ISERROR(D2/F43),0,ROUND(D2/F43,0))</f>
        <v>7514</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358997</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358549</v>
      </c>
      <c r="D6" s="147" t="s">
        <v>2106</v>
      </c>
      <c r="E6" s="294" t="s">
        <v>696</v>
      </c>
      <c r="F6" s="295">
        <f ca="1">INDIRECT("'数据-取费表'!u"&amp;$G$1)</f>
        <v>1.6</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682.17</v>
      </c>
      <c r="G7" s="1290"/>
      <c r="H7" s="296"/>
      <c r="I7" s="3367"/>
      <c r="J7" s="298"/>
      <c r="K7" s="299"/>
      <c r="L7" s="294" t="s">
        <v>697</v>
      </c>
      <c r="M7" s="295">
        <f ca="1">F7</f>
        <v>682.17</v>
      </c>
    </row>
    <row r="8" spans="1:37" ht="18" customHeight="1">
      <c r="A8" s="296"/>
      <c r="B8" s="3367"/>
      <c r="C8" s="298"/>
      <c r="D8" s="299"/>
      <c r="E8" s="294" t="s">
        <v>698</v>
      </c>
      <c r="F8" s="295">
        <f ca="1">INDIRECT("'数据-取费表'!ai"&amp;$G$1)</f>
        <v>365</v>
      </c>
      <c r="G8" s="1290"/>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448</v>
      </c>
      <c r="D10" s="150" t="s">
        <v>2116</v>
      </c>
      <c r="E10" s="305" t="s">
        <v>701</v>
      </c>
      <c r="F10" s="1051" t="s">
        <v>3491</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3418310</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2592246</v>
      </c>
      <c r="D14" s="1255" t="s">
        <v>708</v>
      </c>
      <c r="E14" s="1253"/>
      <c r="F14" s="311"/>
      <c r="G14" s="1290"/>
      <c r="H14" s="926" t="s">
        <v>398</v>
      </c>
      <c r="I14" s="294" t="s">
        <v>709</v>
      </c>
      <c r="J14" s="21">
        <f ca="1">C29</f>
        <v>3598221</v>
      </c>
      <c r="K14" s="12"/>
      <c r="L14" s="757"/>
      <c r="M14" s="758"/>
    </row>
    <row r="15" spans="1:37" s="1302" customFormat="1" ht="18" customHeight="1" thickBot="1">
      <c r="A15" s="926" t="s">
        <v>399</v>
      </c>
      <c r="B15" s="294" t="s">
        <v>710</v>
      </c>
      <c r="C15" s="21">
        <f ca="1">ROUND(C14*F15,0)</f>
        <v>77767</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7196</v>
      </c>
      <c r="K16" s="1022" t="s">
        <v>715</v>
      </c>
      <c r="L16" s="1023"/>
      <c r="M16" s="1007"/>
    </row>
    <row r="17" spans="1:37" s="1302" customFormat="1" ht="18" customHeight="1">
      <c r="A17" s="926" t="s">
        <v>681</v>
      </c>
      <c r="B17" s="294" t="s">
        <v>716</v>
      </c>
      <c r="C17" s="21">
        <f ca="1">ROUND(F17*(F43+INDIRECT("'数据-取费表'!S"&amp;$G$1)),0)</f>
        <v>136434</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38884</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2845331</v>
      </c>
      <c r="D19" s="123" t="s">
        <v>726</v>
      </c>
      <c r="E19" s="1267"/>
      <c r="F19" s="23"/>
      <c r="G19" s="1290"/>
      <c r="H19" s="926" t="s">
        <v>399</v>
      </c>
      <c r="I19" s="294" t="s">
        <v>727</v>
      </c>
      <c r="J19" s="21">
        <f ca="1">IF(K19="按租金收入计税",ROUND(J6*M19/(1+'数据-取费表'!C42),0),ROUND(C29*M19*0.7,0))</f>
        <v>0</v>
      </c>
      <c r="K19" s="1276" t="s">
        <v>3333</v>
      </c>
      <c r="L19" s="294" t="s">
        <v>712</v>
      </c>
      <c r="M19" s="314">
        <f>IF(K19="按租金收入计税",'数据-取费表'!B51,'数据-取费表'!B50)</f>
        <v>0.12</v>
      </c>
    </row>
    <row r="20" spans="1:37" s="1302" customFormat="1" ht="18" customHeight="1">
      <c r="A20" s="926" t="s">
        <v>402</v>
      </c>
      <c r="B20" s="294" t="s">
        <v>728</v>
      </c>
      <c r="C20" s="21">
        <f ca="1">ROUND(C19*F20,0)</f>
        <v>56907</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7196</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131575</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-7196</v>
      </c>
      <c r="K25" s="1030" t="s">
        <v>753</v>
      </c>
      <c r="L25" s="1031"/>
      <c r="M25" s="1032"/>
    </row>
    <row r="26" spans="1:37" ht="18" customHeight="1">
      <c r="A26" s="926" t="s">
        <v>397</v>
      </c>
      <c r="B26" s="294" t="s">
        <v>754</v>
      </c>
      <c r="C26" s="21">
        <f ca="1">ROUND((C19+C20)*F26,0)</f>
        <v>290224</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0.05</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3598221</v>
      </c>
      <c r="D29" s="1027"/>
      <c r="E29" s="1025"/>
      <c r="F29" s="1028"/>
      <c r="G29" s="1301"/>
      <c r="H29" s="325" t="s">
        <v>396</v>
      </c>
      <c r="I29" s="326" t="s">
        <v>768</v>
      </c>
      <c r="J29" s="327">
        <f ca="1">ROUND(J26/(1+F40)^F41,0)</f>
        <v>0</v>
      </c>
      <c r="K29" s="328" t="s">
        <v>769</v>
      </c>
      <c r="L29" s="329"/>
      <c r="M29" s="330">
        <f ca="1">INDIRECT("'数据-取费表'!k"&amp;$G$1)</f>
        <v>682.17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74304</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60100</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19123</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40977</v>
      </c>
      <c r="D33" s="1276" t="s">
        <v>3333</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7196</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3418</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3590</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284693</v>
      </c>
      <c r="D39" s="1030" t="s">
        <v>753</v>
      </c>
      <c r="E39" s="1031"/>
      <c r="F39" s="1032"/>
      <c r="G39" s="1290"/>
      <c r="H39" s="2471"/>
      <c r="I39" s="1303"/>
      <c r="J39" s="1304"/>
      <c r="K39" s="2469"/>
      <c r="L39" s="2471"/>
      <c r="M39" s="2471"/>
    </row>
    <row r="40" spans="1:18" ht="18" customHeight="1">
      <c r="A40" s="291" t="s">
        <v>395</v>
      </c>
      <c r="B40" s="292" t="s">
        <v>774</v>
      </c>
      <c r="C40" s="293">
        <f ca="1">ROUND(C39*(1-((1+F42)/(1+F40))^F41)/(F40-F42),0)</f>
        <v>4996250</v>
      </c>
      <c r="D40" s="316" t="s">
        <v>758</v>
      </c>
      <c r="E40" s="294" t="s">
        <v>759</v>
      </c>
      <c r="F40" s="304">
        <f ca="1">INDIRECT("'数据-取费表'!I"&amp;$G$1)</f>
        <v>0.05</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35.6</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7324</v>
      </c>
      <c r="D43" s="328" t="s">
        <v>777</v>
      </c>
      <c r="E43" s="329" t="s">
        <v>778</v>
      </c>
      <c r="F43" s="330">
        <f ca="1">INDIRECT("'数据-取费表'!k"&amp;$G$1)</f>
        <v>682.17</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3349</v>
      </c>
      <c r="B45" s="1305"/>
      <c r="C45" s="1374">
        <f ca="1">ROUND((C68-C40)/10000,4)</f>
        <v>-517.11559999999997</v>
      </c>
      <c r="D45" s="3128" t="s">
        <v>3350</v>
      </c>
      <c r="E45" s="1305"/>
      <c r="F45" s="1305"/>
      <c r="O45" s="1308" t="s">
        <v>808</v>
      </c>
      <c r="P45" s="1364"/>
      <c r="Q45" s="1364"/>
      <c r="R45" s="1364"/>
    </row>
    <row r="46" spans="1:18" s="1290" customFormat="1" ht="13.5" thickBot="1">
      <c r="A46" s="1309" t="s">
        <v>809</v>
      </c>
      <c r="C46" s="1310">
        <f ca="1">ROUND(C45,0)</f>
        <v>-517</v>
      </c>
      <c r="D46" s="1311" t="str">
        <f>C2</f>
        <v>万元</v>
      </c>
      <c r="I46" s="1312" t="s">
        <v>810</v>
      </c>
      <c r="J46" s="1313"/>
      <c r="K46" s="1314"/>
      <c r="L46" s="1315">
        <f ca="1">IF(M47="住宅",0,IF(L48&gt;J51,L60,J60))</f>
        <v>129445</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3492</v>
      </c>
      <c r="K47" s="1321" t="s">
        <v>816</v>
      </c>
      <c r="L47" s="1322">
        <f ca="1">INDIRECT("'数据-取费表'!d"&amp;$G$1)</f>
        <v>50</v>
      </c>
      <c r="M47" s="1286" t="str">
        <f>IF(ISNUMBER(FIND("住宅",C1)),"住宅","非住宅")</f>
        <v>非住宅</v>
      </c>
      <c r="O47" s="1323" t="s">
        <v>403</v>
      </c>
      <c r="P47" s="1324" t="s">
        <v>817</v>
      </c>
      <c r="Q47" s="1325">
        <f ca="1">C40+J29</f>
        <v>4996250</v>
      </c>
      <c r="R47" s="1325" t="s">
        <v>818</v>
      </c>
    </row>
    <row r="48" spans="1:18" s="1290" customFormat="1" ht="28.5" thickBot="1">
      <c r="A48" s="1045" t="s">
        <v>438</v>
      </c>
      <c r="B48" s="292" t="s">
        <v>692</v>
      </c>
      <c r="C48" s="1266">
        <f ca="1">C49+C53+C55</f>
        <v>0</v>
      </c>
      <c r="D48" s="1047"/>
      <c r="E48" s="1048"/>
      <c r="F48" s="906"/>
      <c r="G48" s="681"/>
      <c r="H48" s="682"/>
      <c r="I48" s="1326" t="s">
        <v>819</v>
      </c>
      <c r="J48" s="1327" t="s">
        <v>3493</v>
      </c>
      <c r="K48" s="1328" t="s">
        <v>820</v>
      </c>
      <c r="L48" s="1329">
        <f ca="1">INDIRECT("'数据-取费表'!f"&amp;$G$1)</f>
        <v>35.6</v>
      </c>
      <c r="O48" s="1323" t="s">
        <v>404</v>
      </c>
      <c r="P48" s="1324" t="s">
        <v>821</v>
      </c>
      <c r="Q48" s="1325">
        <f ca="1">J60</f>
        <v>129445</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3598221</v>
      </c>
      <c r="R49" s="1325" t="s">
        <v>818</v>
      </c>
    </row>
    <row r="50" spans="1:18" s="1290" customFormat="1" ht="13.5" thickBot="1">
      <c r="A50" s="920"/>
      <c r="B50" s="923"/>
      <c r="C50" s="924"/>
      <c r="D50" s="897"/>
      <c r="E50" s="991" t="s">
        <v>697</v>
      </c>
      <c r="F50" s="992">
        <f ca="1">F7</f>
        <v>682.17</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365</v>
      </c>
      <c r="I51" s="1336" t="s">
        <v>829</v>
      </c>
      <c r="J51" s="1329">
        <f>IF(J49="",J50,J49+J50-YEAR('数据-取费表'!B2))</f>
        <v>57</v>
      </c>
      <c r="K51" s="1337" t="s">
        <v>830</v>
      </c>
      <c r="L51" s="1338">
        <f ca="1">ROUND(-PV(INDIRECT("'数据-取费表'!h"&amp;$G$1),J51,(C39-C13*C76),0),0)</f>
        <v>851940</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'数据-取费表'!J7</f>
        <v>7.0000000000000007E-2</v>
      </c>
      <c r="K52" s="1340" t="s">
        <v>833</v>
      </c>
      <c r="L52" s="1341"/>
      <c r="O52" s="1332" t="s">
        <v>408</v>
      </c>
      <c r="P52" s="1324" t="s">
        <v>834</v>
      </c>
      <c r="Q52" s="1325">
        <f ca="1">J53</f>
        <v>35.6</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35.6</v>
      </c>
      <c r="K53" s="3369" t="s">
        <v>837</v>
      </c>
      <c r="L53" s="3370"/>
      <c r="O53" s="1323" t="s">
        <v>409</v>
      </c>
      <c r="P53" s="1324" t="s">
        <v>838</v>
      </c>
      <c r="Q53" s="1325">
        <f ca="1">Q47+Q48</f>
        <v>5125695</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0.35699999999999998</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3418310</v>
      </c>
      <c r="D56" s="1350"/>
      <c r="E56" s="1351"/>
      <c r="F56" s="1343"/>
      <c r="I56" s="1352" t="s">
        <v>842</v>
      </c>
      <c r="J56" s="1353" t="s">
        <v>3494</v>
      </c>
      <c r="K56" s="1326" t="s">
        <v>843</v>
      </c>
      <c r="L56" s="1329" t="str">
        <f ca="1">IF(L48&lt;J51,"——",L48-J51)</f>
        <v>——</v>
      </c>
      <c r="O56" s="1323" t="s">
        <v>403</v>
      </c>
      <c r="P56" s="1324" t="s">
        <v>817</v>
      </c>
      <c r="Q56" s="1325">
        <f ca="1">C40+J29</f>
        <v>4996250</v>
      </c>
      <c r="R56" s="1325" t="s">
        <v>818</v>
      </c>
    </row>
    <row r="57" spans="1:18" s="1290" customFormat="1" ht="24.75" thickBot="1">
      <c r="A57" s="1354"/>
      <c r="B57" s="894" t="s">
        <v>767</v>
      </c>
      <c r="C57" s="230">
        <f ca="1">C29</f>
        <v>3598221</v>
      </c>
      <c r="D57" s="1355"/>
      <c r="E57" s="1356"/>
      <c r="F57" s="1357"/>
      <c r="I57" s="1358" t="s">
        <v>844</v>
      </c>
      <c r="J57" s="1359">
        <f ca="1">IF(OR(M47="住宅",J51&lt;L48,J56="是"),"——",J51-L48)</f>
        <v>21.4</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10614</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1439288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129445</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3333</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4996250</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7196</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3418</v>
      </c>
      <c r="D65" s="908" t="s">
        <v>743</v>
      </c>
      <c r="E65" s="894" t="s">
        <v>712</v>
      </c>
      <c r="F65" s="321">
        <f t="shared" ca="1" si="0"/>
        <v>1E-3</v>
      </c>
      <c r="I65" s="1365" t="s">
        <v>867</v>
      </c>
      <c r="J65" s="610">
        <v>40</v>
      </c>
      <c r="K65" s="610">
        <v>30</v>
      </c>
      <c r="L65" s="610">
        <v>50</v>
      </c>
      <c r="M65" s="1367">
        <v>0.02</v>
      </c>
      <c r="O65" s="1323" t="s">
        <v>403</v>
      </c>
      <c r="P65" s="1324" t="s">
        <v>817</v>
      </c>
      <c r="Q65" s="1325">
        <f ca="1">C40+J29</f>
        <v>4996250</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-10614</v>
      </c>
      <c r="D67" s="907" t="s">
        <v>753</v>
      </c>
      <c r="E67" s="912"/>
      <c r="F67" s="913"/>
      <c r="O67" s="1332" t="s">
        <v>405</v>
      </c>
      <c r="P67" s="1324" t="s">
        <v>850</v>
      </c>
      <c r="Q67" s="1368">
        <f ca="1">L51</f>
        <v>851940</v>
      </c>
      <c r="R67" s="1325" t="s">
        <v>870</v>
      </c>
    </row>
    <row r="68" spans="1:18" s="1290" customFormat="1" ht="16.5" thickBot="1">
      <c r="A68" s="891" t="s">
        <v>395</v>
      </c>
      <c r="B68" s="892" t="s">
        <v>774</v>
      </c>
      <c r="C68" s="293">
        <f ca="1">ROUND(C67*(1-((1+F70)/(1+F68))^F69)/(F68-F70),0)</f>
        <v>-174906</v>
      </c>
      <c r="D68" s="909" t="s">
        <v>758</v>
      </c>
      <c r="E68" s="894" t="s">
        <v>759</v>
      </c>
      <c r="F68" s="304">
        <f ca="1">F40</f>
        <v>0.05</v>
      </c>
      <c r="O68" s="1332" t="s">
        <v>406</v>
      </c>
      <c r="P68" s="1369" t="s">
        <v>871</v>
      </c>
      <c r="Q68" s="1325">
        <f ca="1">ROUND(Q69-Q70*Q71,0)</f>
        <v>45411</v>
      </c>
      <c r="R68" s="1325" t="s">
        <v>414</v>
      </c>
    </row>
    <row r="69" spans="1:18" s="1290" customFormat="1" ht="13.5" thickBot="1">
      <c r="A69" s="895"/>
      <c r="B69" s="896"/>
      <c r="C69" s="298"/>
      <c r="D69" s="914" t="s">
        <v>762</v>
      </c>
      <c r="E69" s="894" t="s">
        <v>763</v>
      </c>
      <c r="F69" s="324">
        <f ca="1">F41</f>
        <v>35.6</v>
      </c>
      <c r="O69" s="1332" t="s">
        <v>411</v>
      </c>
      <c r="P69" s="1369" t="s">
        <v>872</v>
      </c>
      <c r="Q69" s="1325">
        <f ca="1">C39</f>
        <v>284693</v>
      </c>
      <c r="R69" s="1325" t="s">
        <v>818</v>
      </c>
    </row>
    <row r="70" spans="1:18" s="1290" customFormat="1" ht="13.5" thickBot="1">
      <c r="A70" s="898"/>
      <c r="B70" s="899"/>
      <c r="C70" s="302"/>
      <c r="D70" s="910"/>
      <c r="E70" s="894" t="s">
        <v>766</v>
      </c>
      <c r="F70" s="989"/>
      <c r="O70" s="1332" t="s">
        <v>412</v>
      </c>
      <c r="P70" s="1369" t="s">
        <v>873</v>
      </c>
      <c r="Q70" s="1325">
        <f ca="1">C13</f>
        <v>3418310</v>
      </c>
      <c r="R70" s="1325" t="s">
        <v>818</v>
      </c>
    </row>
    <row r="71" spans="1:18" s="1290" customFormat="1" ht="13.5" thickBot="1">
      <c r="A71" s="915" t="s">
        <v>396</v>
      </c>
      <c r="B71" s="916" t="s">
        <v>776</v>
      </c>
      <c r="C71" s="327">
        <f ca="1">ROUND(C68/F71,0)</f>
        <v>-256</v>
      </c>
      <c r="D71" s="917" t="s">
        <v>777</v>
      </c>
      <c r="E71" s="918" t="s">
        <v>778</v>
      </c>
      <c r="F71" s="330">
        <f ca="1">F43</f>
        <v>682.17</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239282</v>
      </c>
      <c r="D75" s="1290"/>
      <c r="E75" s="1290"/>
      <c r="F75" s="1290"/>
      <c r="K75" s="1307"/>
      <c r="L75" s="1290"/>
      <c r="O75" s="1323" t="s">
        <v>409</v>
      </c>
      <c r="P75" s="1324" t="s">
        <v>838</v>
      </c>
      <c r="Q75" s="1325">
        <f ca="1">Q65+Q66</f>
        <v>4996250</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0.16000000000000003</v>
      </c>
    </row>
    <row r="80" spans="1:18">
      <c r="B80" s="331" t="s">
        <v>800</v>
      </c>
      <c r="C80" s="266">
        <f ca="1">ROUND(C75/C39,3)</f>
        <v>0.84</v>
      </c>
    </row>
    <row r="81" spans="2:3">
      <c r="B81" s="262" t="s">
        <v>801</v>
      </c>
      <c r="C81" s="230"/>
    </row>
    <row r="82" spans="2:3">
      <c r="B82" s="265" t="s">
        <v>802</v>
      </c>
      <c r="C82" s="267">
        <f ca="1">1-C83</f>
        <v>0.31599999999999995</v>
      </c>
    </row>
    <row r="83" spans="2:3">
      <c r="B83" s="265" t="s">
        <v>803</v>
      </c>
      <c r="C83" s="266">
        <f ca="1">ROUND(C13/C40,3)</f>
        <v>0.68400000000000005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
      <formula>$J$51&gt;$L$48</formula>
    </cfRule>
  </conditionalFormatting>
  <conditionalFormatting sqref="J11">
    <cfRule type="expression" dxfId="154" priority="2">
      <formula>$M$10="自定义"</formula>
    </cfRule>
  </conditionalFormatting>
  <conditionalFormatting sqref="K55 K60">
    <cfRule type="expression" dxfId="153" priority="4">
      <formula>$L$48&gt;$J$51</formula>
    </cfRule>
  </conditionalFormatting>
  <dataValidations count="9">
    <dataValidation type="list" allowBlank="1" showInputMessage="1" showErrorMessage="1" sqref="L55" xr:uid="{E3DF6129-C979-431A-B3ED-935F4A1B2428}">
      <formula1>"比较法,基准地价,收益还原"</formula1>
    </dataValidation>
    <dataValidation type="list" allowBlank="1" showInputMessage="1" showErrorMessage="1" sqref="J56" xr:uid="{CCD42C96-FE64-4D93-A39B-0B0CE90C023E}">
      <formula1>估价范围判定</formula1>
    </dataValidation>
    <dataValidation type="list" allowBlank="1" showInputMessage="1" showErrorMessage="1" sqref="J48" xr:uid="{FB913497-0216-496E-BB56-F375E9D0E239}">
      <formula1>"非生产用房,生产用房,受腐蚀的生产用房"</formula1>
    </dataValidation>
    <dataValidation type="list" allowBlank="1" showInputMessage="1" showErrorMessage="1" sqref="J47" xr:uid="{154C17FB-5A5F-42FF-86CE-195D36B458AA}">
      <formula1>"钢,钢混,砖混"</formula1>
    </dataValidation>
    <dataValidation type="list" allowBlank="1" showInputMessage="1" showErrorMessage="1" sqref="C1" xr:uid="{CC041838-2665-4DF4-AD69-259DC9C87DD7}">
      <formula1>项目类型</formula1>
    </dataValidation>
    <dataValidation type="list" allowBlank="1" showInputMessage="1" showErrorMessage="1" sqref="D33 D61" xr:uid="{ED3A8F43-5900-48FA-BE2A-8A1A3C916F05}">
      <formula1>"按租金收入计税,按房产原值计税,按票据"</formula1>
    </dataValidation>
    <dataValidation type="list" allowBlank="1" showInputMessage="1" showErrorMessage="1" sqref="K19" xr:uid="{4DBAAB08-BFCC-4553-99D2-5A4365948004}">
      <formula1>"按租金收入计税,按房产原值计税"</formula1>
    </dataValidation>
    <dataValidation type="list" allowBlank="1" showInputMessage="1" showErrorMessage="1" sqref="F10 F53 M10" xr:uid="{81F959EF-786E-45B6-B258-0E21CCD5259D}">
      <formula1>"押一,押二,押三,自定义"</formula1>
    </dataValidation>
    <dataValidation type="list" allowBlank="1" showInputMessage="1" showErrorMessage="1" sqref="D1" xr:uid="{FB8421D0-CC52-4E3E-A87A-194E4C5EDB5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08C80-0E30-458D-B8E7-13287B602084}">
  <sheetPr>
    <tabColor rgb="FF92D050"/>
    <pageSetUpPr fitToPage="1"/>
  </sheetPr>
  <dimension ref="A1:H57"/>
  <sheetViews>
    <sheetView view="pageBreakPreview" zoomScaleNormal="70" zoomScaleSheetLayoutView="100" workbookViewId="0">
      <selection activeCell="G56" sqref="G5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3474</v>
      </c>
      <c r="C1" s="1715" t="s">
        <v>1563</v>
      </c>
      <c r="D1" s="190"/>
      <c r="E1" s="190"/>
      <c r="F1" s="190"/>
      <c r="G1" s="1060">
        <f>MATCH(B1,'数据-取费表'!A6:A16,0)+5</f>
        <v>10</v>
      </c>
      <c r="H1" s="996" t="str">
        <f>IF(ISERROR(FIND("住宅",B1)),"非住宅","住宅")</f>
        <v>非住宅</v>
      </c>
    </row>
    <row r="2" spans="1:8" s="192" customFormat="1" ht="18" customHeight="1">
      <c r="A2" s="193" t="s">
        <v>685</v>
      </c>
      <c r="B2" s="3120">
        <f ca="1">ROUND(IF(D2="——",C52/10000,C52/10000-E2),4)</f>
        <v>2080.0259000000001</v>
      </c>
      <c r="C2" s="191" t="s">
        <v>1463</v>
      </c>
      <c r="D2" s="1709" t="s">
        <v>43</v>
      </c>
      <c r="E2" s="1087" t="e">
        <f ca="1">SUMIF(INDIRECT("'"&amp;G2&amp;"'"&amp;"!A:A"),"承租人权益价值",INDIRECT("'"&amp;G2&amp;"'"&amp;"!c:c"))</f>
        <v>#REF!</v>
      </c>
      <c r="F2" s="1710" t="s">
        <v>1463</v>
      </c>
      <c r="G2" s="1711"/>
    </row>
    <row r="3" spans="1:8" s="192" customFormat="1" ht="18" customHeight="1" thickBot="1">
      <c r="A3" s="195" t="s">
        <v>686</v>
      </c>
      <c r="B3" s="196">
        <f ca="1">ROUND(B2*10000/(IF(B1="",'数据-汇总表'!E3,INDIRECT("'数据-取费表'!k"&amp;$G$1))),0)</f>
        <v>5911</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2839546</v>
      </c>
      <c r="D5" s="203" t="s">
        <v>1469</v>
      </c>
      <c r="E5" s="204" t="s">
        <v>1470</v>
      </c>
      <c r="F5" s="204" t="s">
        <v>1471</v>
      </c>
      <c r="G5" s="205"/>
    </row>
    <row r="6" spans="1:8" s="206" customFormat="1" ht="13.5" customHeight="1">
      <c r="A6" s="730" t="s">
        <v>346</v>
      </c>
      <c r="B6" s="207" t="s">
        <v>1473</v>
      </c>
      <c r="C6" s="208">
        <f>ROUND('基准地价修正 -办公'!G42*'数据-基础表'!S13,0)</f>
        <v>2072573</v>
      </c>
      <c r="D6" s="209"/>
      <c r="E6" s="210"/>
      <c r="F6" s="210"/>
      <c r="G6" s="211"/>
    </row>
    <row r="7" spans="1:8" s="206" customFormat="1" ht="13.5" customHeight="1">
      <c r="A7" s="730" t="s">
        <v>347</v>
      </c>
      <c r="B7" s="207" t="s">
        <v>1475</v>
      </c>
      <c r="C7" s="212">
        <f>ROUND(C6*F7,0)</f>
        <v>63213</v>
      </c>
      <c r="D7" s="212"/>
      <c r="E7" s="210"/>
      <c r="F7" s="213">
        <f>IF(项目基本情况!B8="出让",0,'数据-取费表'!B48+'数据-取费表'!B49)</f>
        <v>3.0499999999999999E-2</v>
      </c>
      <c r="G7" s="211"/>
    </row>
    <row r="8" spans="1:8" s="215" customFormat="1">
      <c r="A8" s="730" t="s">
        <v>348</v>
      </c>
      <c r="B8" s="207" t="s">
        <v>1477</v>
      </c>
      <c r="C8" s="212">
        <f ca="1">IF(G8="已包含在土地购买价格中",0,C9+C10)</f>
        <v>703760</v>
      </c>
      <c r="D8" s="214"/>
      <c r="E8" s="212"/>
      <c r="F8" s="213"/>
      <c r="G8" s="1712" t="s">
        <v>3470</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703760</v>
      </c>
      <c r="D10" s="793">
        <f ca="1">IF(B1="",'数据-汇总表'!E6,IF(INDIRECT("'数据-取费表'!c"&amp;$G$1)="住宅",INDIRECT("'数据-取费表'!s"&amp;$G$1),INDIRECT("'数据-取费表'!k"&amp;$G$1)+INDIRECT("'数据-取费表'!s"&amp;$G$1)))</f>
        <v>3518.8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3518.8</v>
      </c>
      <c r="E19" s="203">
        <f>'数据-取费表'!B31</f>
        <v>200</v>
      </c>
      <c r="F19" s="223"/>
      <c r="G19" s="1712" t="s">
        <v>3471</v>
      </c>
    </row>
    <row r="20" spans="1:7" s="206" customFormat="1" ht="13.5" customHeight="1">
      <c r="A20" s="247" t="s">
        <v>1493</v>
      </c>
      <c r="B20" s="202" t="s">
        <v>1494</v>
      </c>
      <c r="C20" s="224">
        <f ca="1">ROUND((C5+C19)*F20,0)</f>
        <v>56791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265878</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230">
        <f ca="1">ROUND(IF('数据-取费表'!B22&lt;=1,C5*F22*'数据-取费表'!B22,C5*(POWER((1+F22),'数据-取费表'!B22)-1)),0)</f>
        <v>263303</v>
      </c>
      <c r="D23" s="230"/>
      <c r="E23" s="230"/>
      <c r="F23" s="231"/>
      <c r="G23" s="232" t="s">
        <v>1504</v>
      </c>
    </row>
    <row r="24" spans="1:7" s="206" customFormat="1" ht="13.5" customHeight="1">
      <c r="A24" s="732"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2" t="s">
        <v>348</v>
      </c>
      <c r="B25" s="207" t="s">
        <v>1509</v>
      </c>
      <c r="C25" s="230">
        <f ca="1">ROUND(IF('数据-取费表'!B22&lt;=1,C20*F22*'数据-取费表'!B22/2,C20*(POWER((1+F22),'数据-取费表'!B22/2)-1)),0)</f>
        <v>2575</v>
      </c>
      <c r="D25" s="230"/>
      <c r="E25" s="233"/>
      <c r="F25" s="231"/>
      <c r="G25" s="234" t="s">
        <v>1510</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144817</v>
      </c>
      <c r="D27" s="227">
        <f ca="1">C29</f>
        <v>1E-3</v>
      </c>
      <c r="E27" s="228" t="s">
        <v>1498</v>
      </c>
      <c r="F27" s="238">
        <f ca="1">IF(B1="",'数据-取费表'!Q16,INDIRECT("'数据-取费表'!q"&amp;$G$1))</f>
        <v>0.05</v>
      </c>
      <c r="G27" s="239" t="s">
        <v>1515</v>
      </c>
    </row>
    <row r="28" spans="1:7" s="206" customFormat="1" ht="13.5" customHeight="1">
      <c r="A28" s="732" t="s">
        <v>346</v>
      </c>
      <c r="B28" s="240" t="s">
        <v>1516</v>
      </c>
      <c r="C28" s="241">
        <f ca="1">ROUND((C5+C19+C20)*F27,0)</f>
        <v>144817</v>
      </c>
      <c r="D28" s="227"/>
      <c r="E28" s="228"/>
      <c r="F28" s="238"/>
      <c r="G28" s="239"/>
    </row>
    <row r="29" spans="1:7" s="206" customFormat="1" ht="13.5" customHeight="1">
      <c r="A29" s="732"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3575943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15007858</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13688132</v>
      </c>
      <c r="D34" s="209"/>
      <c r="E34" s="212"/>
      <c r="F34" s="249"/>
      <c r="G34" s="211"/>
    </row>
    <row r="35" spans="1:7" ht="13.5" customHeight="1">
      <c r="A35" s="732" t="s">
        <v>351</v>
      </c>
      <c r="B35" s="207" t="s">
        <v>1527</v>
      </c>
      <c r="C35" s="212">
        <f ca="1">ROUND(C34*F35,0)</f>
        <v>410644</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703760</v>
      </c>
      <c r="D37" s="209">
        <f ca="1">D19</f>
        <v>3518.8</v>
      </c>
      <c r="E37" s="241">
        <f>'数据-取费表'!B35</f>
        <v>200</v>
      </c>
      <c r="F37" s="251"/>
      <c r="G37" s="253"/>
    </row>
    <row r="38" spans="1:7" ht="13.5" customHeight="1">
      <c r="A38" s="732" t="s">
        <v>354</v>
      </c>
      <c r="B38" s="207" t="s">
        <v>1533</v>
      </c>
      <c r="C38" s="212">
        <f ca="1">ROUND(C34*F38,0)</f>
        <v>205322</v>
      </c>
      <c r="D38" s="212"/>
      <c r="E38" s="212"/>
      <c r="F38" s="251">
        <f>'数据-取费表'!B36</f>
        <v>1.4999999999999999E-2</v>
      </c>
      <c r="G38" s="211" t="s">
        <v>1528</v>
      </c>
    </row>
    <row r="39" spans="1:7" s="206" customFormat="1" ht="13.5" customHeight="1">
      <c r="A39" s="247" t="s">
        <v>1491</v>
      </c>
      <c r="B39" s="202" t="s">
        <v>1494</v>
      </c>
      <c r="C39" s="224">
        <f ca="1">ROUND(C33*F20,0)</f>
        <v>300157</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694002</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ROUND(IF('数据-取费表'!B22&lt;=1,C33*F22*'数据-取费表'!B20/2,C33*(POWER((1+F22),'数据-取费表'!B20/2)-1)),0)</f>
        <v>680394</v>
      </c>
      <c r="D42" s="230"/>
      <c r="E42" s="230"/>
      <c r="F42" s="231"/>
      <c r="G42" s="3363" t="s">
        <v>1591</v>
      </c>
    </row>
    <row r="43" spans="1:7" ht="13.5" customHeight="1">
      <c r="A43" s="732" t="s">
        <v>347</v>
      </c>
      <c r="B43" s="207" t="s">
        <v>1506</v>
      </c>
      <c r="C43" s="230">
        <f ca="1">ROUND(IF('数据-取费表'!B22&lt;=1,C39*F22*'数据-取费表'!B20/2,C39*(POWER((1+F22),'数据-取费表'!B20/2)-1)),0)</f>
        <v>13608</v>
      </c>
      <c r="D43" s="230"/>
      <c r="E43" s="230"/>
      <c r="F43" s="231"/>
      <c r="G43" s="3364"/>
    </row>
    <row r="44" spans="1:7" ht="13.5" customHeight="1">
      <c r="A44" s="732" t="s">
        <v>348</v>
      </c>
      <c r="B44" s="207" t="s">
        <v>1509</v>
      </c>
      <c r="C44" s="230">
        <f ca="1">ROUND(IF('数据-取费表'!B22&lt;=1,C40*F22*'数据-取费表'!B20/2,C40*(POWER((1+F22),'数据-取费表'!B20/2)-1)),4)</f>
        <v>8.9999999999999998E-4</v>
      </c>
      <c r="D44" s="230"/>
      <c r="E44" s="230"/>
      <c r="F44" s="231"/>
      <c r="G44" s="3365"/>
    </row>
    <row r="45" spans="1:7" s="206" customFormat="1" ht="13.5" customHeight="1">
      <c r="A45" s="247" t="s">
        <v>1500</v>
      </c>
      <c r="B45" s="236" t="s">
        <v>1513</v>
      </c>
      <c r="C45" s="237">
        <f ca="1">C46</f>
        <v>765401</v>
      </c>
      <c r="D45" s="227">
        <f ca="1">C47</f>
        <v>1E-3</v>
      </c>
      <c r="E45" s="228" t="s">
        <v>1539</v>
      </c>
      <c r="F45" s="238">
        <f ca="1">F27</f>
        <v>0.05</v>
      </c>
      <c r="G45" s="239" t="s">
        <v>1548</v>
      </c>
    </row>
    <row r="46" spans="1:7" s="206" customFormat="1" ht="13.5" customHeight="1">
      <c r="A46" s="732" t="s">
        <v>346</v>
      </c>
      <c r="B46" s="240" t="s">
        <v>1549</v>
      </c>
      <c r="C46" s="241">
        <f ca="1">ROUND((C33+C39)*F27,0)</f>
        <v>765401</v>
      </c>
      <c r="D46" s="255"/>
      <c r="E46" s="228"/>
      <c r="F46" s="238"/>
      <c r="G46" s="239"/>
    </row>
    <row r="47" spans="1:7" s="206" customFormat="1" ht="13.5" customHeight="1">
      <c r="A47" s="732"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18130859</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17224316</v>
      </c>
      <c r="D51" s="224"/>
      <c r="E51" s="224"/>
      <c r="F51" s="256"/>
      <c r="G51" s="226" t="s">
        <v>1560</v>
      </c>
    </row>
    <row r="52" spans="1:7" s="200" customFormat="1" ht="16.5" thickBot="1">
      <c r="A52" s="257" t="s">
        <v>1561</v>
      </c>
      <c r="B52" s="258"/>
      <c r="C52" s="259">
        <f ca="1">C31+C51</f>
        <v>20800259</v>
      </c>
      <c r="D52" s="258"/>
      <c r="E52" s="258"/>
      <c r="F52" s="258"/>
      <c r="G52" s="260"/>
    </row>
    <row r="55" spans="1:7" ht="15">
      <c r="B55" s="262" t="s">
        <v>1562</v>
      </c>
      <c r="C55" s="263"/>
    </row>
    <row r="56" spans="1:7">
      <c r="B56" s="265" t="s">
        <v>802</v>
      </c>
      <c r="C56" s="267">
        <f ca="1">1-C57</f>
        <v>0.17200000000000004</v>
      </c>
    </row>
    <row r="57" spans="1:7">
      <c r="B57" s="265" t="s">
        <v>803</v>
      </c>
      <c r="C57" s="266">
        <f ca="1">ROUND(C51/C52,3)</f>
        <v>0.82799999999999996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AAE046F1-564F-4817-A720-E56A57AEDEE5}">
      <formula1>"需扣减承租人权益,——"</formula1>
    </dataValidation>
    <dataValidation type="list" allowBlank="1" showInputMessage="1" showErrorMessage="1" sqref="G2" xr:uid="{1B3006D0-5328-481A-8901-BD1526B4A702}">
      <formula1>估价方法</formula1>
    </dataValidation>
    <dataValidation type="list" allowBlank="1" showInputMessage="1" showErrorMessage="1" sqref="B1" xr:uid="{F90E5C48-4F81-438E-8E8B-3BB54E1ADF8F}">
      <formula1>项目类型</formula1>
    </dataValidation>
    <dataValidation type="list" allowBlank="1" showInputMessage="1" showErrorMessage="1" sqref="G19" xr:uid="{D037FDFF-899F-4735-8CD4-562AC6038982}">
      <formula1>"已包含在土地取得成本中,未包含在土地取得成本中"</formula1>
    </dataValidation>
    <dataValidation type="list" allowBlank="1" showInputMessage="1" showErrorMessage="1" sqref="G8" xr:uid="{5C2028B7-98E3-417A-9A32-BA943CDBE1A5}">
      <formula1>"已包含在土地购买价格中,未包含在土地购买价格中"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CAAF-353D-483E-9D4D-DD147321BB32}">
  <sheetPr>
    <tabColor rgb="FF92D050"/>
  </sheetPr>
  <dimension ref="A1:AK83"/>
  <sheetViews>
    <sheetView view="pageBreakPreview" zoomScale="85" zoomScaleNormal="70" zoomScaleSheetLayoutView="85"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3474</v>
      </c>
      <c r="D1" s="1269" t="s">
        <v>43</v>
      </c>
      <c r="E1" s="1270" t="s">
        <v>678</v>
      </c>
      <c r="F1" s="997">
        <f ca="1">J53</f>
        <v>35.6</v>
      </c>
      <c r="G1" s="1284">
        <f>MATCH(C1,'数据-取费表'!A6:A16,0)+5</f>
        <v>10</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905.64049999999997</v>
      </c>
      <c r="C2" s="1287" t="s">
        <v>805</v>
      </c>
      <c r="D2" s="1373">
        <f ca="1">C40+J29+L46</f>
        <v>9056405</v>
      </c>
      <c r="E2" s="1293" t="s">
        <v>880</v>
      </c>
      <c r="F2" s="1294"/>
      <c r="G2" s="2476"/>
      <c r="H2" s="2466"/>
      <c r="I2" s="2466"/>
      <c r="J2" s="2466"/>
      <c r="K2" s="2467"/>
      <c r="L2" s="2466"/>
      <c r="M2" s="2466"/>
    </row>
    <row r="3" spans="1:37" ht="18" customHeight="1" thickBot="1">
      <c r="A3" s="1295" t="s">
        <v>806</v>
      </c>
      <c r="B3" s="1296">
        <f ca="1">IF(ISERROR(D2/F43),0,ROUND(D2/F43,0))</f>
        <v>2574</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609341</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608580</v>
      </c>
      <c r="D6" s="147" t="s">
        <v>2106</v>
      </c>
      <c r="E6" s="294" t="s">
        <v>696</v>
      </c>
      <c r="F6" s="295">
        <f ca="1">INDIRECT("'数据-取费表'!u"&amp;$G$1)</f>
        <v>489.99999999999994</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115</v>
      </c>
      <c r="G7" s="1290"/>
      <c r="H7" s="296"/>
      <c r="I7" s="3367"/>
      <c r="J7" s="298"/>
      <c r="K7" s="299"/>
      <c r="L7" s="294" t="s">
        <v>697</v>
      </c>
      <c r="M7" s="295">
        <f ca="1">F7</f>
        <v>115</v>
      </c>
    </row>
    <row r="8" spans="1:37" ht="18" customHeight="1">
      <c r="A8" s="296"/>
      <c r="B8" s="3367"/>
      <c r="C8" s="298"/>
      <c r="D8" s="299"/>
      <c r="E8" s="294" t="s">
        <v>698</v>
      </c>
      <c r="F8" s="295">
        <f ca="1">INDIRECT("'数据-取费表'!ai"&amp;$G$1)</f>
        <v>12</v>
      </c>
      <c r="G8" s="1290"/>
      <c r="H8" s="296"/>
      <c r="I8" s="3367"/>
      <c r="J8" s="298"/>
      <c r="K8" s="299"/>
      <c r="L8" s="294" t="s">
        <v>698</v>
      </c>
      <c r="M8" s="295">
        <f ca="1">INDIRECT("'数据-取费表'!ai"&amp;$G$1)</f>
        <v>12</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761</v>
      </c>
      <c r="D10" s="150" t="s">
        <v>2116</v>
      </c>
      <c r="E10" s="305" t="s">
        <v>701</v>
      </c>
      <c r="F10" s="1051" t="s">
        <v>3491</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17224316</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13688132</v>
      </c>
      <c r="D14" s="1255" t="s">
        <v>708</v>
      </c>
      <c r="E14" s="1253"/>
      <c r="F14" s="311"/>
      <c r="G14" s="1290"/>
      <c r="H14" s="926" t="s">
        <v>398</v>
      </c>
      <c r="I14" s="294" t="s">
        <v>709</v>
      </c>
      <c r="J14" s="21">
        <f ca="1">C29</f>
        <v>18130859</v>
      </c>
      <c r="K14" s="12"/>
      <c r="L14" s="757"/>
      <c r="M14" s="758"/>
    </row>
    <row r="15" spans="1:37" s="1302" customFormat="1" ht="18" customHeight="1" thickBot="1">
      <c r="A15" s="926" t="s">
        <v>399</v>
      </c>
      <c r="B15" s="294" t="s">
        <v>710</v>
      </c>
      <c r="C15" s="21">
        <f ca="1">ROUND(C14*F15,0)</f>
        <v>410644</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36262</v>
      </c>
      <c r="K16" s="1022" t="s">
        <v>715</v>
      </c>
      <c r="L16" s="1023"/>
      <c r="M16" s="1007"/>
    </row>
    <row r="17" spans="1:37" s="1302" customFormat="1" ht="18" customHeight="1">
      <c r="A17" s="926" t="s">
        <v>681</v>
      </c>
      <c r="B17" s="294" t="s">
        <v>716</v>
      </c>
      <c r="C17" s="21">
        <f ca="1">ROUND(F17*(F43+INDIRECT("'数据-取费表'!S"&amp;$G$1)),0)</f>
        <v>703760</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205322</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15007858</v>
      </c>
      <c r="D19" s="123" t="s">
        <v>726</v>
      </c>
      <c r="E19" s="1267"/>
      <c r="F19" s="23"/>
      <c r="G19" s="1290"/>
      <c r="H19" s="926" t="s">
        <v>399</v>
      </c>
      <c r="I19" s="294" t="s">
        <v>727</v>
      </c>
      <c r="J19" s="21">
        <f ca="1">IF(K19="按租金收入计税",ROUND(J6*M19/(1+'数据-取费表'!C42),0),ROUND(C29*M19*0.7,0))</f>
        <v>0</v>
      </c>
      <c r="K19" s="1276" t="s">
        <v>3333</v>
      </c>
      <c r="L19" s="294" t="s">
        <v>712</v>
      </c>
      <c r="M19" s="314">
        <f>IF(K19="按租金收入计税",'数据-取费表'!B51,'数据-取费表'!B50)</f>
        <v>0.12</v>
      </c>
    </row>
    <row r="20" spans="1:37" s="1302" customFormat="1" ht="18" customHeight="1">
      <c r="A20" s="926" t="s">
        <v>402</v>
      </c>
      <c r="B20" s="294" t="s">
        <v>728</v>
      </c>
      <c r="C20" s="21">
        <f ca="1">ROUND(C19*F20,0)</f>
        <v>300157</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36262</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694002</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-36262</v>
      </c>
      <c r="K25" s="1030" t="s">
        <v>753</v>
      </c>
      <c r="L25" s="1031"/>
      <c r="M25" s="1032"/>
    </row>
    <row r="26" spans="1:37" ht="18" customHeight="1">
      <c r="A26" s="926" t="s">
        <v>397</v>
      </c>
      <c r="B26" s="294" t="s">
        <v>754</v>
      </c>
      <c r="C26" s="21">
        <f ca="1">ROUND((C19+C20)*F26,0)</f>
        <v>765401</v>
      </c>
      <c r="D26" s="315" t="s">
        <v>755</v>
      </c>
      <c r="E26" s="305" t="s">
        <v>756</v>
      </c>
      <c r="F26" s="304">
        <f ca="1">INDIRECT("'数据-取费表'!q"&amp;$G$1)</f>
        <v>0.05</v>
      </c>
      <c r="G26" s="1290"/>
      <c r="H26" s="291" t="s">
        <v>395</v>
      </c>
      <c r="I26" s="292" t="s">
        <v>757</v>
      </c>
      <c r="J26" s="293">
        <f ca="1">IF(J5&lt;&gt;0,ROUND(J25*(1-((1+M28)/(1+M26))^M27)/(M26-M28),0),0)</f>
        <v>0</v>
      </c>
      <c r="K26" s="316" t="s">
        <v>758</v>
      </c>
      <c r="L26" s="294" t="s">
        <v>759</v>
      </c>
      <c r="M26" s="304">
        <f ca="1">INDIRECT("'数据-取费表'!I"&amp;$G$1)</f>
        <v>4.4999999999999998E-2</v>
      </c>
    </row>
    <row r="27" spans="1:37" ht="18" customHeight="1">
      <c r="A27" s="926" t="s">
        <v>399</v>
      </c>
      <c r="B27" s="294" t="s">
        <v>760</v>
      </c>
      <c r="C27" s="21">
        <f ca="1">ROUND(F21*F26,4)</f>
        <v>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18130859</v>
      </c>
      <c r="D29" s="1027"/>
      <c r="E29" s="1025"/>
      <c r="F29" s="1028"/>
      <c r="G29" s="1301"/>
      <c r="H29" s="325" t="s">
        <v>396</v>
      </c>
      <c r="I29" s="326" t="s">
        <v>768</v>
      </c>
      <c r="J29" s="327">
        <f ca="1">ROUND(J26/(1+F40)^F41,0)</f>
        <v>0</v>
      </c>
      <c r="K29" s="328" t="s">
        <v>769</v>
      </c>
      <c r="L29" s="329"/>
      <c r="M29" s="330">
        <f ca="1">INDIRECT("'数据-取费表'!k"&amp;$G$1)</f>
        <v>3518.8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161589</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102010</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32458</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69552</v>
      </c>
      <c r="D33" s="1276" t="s">
        <v>3333</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36262</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17224</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6093</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447752</v>
      </c>
      <c r="D39" s="1030" t="s">
        <v>753</v>
      </c>
      <c r="E39" s="1031"/>
      <c r="F39" s="1032"/>
      <c r="G39" s="1290"/>
      <c r="H39" s="2471"/>
      <c r="I39" s="1303"/>
      <c r="J39" s="1304"/>
      <c r="K39" s="2469"/>
      <c r="L39" s="2471"/>
      <c r="M39" s="2471"/>
    </row>
    <row r="40" spans="1:18" ht="18" customHeight="1">
      <c r="A40" s="291" t="s">
        <v>395</v>
      </c>
      <c r="B40" s="292" t="s">
        <v>774</v>
      </c>
      <c r="C40" s="293">
        <f ca="1">ROUND(C39*(1-((1+F42)/(1+F40))^F41)/(F40-F42),0)</f>
        <v>8404152</v>
      </c>
      <c r="D40" s="316" t="s">
        <v>758</v>
      </c>
      <c r="E40" s="294" t="s">
        <v>759</v>
      </c>
      <c r="F40" s="304">
        <f ca="1">INDIRECT("'数据-取费表'!I"&amp;$G$1)</f>
        <v>4.4999999999999998E-2</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35.6</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2388</v>
      </c>
      <c r="D43" s="328" t="s">
        <v>777</v>
      </c>
      <c r="E43" s="329" t="s">
        <v>778</v>
      </c>
      <c r="F43" s="330">
        <f ca="1">INDIRECT("'数据-取费表'!k"&amp;$G$1)</f>
        <v>3518.8</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3349</v>
      </c>
      <c r="B45" s="1305"/>
      <c r="C45" s="1374">
        <f ca="1">ROUND((C68-C40)/10000,4)</f>
        <v>-934.47090000000003</v>
      </c>
      <c r="D45" s="3128" t="s">
        <v>3350</v>
      </c>
      <c r="E45" s="1305"/>
      <c r="F45" s="1305"/>
      <c r="O45" s="1308" t="s">
        <v>808</v>
      </c>
      <c r="P45" s="1364"/>
      <c r="Q45" s="1364"/>
      <c r="R45" s="1364"/>
    </row>
    <row r="46" spans="1:18" s="1290" customFormat="1" ht="13.5" thickBot="1">
      <c r="A46" s="1309" t="s">
        <v>809</v>
      </c>
      <c r="C46" s="1310">
        <f ca="1">ROUND(C45,0)</f>
        <v>-934</v>
      </c>
      <c r="D46" s="1311" t="str">
        <f>C2</f>
        <v>万元</v>
      </c>
      <c r="I46" s="1312" t="s">
        <v>810</v>
      </c>
      <c r="J46" s="1313"/>
      <c r="K46" s="1314"/>
      <c r="L46" s="1315">
        <f ca="1">IF(M47="住宅",0,IF(L48&gt;J51,L60,J60))</f>
        <v>652253</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3492</v>
      </c>
      <c r="K47" s="1321" t="s">
        <v>816</v>
      </c>
      <c r="L47" s="1322">
        <f ca="1">INDIRECT("'数据-取费表'!d"&amp;$G$1)</f>
        <v>50</v>
      </c>
      <c r="M47" s="1286" t="str">
        <f>IF(ISNUMBER(FIND("住宅",C1)),"住宅","非住宅")</f>
        <v>非住宅</v>
      </c>
      <c r="O47" s="1323" t="s">
        <v>403</v>
      </c>
      <c r="P47" s="1324" t="s">
        <v>817</v>
      </c>
      <c r="Q47" s="1325">
        <f ca="1">C40+J29</f>
        <v>8404152</v>
      </c>
      <c r="R47" s="1325" t="s">
        <v>818</v>
      </c>
    </row>
    <row r="48" spans="1:18" s="1290" customFormat="1" ht="28.5" thickBot="1">
      <c r="A48" s="1045" t="s">
        <v>438</v>
      </c>
      <c r="B48" s="292" t="s">
        <v>692</v>
      </c>
      <c r="C48" s="1266">
        <f ca="1">C49+C53+C55</f>
        <v>0</v>
      </c>
      <c r="D48" s="1047"/>
      <c r="E48" s="1048"/>
      <c r="F48" s="906"/>
      <c r="G48" s="681"/>
      <c r="H48" s="682"/>
      <c r="I48" s="1326" t="s">
        <v>819</v>
      </c>
      <c r="J48" s="1327" t="s">
        <v>3493</v>
      </c>
      <c r="K48" s="1328" t="s">
        <v>820</v>
      </c>
      <c r="L48" s="1329">
        <f ca="1">INDIRECT("'数据-取费表'!f"&amp;$G$1)</f>
        <v>35.6</v>
      </c>
      <c r="O48" s="1323" t="s">
        <v>404</v>
      </c>
      <c r="P48" s="1324" t="s">
        <v>821</v>
      </c>
      <c r="Q48" s="1325">
        <f ca="1">J60</f>
        <v>652253</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18130859</v>
      </c>
      <c r="R49" s="1325" t="s">
        <v>818</v>
      </c>
    </row>
    <row r="50" spans="1:18" s="1290" customFormat="1" ht="13.5" thickBot="1">
      <c r="A50" s="920"/>
      <c r="B50" s="923"/>
      <c r="C50" s="924"/>
      <c r="D50" s="897"/>
      <c r="E50" s="991" t="s">
        <v>697</v>
      </c>
      <c r="F50" s="992">
        <f ca="1">F7</f>
        <v>115</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12</v>
      </c>
      <c r="I51" s="1336" t="s">
        <v>829</v>
      </c>
      <c r="J51" s="1329">
        <f>IF(J49="",J50,J49+J50-YEAR('数据-取费表'!B2))</f>
        <v>57</v>
      </c>
      <c r="K51" s="1337" t="s">
        <v>830</v>
      </c>
      <c r="L51" s="1338">
        <f ca="1">ROUND(-PV(INDIRECT("'数据-取费表'!h"&amp;$G$1),J51,(C39-C13*C76),0),0)</f>
        <v>-15473087</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'数据-取费表'!J10</f>
        <v>7.0000000000000007E-2</v>
      </c>
      <c r="K52" s="1340" t="s">
        <v>833</v>
      </c>
      <c r="L52" s="1341"/>
      <c r="O52" s="1332" t="s">
        <v>408</v>
      </c>
      <c r="P52" s="1324" t="s">
        <v>834</v>
      </c>
      <c r="Q52" s="1325">
        <f ca="1">J53</f>
        <v>35.6</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35.6</v>
      </c>
      <c r="K53" s="3369" t="s">
        <v>837</v>
      </c>
      <c r="L53" s="3370"/>
      <c r="O53" s="1323" t="s">
        <v>409</v>
      </c>
      <c r="P53" s="1324" t="s">
        <v>838</v>
      </c>
      <c r="Q53" s="1325">
        <f ca="1">Q47+Q48</f>
        <v>9056405</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0.35699999999999998</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17224316</v>
      </c>
      <c r="D56" s="1350"/>
      <c r="E56" s="1351"/>
      <c r="F56" s="1343"/>
      <c r="I56" s="1352" t="s">
        <v>842</v>
      </c>
      <c r="J56" s="1353" t="s">
        <v>3494</v>
      </c>
      <c r="K56" s="1326" t="s">
        <v>843</v>
      </c>
      <c r="L56" s="1329" t="str">
        <f ca="1">IF(L48&lt;J51,"——",L48-J51)</f>
        <v>——</v>
      </c>
      <c r="O56" s="1323" t="s">
        <v>403</v>
      </c>
      <c r="P56" s="1324" t="s">
        <v>817</v>
      </c>
      <c r="Q56" s="1325">
        <f ca="1">C40+J29</f>
        <v>8404152</v>
      </c>
      <c r="R56" s="1325" t="s">
        <v>818</v>
      </c>
    </row>
    <row r="57" spans="1:18" s="1290" customFormat="1" ht="24.75" thickBot="1">
      <c r="A57" s="1354"/>
      <c r="B57" s="894" t="s">
        <v>767</v>
      </c>
      <c r="C57" s="230">
        <f ca="1">C29</f>
        <v>18130859</v>
      </c>
      <c r="D57" s="1355"/>
      <c r="E57" s="1356"/>
      <c r="F57" s="1357"/>
      <c r="I57" s="1358" t="s">
        <v>844</v>
      </c>
      <c r="J57" s="1359">
        <f ca="1">IF(OR(M47="住宅",J51&lt;L48,J56="是"),"——",J51-L48)</f>
        <v>21.4</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53486</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7252344</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652253</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3333</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8404152</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36262</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17224</v>
      </c>
      <c r="D65" s="908" t="s">
        <v>743</v>
      </c>
      <c r="E65" s="894" t="s">
        <v>712</v>
      </c>
      <c r="F65" s="321">
        <f t="shared" ca="1" si="0"/>
        <v>1E-3</v>
      </c>
      <c r="I65" s="1365" t="s">
        <v>867</v>
      </c>
      <c r="J65" s="610">
        <v>40</v>
      </c>
      <c r="K65" s="610">
        <v>30</v>
      </c>
      <c r="L65" s="610">
        <v>50</v>
      </c>
      <c r="M65" s="1367">
        <v>0.02</v>
      </c>
      <c r="O65" s="1323" t="s">
        <v>403</v>
      </c>
      <c r="P65" s="1324" t="s">
        <v>817</v>
      </c>
      <c r="Q65" s="1325">
        <f ca="1">C40+J29</f>
        <v>8404152</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-53486</v>
      </c>
      <c r="D67" s="907" t="s">
        <v>753</v>
      </c>
      <c r="E67" s="912"/>
      <c r="F67" s="913"/>
      <c r="O67" s="1332" t="s">
        <v>405</v>
      </c>
      <c r="P67" s="1324" t="s">
        <v>850</v>
      </c>
      <c r="Q67" s="1368">
        <f ca="1">L51</f>
        <v>-15473087</v>
      </c>
      <c r="R67" s="1325" t="s">
        <v>870</v>
      </c>
    </row>
    <row r="68" spans="1:18" s="1290" customFormat="1" ht="16.5" thickBot="1">
      <c r="A68" s="891" t="s">
        <v>395</v>
      </c>
      <c r="B68" s="892" t="s">
        <v>774</v>
      </c>
      <c r="C68" s="293">
        <f ca="1">ROUND(C67*(1-((1+F70)/(1+F68))^F69)/(F68-F70),0)</f>
        <v>-940557</v>
      </c>
      <c r="D68" s="909" t="s">
        <v>758</v>
      </c>
      <c r="E68" s="894" t="s">
        <v>759</v>
      </c>
      <c r="F68" s="304">
        <f ca="1">F40</f>
        <v>4.4999999999999998E-2</v>
      </c>
      <c r="O68" s="1332" t="s">
        <v>406</v>
      </c>
      <c r="P68" s="1369" t="s">
        <v>871</v>
      </c>
      <c r="Q68" s="1325">
        <f ca="1">ROUND(Q69-Q70*Q71,0)</f>
        <v>-757950</v>
      </c>
      <c r="R68" s="1325" t="s">
        <v>414</v>
      </c>
    </row>
    <row r="69" spans="1:18" s="1290" customFormat="1" ht="13.5" thickBot="1">
      <c r="A69" s="895"/>
      <c r="B69" s="896"/>
      <c r="C69" s="298"/>
      <c r="D69" s="914" t="s">
        <v>762</v>
      </c>
      <c r="E69" s="894" t="s">
        <v>763</v>
      </c>
      <c r="F69" s="324">
        <f ca="1">F41</f>
        <v>35.6</v>
      </c>
      <c r="O69" s="1332" t="s">
        <v>411</v>
      </c>
      <c r="P69" s="1369" t="s">
        <v>872</v>
      </c>
      <c r="Q69" s="1325">
        <f ca="1">C39</f>
        <v>447752</v>
      </c>
      <c r="R69" s="1325" t="s">
        <v>818</v>
      </c>
    </row>
    <row r="70" spans="1:18" s="1290" customFormat="1" ht="13.5" thickBot="1">
      <c r="A70" s="898"/>
      <c r="B70" s="899"/>
      <c r="C70" s="302"/>
      <c r="D70" s="910"/>
      <c r="E70" s="894" t="s">
        <v>766</v>
      </c>
      <c r="F70" s="989"/>
      <c r="O70" s="1332" t="s">
        <v>412</v>
      </c>
      <c r="P70" s="1369" t="s">
        <v>873</v>
      </c>
      <c r="Q70" s="1325">
        <f ca="1">C13</f>
        <v>17224316</v>
      </c>
      <c r="R70" s="1325" t="s">
        <v>818</v>
      </c>
    </row>
    <row r="71" spans="1:18" s="1290" customFormat="1" ht="13.5" thickBot="1">
      <c r="A71" s="915" t="s">
        <v>396</v>
      </c>
      <c r="B71" s="916" t="s">
        <v>776</v>
      </c>
      <c r="C71" s="327">
        <f ca="1">ROUND(C68/F71,0)</f>
        <v>-267</v>
      </c>
      <c r="D71" s="917" t="s">
        <v>777</v>
      </c>
      <c r="E71" s="918" t="s">
        <v>778</v>
      </c>
      <c r="F71" s="330">
        <f ca="1">F43</f>
        <v>3518.8</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1205702</v>
      </c>
      <c r="D75" s="1290"/>
      <c r="E75" s="1290"/>
      <c r="F75" s="1290"/>
      <c r="K75" s="1307"/>
      <c r="L75" s="1290"/>
      <c r="O75" s="1323" t="s">
        <v>409</v>
      </c>
      <c r="P75" s="1324" t="s">
        <v>838</v>
      </c>
      <c r="Q75" s="1325">
        <f ca="1">Q65+Q66</f>
        <v>8404152</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-1.6930000000000001</v>
      </c>
    </row>
    <row r="80" spans="1:18">
      <c r="B80" s="331" t="s">
        <v>800</v>
      </c>
      <c r="C80" s="266">
        <f ca="1">ROUND(C75/C39,3)</f>
        <v>2.6930000000000001</v>
      </c>
    </row>
    <row r="81" spans="2:3">
      <c r="B81" s="262" t="s">
        <v>801</v>
      </c>
      <c r="C81" s="230"/>
    </row>
    <row r="82" spans="2:3">
      <c r="B82" s="265" t="s">
        <v>802</v>
      </c>
      <c r="C82" s="267">
        <f ca="1">1-C83</f>
        <v>-1.0499999999999998</v>
      </c>
    </row>
    <row r="83" spans="2:3">
      <c r="B83" s="265" t="s">
        <v>803</v>
      </c>
      <c r="C83" s="266">
        <f ca="1">ROUND(C13/C40,3)</f>
        <v>2.0499999999999998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D1" xr:uid="{FD3C15A4-3EF3-42B5-8B81-C278DF70C518}">
      <formula1>"在建（套用方法）,土地（套用方法）,——"</formula1>
    </dataValidation>
    <dataValidation type="list" allowBlank="1" showInputMessage="1" showErrorMessage="1" sqref="F10 F53 M10" xr:uid="{0E8C4858-6EA7-4503-BBF8-1EBBFCA6D432}">
      <formula1>"押一,押二,押三,自定义"</formula1>
    </dataValidation>
    <dataValidation type="list" allowBlank="1" showInputMessage="1" showErrorMessage="1" sqref="K19" xr:uid="{8E5FB511-8B09-4D31-B04C-2631E39B34F3}">
      <formula1>"按租金收入计税,按房产原值计税"</formula1>
    </dataValidation>
    <dataValidation type="list" allowBlank="1" showInputMessage="1" showErrorMessage="1" sqref="D33 D61" xr:uid="{EF08DF2B-1612-4025-9DD8-742AB5FA8B66}">
      <formula1>"按租金收入计税,按房产原值计税,按票据"</formula1>
    </dataValidation>
    <dataValidation type="list" allowBlank="1" showInputMessage="1" showErrorMessage="1" sqref="C1" xr:uid="{2CFEF381-B562-4609-837C-751ACA55FD6F}">
      <formula1>项目类型</formula1>
    </dataValidation>
    <dataValidation type="list" allowBlank="1" showInputMessage="1" showErrorMessage="1" sqref="J47" xr:uid="{D46C27CC-5BD4-4A7C-974E-384B32363950}">
      <formula1>"钢,钢混,砖混"</formula1>
    </dataValidation>
    <dataValidation type="list" allowBlank="1" showInputMessage="1" showErrorMessage="1" sqref="J48" xr:uid="{84BB85B9-1DF4-49CA-A182-A01D2B222BB8}">
      <formula1>"非生产用房,生产用房,受腐蚀的生产用房"</formula1>
    </dataValidation>
    <dataValidation type="list" allowBlank="1" showInputMessage="1" showErrorMessage="1" sqref="J56" xr:uid="{1ED5C73C-6445-4D9E-A2BD-6B9E4B5B861E}">
      <formula1>估价范围判定</formula1>
    </dataValidation>
    <dataValidation type="list" allowBlank="1" showInputMessage="1" showErrorMessage="1" sqref="L55" xr:uid="{BDE401AC-F141-4463-933A-5673DB3D05E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受贵公司委托，我公司对北京市房地产市场价值进行了预评估。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估价对象为北京市房地产，为所有。根据《国有土地使用证》[]，估价对象（分摊）出让国有建设用地使用权面积为0平方米，建筑面积为41825.5平方米。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估价对象为北京市房地产,属开发建设的，该项目尚在开发建设中。根据《国有土地使用证》[]，估价对象（分摊）出让国有建设用地使用权面积为0平方米，规划建筑面积为41825.5平方米。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2025年8月15日（评估专业人员实地查勘之日）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0" t="str">
        <f>IF(项目基本情况!B9="房地产市场价值","——",IF(项目基本情况!E8="房地产抵押价值",定义!C54,IF(项目基本情况!E8="已注销",定义!C55,定义!C56)))</f>
        <v>——</v>
      </c>
    </row>
    <row r="21" spans="1:1" ht="18">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0" t="str">
        <f>IF(项目基本情况!B9="房地产市场价值","——",IF(项目基本情况!E9="——","",定义!C57))</f>
        <v>——</v>
      </c>
    </row>
    <row r="23" spans="1:1" ht="18.75">
      <c r="A23" s="1379" t="s">
        <v>896</v>
      </c>
    </row>
    <row r="24" spans="1:1" ht="18">
      <c r="A24" s="1385" t="str">
        <f>"本次评估采用的主估价方法为"&amp;结果表!K4&amp;"和"&amp;结果表!L4&amp;"。"</f>
        <v>本次评估采用的主估价方法为基准地价系数修正法和基准地价系数修正法。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2E05-BB4A-484B-AC52-FBB6EE1DF3E3}">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3330</v>
      </c>
      <c r="C1" s="1715" t="s">
        <v>1563</v>
      </c>
      <c r="D1" s="190"/>
      <c r="E1" s="190"/>
      <c r="F1" s="190"/>
      <c r="G1" s="1060">
        <f>MATCH(B1,'数据-取费表'!A6:A16,0)+5</f>
        <v>9</v>
      </c>
      <c r="H1" s="996" t="str">
        <f>IF(ISERROR(FIND("住宅",B1)),"非住宅","住宅")</f>
        <v>非住宅</v>
      </c>
    </row>
    <row r="2" spans="1:8" s="192" customFormat="1" ht="18" customHeight="1">
      <c r="A2" s="193" t="s">
        <v>685</v>
      </c>
      <c r="B2" s="3120">
        <f ca="1">ROUND(IF(D2="——",C52/10000,C52/10000-E2),4)</f>
        <v>10090.661099999999</v>
      </c>
      <c r="C2" s="191" t="s">
        <v>1463</v>
      </c>
      <c r="D2" s="1709" t="s">
        <v>43</v>
      </c>
      <c r="E2" s="1087" t="e">
        <f ca="1">SUMIF(INDIRECT("'"&amp;G2&amp;"'"&amp;"!A:A"),"承租人权益价值",INDIRECT("'"&amp;G2&amp;"'"&amp;"!c:c"))</f>
        <v>#REF!</v>
      </c>
      <c r="F2" s="1710" t="s">
        <v>1463</v>
      </c>
      <c r="G2" s="1711"/>
    </row>
    <row r="3" spans="1:8" s="192" customFormat="1" ht="18" customHeight="1" thickBot="1">
      <c r="A3" s="195" t="s">
        <v>686</v>
      </c>
      <c r="B3" s="196">
        <f ca="1">ROUND(B2*10000/(IF(B1="",'数据-汇总表'!E3,INDIRECT("'数据-取费表'!k"&amp;$G$1))),0)</f>
        <v>5803</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14031482</v>
      </c>
      <c r="D5" s="203" t="s">
        <v>1469</v>
      </c>
      <c r="E5" s="204" t="s">
        <v>1470</v>
      </c>
      <c r="F5" s="204" t="s">
        <v>1471</v>
      </c>
      <c r="G5" s="205"/>
    </row>
    <row r="6" spans="1:8" s="206" customFormat="1" ht="13.5" customHeight="1">
      <c r="A6" s="730" t="s">
        <v>346</v>
      </c>
      <c r="B6" s="207" t="s">
        <v>1473</v>
      </c>
      <c r="C6" s="208">
        <f>ROUND('基准地价修正 -办公'!G42*'数据-基础表'!Q13,0)</f>
        <v>10241520</v>
      </c>
      <c r="D6" s="209"/>
      <c r="E6" s="210"/>
      <c r="F6" s="210"/>
      <c r="G6" s="211"/>
    </row>
    <row r="7" spans="1:8" s="206" customFormat="1" ht="13.5" customHeight="1">
      <c r="A7" s="730" t="s">
        <v>347</v>
      </c>
      <c r="B7" s="207" t="s">
        <v>1475</v>
      </c>
      <c r="C7" s="212">
        <f>ROUND(C6*F7,0)</f>
        <v>312366</v>
      </c>
      <c r="D7" s="212"/>
      <c r="E7" s="210"/>
      <c r="F7" s="213">
        <f>IF(项目基本情况!B8="出让",0,'数据-取费表'!B48+'数据-取费表'!B49)</f>
        <v>3.0499999999999999E-2</v>
      </c>
      <c r="G7" s="211"/>
    </row>
    <row r="8" spans="1:8" s="215" customFormat="1">
      <c r="A8" s="730" t="s">
        <v>348</v>
      </c>
      <c r="B8" s="207" t="s">
        <v>1477</v>
      </c>
      <c r="C8" s="212">
        <f ca="1">IF(G8="已包含在土地购买价格中",0,C9+C10)</f>
        <v>3477596</v>
      </c>
      <c r="D8" s="214"/>
      <c r="E8" s="212"/>
      <c r="F8" s="213"/>
      <c r="G8" s="1712" t="s">
        <v>3470</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3477596</v>
      </c>
      <c r="D10" s="793">
        <f ca="1">IF(B1="",'数据-汇总表'!E6,IF(INDIRECT("'数据-取费表'!c"&amp;$G$1)="住宅",INDIRECT("'数据-取费表'!s"&amp;$G$1),INDIRECT("'数据-取费表'!k"&amp;$G$1)+INDIRECT("'数据-取费表'!s"&amp;$G$1)))</f>
        <v>17387.98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17387.98</v>
      </c>
      <c r="E19" s="203">
        <f>'数据-取费表'!B31</f>
        <v>200</v>
      </c>
      <c r="F19" s="223"/>
      <c r="G19" s="1712" t="s">
        <v>3471</v>
      </c>
    </row>
    <row r="20" spans="1:7" s="206" customFormat="1" ht="13.5" customHeight="1">
      <c r="A20" s="247" t="s">
        <v>1493</v>
      </c>
      <c r="B20" s="202" t="s">
        <v>1494</v>
      </c>
      <c r="C20" s="224">
        <f ca="1">ROUND((C5+C19)*F20,0)</f>
        <v>280630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1313820</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230">
        <f ca="1">ROUND(IF('数据-取费表'!B22&lt;=1,C5*F22*'数据-取费表'!B22,C5*(POWER((1+F22),'数据-取费表'!B22)-1)),0)</f>
        <v>1301097</v>
      </c>
      <c r="D23" s="230"/>
      <c r="E23" s="230"/>
      <c r="F23" s="231"/>
      <c r="G23" s="232" t="s">
        <v>1504</v>
      </c>
    </row>
    <row r="24" spans="1:7" s="206" customFormat="1" ht="13.5" customHeight="1">
      <c r="A24" s="732"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2" t="s">
        <v>348</v>
      </c>
      <c r="B25" s="207" t="s">
        <v>1509</v>
      </c>
      <c r="C25" s="230">
        <f ca="1">ROUND(IF('数据-取费表'!B22&lt;=1,C20*F22*'数据-取费表'!B22/2,C20*(POWER((1+F22),'数据-取费表'!B22/2)-1)),0)</f>
        <v>12723</v>
      </c>
      <c r="D25" s="230"/>
      <c r="E25" s="233"/>
      <c r="F25" s="231"/>
      <c r="G25" s="234" t="s">
        <v>1510</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715606</v>
      </c>
      <c r="D27" s="227">
        <f ca="1">C29</f>
        <v>1E-3</v>
      </c>
      <c r="E27" s="228" t="s">
        <v>1498</v>
      </c>
      <c r="F27" s="238">
        <f ca="1">IF(B1="",'数据-取费表'!Q16,INDIRECT("'数据-取费表'!q"&amp;$G$1))</f>
        <v>0.05</v>
      </c>
      <c r="G27" s="239" t="s">
        <v>1515</v>
      </c>
    </row>
    <row r="28" spans="1:7" s="206" customFormat="1" ht="13.5" customHeight="1">
      <c r="A28" s="732" t="s">
        <v>346</v>
      </c>
      <c r="B28" s="240" t="s">
        <v>1516</v>
      </c>
      <c r="C28" s="241">
        <f ca="1">ROUND((C5+C19+C20)*F27,0)</f>
        <v>715606</v>
      </c>
      <c r="D28" s="227"/>
      <c r="E28" s="228"/>
      <c r="F28" s="238"/>
      <c r="G28" s="239"/>
    </row>
    <row r="29" spans="1:7" s="206" customFormat="1" ht="13.5" customHeight="1">
      <c r="A29" s="732"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17670348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72525265</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66074324</v>
      </c>
      <c r="D34" s="209"/>
      <c r="E34" s="212"/>
      <c r="F34" s="249"/>
      <c r="G34" s="211"/>
    </row>
    <row r="35" spans="1:7" ht="13.5" customHeight="1">
      <c r="A35" s="732" t="s">
        <v>351</v>
      </c>
      <c r="B35" s="207" t="s">
        <v>1527</v>
      </c>
      <c r="C35" s="212">
        <f ca="1">ROUND(C34*F35,0)</f>
        <v>1982230</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3477596</v>
      </c>
      <c r="D37" s="209">
        <f ca="1">D19</f>
        <v>17387.98</v>
      </c>
      <c r="E37" s="241">
        <f>'数据-取费表'!B35</f>
        <v>200</v>
      </c>
      <c r="F37" s="251"/>
      <c r="G37" s="253"/>
    </row>
    <row r="38" spans="1:7" ht="13.5" customHeight="1">
      <c r="A38" s="732" t="s">
        <v>354</v>
      </c>
      <c r="B38" s="207" t="s">
        <v>1533</v>
      </c>
      <c r="C38" s="212">
        <f ca="1">ROUND(C34*F38,0)</f>
        <v>991115</v>
      </c>
      <c r="D38" s="212"/>
      <c r="E38" s="212"/>
      <c r="F38" s="251">
        <f>'数据-取费表'!B36</f>
        <v>1.4999999999999999E-2</v>
      </c>
      <c r="G38" s="211" t="s">
        <v>1528</v>
      </c>
    </row>
    <row r="39" spans="1:7" s="206" customFormat="1" ht="13.5" customHeight="1">
      <c r="A39" s="247" t="s">
        <v>1491</v>
      </c>
      <c r="B39" s="202" t="s">
        <v>1494</v>
      </c>
      <c r="C39" s="224">
        <f ca="1">ROUND(C33*F20,0)</f>
        <v>1450505</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3353753</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ROUND(IF('数据-取费表'!B22&lt;=1,C33*F22*'数据-取费表'!B20/2,C33*(POWER((1+F22),'数据-取费表'!B20/2)-1)),0)</f>
        <v>3287993</v>
      </c>
      <c r="D42" s="230"/>
      <c r="E42" s="230"/>
      <c r="F42" s="231"/>
      <c r="G42" s="3363" t="s">
        <v>1591</v>
      </c>
    </row>
    <row r="43" spans="1:7" ht="13.5" customHeight="1">
      <c r="A43" s="732" t="s">
        <v>347</v>
      </c>
      <c r="B43" s="207" t="s">
        <v>1506</v>
      </c>
      <c r="C43" s="230">
        <f ca="1">ROUND(IF('数据-取费表'!B22&lt;=1,C39*F22*'数据-取费表'!B20/2,C39*(POWER((1+F22),'数据-取费表'!B20/2)-1)),0)</f>
        <v>65760</v>
      </c>
      <c r="D43" s="230"/>
      <c r="E43" s="230"/>
      <c r="F43" s="231"/>
      <c r="G43" s="3364"/>
    </row>
    <row r="44" spans="1:7" ht="13.5" customHeight="1">
      <c r="A44" s="732" t="s">
        <v>348</v>
      </c>
      <c r="B44" s="207" t="s">
        <v>1509</v>
      </c>
      <c r="C44" s="230">
        <f ca="1">ROUND(IF('数据-取费表'!B22&lt;=1,C40*F22*'数据-取费表'!B20/2,C40*(POWER((1+F22),'数据-取费表'!B20/2)-1)),4)</f>
        <v>8.9999999999999998E-4</v>
      </c>
      <c r="D44" s="230"/>
      <c r="E44" s="230"/>
      <c r="F44" s="231"/>
      <c r="G44" s="3365"/>
    </row>
    <row r="45" spans="1:7" s="206" customFormat="1" ht="13.5" customHeight="1">
      <c r="A45" s="247" t="s">
        <v>1500</v>
      </c>
      <c r="B45" s="236" t="s">
        <v>1513</v>
      </c>
      <c r="C45" s="237">
        <f ca="1">C46</f>
        <v>3698789</v>
      </c>
      <c r="D45" s="227">
        <f ca="1">C47</f>
        <v>1E-3</v>
      </c>
      <c r="E45" s="228" t="s">
        <v>1539</v>
      </c>
      <c r="F45" s="238">
        <f ca="1">F27</f>
        <v>0.05</v>
      </c>
      <c r="G45" s="239" t="s">
        <v>1548</v>
      </c>
    </row>
    <row r="46" spans="1:7" s="206" customFormat="1" ht="13.5" customHeight="1">
      <c r="A46" s="732" t="s">
        <v>346</v>
      </c>
      <c r="B46" s="240" t="s">
        <v>1549</v>
      </c>
      <c r="C46" s="241">
        <f ca="1">ROUND((C33+C39)*F27,0)</f>
        <v>3698789</v>
      </c>
      <c r="D46" s="255"/>
      <c r="E46" s="228"/>
      <c r="F46" s="238"/>
      <c r="G46" s="239"/>
    </row>
    <row r="47" spans="1:7" s="206" customFormat="1" ht="13.5" customHeight="1">
      <c r="A47" s="732"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87617119</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83236263</v>
      </c>
      <c r="D51" s="224"/>
      <c r="E51" s="224"/>
      <c r="F51" s="256"/>
      <c r="G51" s="226" t="s">
        <v>1560</v>
      </c>
    </row>
    <row r="52" spans="1:7" s="200" customFormat="1" ht="16.5" thickBot="1">
      <c r="A52" s="257" t="s">
        <v>1561</v>
      </c>
      <c r="B52" s="258"/>
      <c r="C52" s="259">
        <f ca="1">C31+C51</f>
        <v>100906611</v>
      </c>
      <c r="D52" s="258"/>
      <c r="E52" s="258"/>
      <c r="F52" s="258"/>
      <c r="G52" s="260"/>
    </row>
    <row r="55" spans="1:7" ht="15">
      <c r="B55" s="262" t="s">
        <v>1562</v>
      </c>
      <c r="C55" s="263"/>
    </row>
    <row r="56" spans="1:7">
      <c r="B56" s="265" t="s">
        <v>802</v>
      </c>
      <c r="C56" s="267">
        <f ca="1">1-C57</f>
        <v>0.17500000000000004</v>
      </c>
    </row>
    <row r="57" spans="1:7">
      <c r="B57" s="265" t="s">
        <v>803</v>
      </c>
      <c r="C57" s="266">
        <f ca="1">ROUND(C51/C52,3)</f>
        <v>0.82499999999999996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4ACE42CB-1DCA-4EA8-957E-76C149D1A1B9}">
      <formula1>"已包含在土地购买价格中,未包含在土地购买价格中"</formula1>
    </dataValidation>
    <dataValidation type="list" allowBlank="1" showInputMessage="1" showErrorMessage="1" sqref="G19" xr:uid="{2892FDD3-A951-4CF2-BDD1-3F3A47C0F425}">
      <formula1>"已包含在土地取得成本中,未包含在土地取得成本中"</formula1>
    </dataValidation>
    <dataValidation type="list" allowBlank="1" showInputMessage="1" showErrorMessage="1" sqref="B1" xr:uid="{36E92354-173D-48E7-8831-127B9C5AEDEB}">
      <formula1>项目类型</formula1>
    </dataValidation>
    <dataValidation type="list" allowBlank="1" showInputMessage="1" showErrorMessage="1" sqref="G2" xr:uid="{65517BA4-DC78-4E66-B232-86A955C86041}">
      <formula1>估价方法</formula1>
    </dataValidation>
    <dataValidation type="list" allowBlank="1" showInputMessage="1" showErrorMessage="1" sqref="D2" xr:uid="{264638C4-4DBC-4BE0-A625-1C834EC1A64C}">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c r="D1" s="1269" t="s">
        <v>43</v>
      </c>
      <c r="E1" s="1270" t="s">
        <v>678</v>
      </c>
      <c r="F1" s="997">
        <f ca="1">J53</f>
        <v>0</v>
      </c>
      <c r="G1" s="1284">
        <f>MATCH(C1,'数据-取费表'!A6:A16,0)+5</f>
        <v>12</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6"/>
      <c r="H2" s="2466"/>
      <c r="I2" s="2466"/>
      <c r="J2" s="2466"/>
      <c r="K2" s="2467"/>
      <c r="L2" s="2466"/>
      <c r="M2" s="2466"/>
    </row>
    <row r="3" spans="1:37" ht="18" customHeight="1" thickBot="1">
      <c r="A3" s="1295" t="s">
        <v>806</v>
      </c>
      <c r="B3" s="1296">
        <f ca="1">IF(ISERROR(B2*10000/F43),0,ROUND(B2*10000/F43,0))</f>
        <v>0</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ROUND(F6*F8*F7*(1-F9)/10000,0)</f>
        <v>0</v>
      </c>
      <c r="D6" s="147" t="s">
        <v>2109</v>
      </c>
      <c r="E6" s="294" t="s">
        <v>696</v>
      </c>
      <c r="F6" s="295">
        <f ca="1">INDIRECT("'数据-取费表'!u"&amp;$G$1)</f>
        <v>0</v>
      </c>
      <c r="G6" s="1290"/>
      <c r="H6" s="1004" t="s">
        <v>398</v>
      </c>
      <c r="I6" s="3366" t="s">
        <v>694</v>
      </c>
      <c r="J6" s="293">
        <f ca="1">ROUND(M6*M8*M7*(1-M9)/10000,0)</f>
        <v>0</v>
      </c>
      <c r="K6" s="147" t="s">
        <v>2108</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0</v>
      </c>
      <c r="G7" s="1290"/>
      <c r="H7" s="296"/>
      <c r="I7" s="3367"/>
      <c r="J7" s="298"/>
      <c r="K7" s="299"/>
      <c r="L7" s="294" t="s">
        <v>697</v>
      </c>
      <c r="M7" s="295">
        <f ca="1">F7</f>
        <v>0</v>
      </c>
    </row>
    <row r="8" spans="1:37" ht="18" customHeight="1">
      <c r="A8" s="296"/>
      <c r="B8" s="3367"/>
      <c r="C8" s="298"/>
      <c r="D8" s="299"/>
      <c r="E8" s="294" t="s">
        <v>698</v>
      </c>
      <c r="F8" s="295">
        <f ca="1">INDIRECT("'数据-取费表'!ai"&amp;$G$1)</f>
        <v>0</v>
      </c>
      <c r="G8" s="1290"/>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2117</v>
      </c>
      <c r="E10" s="305" t="s">
        <v>701</v>
      </c>
      <c r="F10" s="1051"/>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8">
        <f ca="1">ROUND(IF(AND(项目基本情况!B11="自然人",项目基本情况!B10="北京市"),J6*M17/(1+'数据-取费表'!C42),J18+J19+J20),2)</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1.4999999999999999E-2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3333</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ROUND(IF(AND(项目基本情况!B11="自然人",项目基本情况!B10="北京市"),C6*F31/(1+'数据-取费表'!C42),C32+C33+C34),2)</f>
        <v>0</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3333</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IF(项目基本情况!B11="自然人","——",ROUND(F34*F35/10000,2))</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ROUND(C29*F36,2)</f>
        <v>0</v>
      </c>
      <c r="D36" s="1254" t="s">
        <v>771</v>
      </c>
      <c r="E36" s="294" t="s">
        <v>712</v>
      </c>
      <c r="F36" s="320">
        <f ca="1">INDIRECT("'数据-取费表'!Ak"&amp;$G$1)</f>
        <v>0</v>
      </c>
      <c r="G36" s="1290"/>
      <c r="H36" s="2471"/>
      <c r="I36" s="1303"/>
      <c r="J36" s="1304"/>
      <c r="K36" s="2328"/>
      <c r="L36" s="2471"/>
      <c r="M36" s="2471"/>
    </row>
    <row r="37" spans="1:18" ht="18" customHeight="1">
      <c r="A37" s="926" t="s">
        <v>437</v>
      </c>
      <c r="B37" s="294" t="s">
        <v>742</v>
      </c>
      <c r="C37" s="21">
        <f ca="1">ROUND(C13*F37,2)</f>
        <v>0</v>
      </c>
      <c r="D37" s="1254" t="s">
        <v>743</v>
      </c>
      <c r="E37" s="294" t="s">
        <v>744</v>
      </c>
      <c r="F37" s="321">
        <f ca="1">INDIRECT("'数据-取费表'!Al"&amp;$G$1)</f>
        <v>0</v>
      </c>
      <c r="G37" s="1290"/>
      <c r="H37" s="2471"/>
      <c r="I37" s="1303"/>
      <c r="J37" s="1304"/>
      <c r="K37" s="2328"/>
      <c r="L37" s="2471"/>
      <c r="M37" s="2471"/>
    </row>
    <row r="38" spans="1:18" ht="18" customHeight="1" thickBot="1">
      <c r="A38" s="1024" t="s">
        <v>684</v>
      </c>
      <c r="B38" s="1025" t="s">
        <v>728</v>
      </c>
      <c r="C38" s="1026">
        <f ca="1">ROUND(C5*F38,2)</f>
        <v>0</v>
      </c>
      <c r="D38" s="1027" t="s">
        <v>748</v>
      </c>
      <c r="E38" s="1025" t="s">
        <v>744</v>
      </c>
      <c r="F38" s="1021">
        <f ca="1">INDIRECT("'数据-取费表'!Am"&amp;$G$1)</f>
        <v>0</v>
      </c>
      <c r="G38" s="1290"/>
      <c r="H38" s="2471"/>
      <c r="I38" s="1303"/>
      <c r="J38" s="1304"/>
      <c r="K38" s="2469"/>
      <c r="L38" s="2471"/>
      <c r="M38" s="2471"/>
    </row>
    <row r="39" spans="1:18" ht="24.6" customHeight="1" thickTop="1">
      <c r="A39" s="1014" t="s">
        <v>394</v>
      </c>
      <c r="B39" s="1029" t="s">
        <v>772</v>
      </c>
      <c r="C39" s="302">
        <f ca="1">C5-C30</f>
        <v>0</v>
      </c>
      <c r="D39" s="1030" t="s">
        <v>773</v>
      </c>
      <c r="E39" s="1031"/>
      <c r="F39" s="1032"/>
      <c r="G39" s="1290"/>
      <c r="H39" s="2471"/>
      <c r="I39" s="1303"/>
      <c r="J39" s="1304"/>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8"/>
      <c r="L41" s="121"/>
      <c r="M41" s="121"/>
    </row>
    <row r="42" spans="1:18" ht="18" customHeight="1">
      <c r="A42" s="300"/>
      <c r="B42" s="301"/>
      <c r="C42" s="302"/>
      <c r="D42" s="319"/>
      <c r="E42" s="294" t="s">
        <v>766</v>
      </c>
      <c r="F42" s="304">
        <f ca="1">INDIRECT("'数据-取费表'!v"&amp;$G$1)</f>
        <v>0</v>
      </c>
      <c r="G42" s="1290"/>
      <c r="H42" s="121"/>
      <c r="I42" s="1303"/>
      <c r="J42" s="1304"/>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5"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ROUND(F49*F51*F50*(1-F52)/10000,0)</f>
        <v>0</v>
      </c>
      <c r="D49" s="990" t="s">
        <v>2110</v>
      </c>
      <c r="E49" s="1278" t="s">
        <v>780</v>
      </c>
      <c r="F49" s="995"/>
      <c r="H49" s="682"/>
      <c r="I49" s="1326" t="s">
        <v>823</v>
      </c>
      <c r="J49" s="1330"/>
      <c r="K49" s="1328" t="s">
        <v>824</v>
      </c>
      <c r="L49" s="1331"/>
      <c r="O49" s="1332" t="s">
        <v>405</v>
      </c>
      <c r="P49" s="1324" t="s">
        <v>825</v>
      </c>
      <c r="Q49" s="1325">
        <f ca="1">C29</f>
        <v>0</v>
      </c>
      <c r="R49" s="1325" t="s">
        <v>818</v>
      </c>
    </row>
    <row r="50" spans="1:18" s="1290" customFormat="1" ht="13.5"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2116</v>
      </c>
      <c r="E53" s="305" t="s">
        <v>701</v>
      </c>
      <c r="F53" s="1051"/>
      <c r="I53" s="1342" t="s">
        <v>836</v>
      </c>
      <c r="J53" s="2004">
        <f ca="1">IF(M47="住宅",IF(D1="——",MAX(J51,L48),MAX(J51,L48-'数据-取费表'!B24)),IF(D1="——",MIN(J51,L48),MIN(J51,L48-'数据-取费表'!B24)))</f>
        <v>0</v>
      </c>
      <c r="K53" s="3369" t="s">
        <v>837</v>
      </c>
      <c r="L53" s="3370"/>
      <c r="O53" s="1323" t="s">
        <v>409</v>
      </c>
      <c r="P53" s="1324" t="s">
        <v>838</v>
      </c>
      <c r="Q53" s="1325" t="e">
        <f ca="1">Q47+Q48</f>
        <v>#DIV/0!</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3333</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0</v>
      </c>
      <c r="D62" s="909" t="s">
        <v>786</v>
      </c>
      <c r="E62" s="894" t="s">
        <v>787</v>
      </c>
      <c r="F62" s="317">
        <f t="shared" si="0"/>
        <v>0</v>
      </c>
      <c r="I62" s="1365" t="s">
        <v>858</v>
      </c>
      <c r="J62" s="610" t="s">
        <v>859</v>
      </c>
      <c r="K62" s="610" t="s">
        <v>860</v>
      </c>
      <c r="L62" s="610"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5"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7" priority="3">
      <formula>$F$10="自定义"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J11">
    <cfRule type="expression" dxfId="144" priority="2">
      <formula>$M$10="自定义"</formula>
    </cfRule>
  </conditionalFormatting>
  <conditionalFormatting sqref="K55 K60">
    <cfRule type="expression" dxfId="14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27ECE-7873-4C37-A001-95E3824E3BC5}">
  <sheetPr>
    <tabColor rgb="FF92D050"/>
  </sheetPr>
  <dimension ref="A1:AK83"/>
  <sheetViews>
    <sheetView view="pageBreakPreview" zoomScale="85" zoomScaleNormal="70" zoomScaleSheetLayoutView="85" workbookViewId="0">
      <selection activeCell="C12" sqref="C1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3330</v>
      </c>
      <c r="D1" s="1269" t="s">
        <v>43</v>
      </c>
      <c r="E1" s="1270" t="s">
        <v>678</v>
      </c>
      <c r="F1" s="997">
        <f ca="1">J53</f>
        <v>35.6</v>
      </c>
      <c r="G1" s="1284">
        <f>MATCH(C1,'数据-取费表'!A6:A16,0)+5</f>
        <v>9</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3569.9115000000002</v>
      </c>
      <c r="C2" s="1287" t="s">
        <v>805</v>
      </c>
      <c r="D2" s="1373">
        <f ca="1">C40+J29+L46</f>
        <v>35699115</v>
      </c>
      <c r="E2" s="1293" t="s">
        <v>880</v>
      </c>
      <c r="F2" s="1294"/>
      <c r="G2" s="2476"/>
      <c r="H2" s="2466"/>
      <c r="I2" s="2466"/>
      <c r="J2" s="2466"/>
      <c r="K2" s="2467"/>
      <c r="L2" s="2466"/>
      <c r="M2" s="2466"/>
    </row>
    <row r="3" spans="1:37" ht="18" customHeight="1" thickBot="1">
      <c r="A3" s="1295" t="s">
        <v>806</v>
      </c>
      <c r="B3" s="1296">
        <f ca="1">IF(ISERROR(D2/F43),0,ROUND(D2/F43,0))</f>
        <v>2053</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2422224</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2419200</v>
      </c>
      <c r="D6" s="147" t="s">
        <v>2106</v>
      </c>
      <c r="E6" s="294" t="s">
        <v>696</v>
      </c>
      <c r="F6" s="295">
        <f ca="1">INDIRECT("'数据-取费表'!u"&amp;$G$1)</f>
        <v>700</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320</v>
      </c>
      <c r="G7" s="1290"/>
      <c r="H7" s="296"/>
      <c r="I7" s="3367"/>
      <c r="J7" s="298"/>
      <c r="K7" s="299"/>
      <c r="L7" s="294" t="s">
        <v>697</v>
      </c>
      <c r="M7" s="295">
        <f ca="1">F7</f>
        <v>320</v>
      </c>
    </row>
    <row r="8" spans="1:37" ht="18" customHeight="1">
      <c r="A8" s="296"/>
      <c r="B8" s="3367"/>
      <c r="C8" s="298"/>
      <c r="D8" s="299"/>
      <c r="E8" s="294" t="s">
        <v>698</v>
      </c>
      <c r="F8" s="295">
        <f ca="1">INDIRECT("'数据-取费表'!ai"&amp;$G$1)</f>
        <v>12</v>
      </c>
      <c r="G8" s="1290"/>
      <c r="H8" s="296"/>
      <c r="I8" s="3367"/>
      <c r="J8" s="298"/>
      <c r="K8" s="299"/>
      <c r="L8" s="294" t="s">
        <v>698</v>
      </c>
      <c r="M8" s="295">
        <f ca="1">INDIRECT("'数据-取费表'!ai"&amp;$G$1)</f>
        <v>12</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3024</v>
      </c>
      <c r="D10" s="150" t="s">
        <v>2116</v>
      </c>
      <c r="E10" s="305" t="s">
        <v>701</v>
      </c>
      <c r="F10" s="1051" t="s">
        <v>3491</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83236263</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66074324</v>
      </c>
      <c r="D14" s="1255" t="s">
        <v>708</v>
      </c>
      <c r="E14" s="1253"/>
      <c r="F14" s="311"/>
      <c r="G14" s="1290"/>
      <c r="H14" s="926" t="s">
        <v>398</v>
      </c>
      <c r="I14" s="294" t="s">
        <v>709</v>
      </c>
      <c r="J14" s="21">
        <f ca="1">C29</f>
        <v>87617119</v>
      </c>
      <c r="K14" s="12"/>
      <c r="L14" s="757"/>
      <c r="M14" s="758"/>
    </row>
    <row r="15" spans="1:37" s="1302" customFormat="1" ht="18" customHeight="1" thickBot="1">
      <c r="A15" s="926" t="s">
        <v>399</v>
      </c>
      <c r="B15" s="294" t="s">
        <v>710</v>
      </c>
      <c r="C15" s="21">
        <f ca="1">ROUND(C14*F15,0)</f>
        <v>1982230</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175234</v>
      </c>
      <c r="K16" s="1022" t="s">
        <v>715</v>
      </c>
      <c r="L16" s="1023"/>
      <c r="M16" s="1007"/>
    </row>
    <row r="17" spans="1:37" s="1302" customFormat="1" ht="18" customHeight="1">
      <c r="A17" s="926" t="s">
        <v>681</v>
      </c>
      <c r="B17" s="294" t="s">
        <v>716</v>
      </c>
      <c r="C17" s="21">
        <f ca="1">ROUND(F17*(F43+INDIRECT("'数据-取费表'!S"&amp;$G$1)),0)</f>
        <v>3477596</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991115</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72525265</v>
      </c>
      <c r="D19" s="123" t="s">
        <v>726</v>
      </c>
      <c r="E19" s="1267"/>
      <c r="F19" s="23"/>
      <c r="G19" s="1290"/>
      <c r="H19" s="926" t="s">
        <v>399</v>
      </c>
      <c r="I19" s="294" t="s">
        <v>727</v>
      </c>
      <c r="J19" s="21">
        <f ca="1">IF(K19="按租金收入计税",ROUND(J6*M19/(1+'数据-取费表'!C42),0),ROUND(C29*M19*0.7,0))</f>
        <v>0</v>
      </c>
      <c r="K19" s="1276" t="s">
        <v>3333</v>
      </c>
      <c r="L19" s="294" t="s">
        <v>712</v>
      </c>
      <c r="M19" s="314">
        <f>IF(K19="按租金收入计税",'数据-取费表'!B51,'数据-取费表'!B50)</f>
        <v>0.12</v>
      </c>
    </row>
    <row r="20" spans="1:37" s="1302" customFormat="1" ht="18" customHeight="1">
      <c r="A20" s="926" t="s">
        <v>402</v>
      </c>
      <c r="B20" s="294" t="s">
        <v>728</v>
      </c>
      <c r="C20" s="21">
        <f ca="1">ROUND(C19*F20,0)</f>
        <v>1450505</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175234</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3353753</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-175234</v>
      </c>
      <c r="K25" s="1030" t="s">
        <v>753</v>
      </c>
      <c r="L25" s="1031"/>
      <c r="M25" s="1032"/>
    </row>
    <row r="26" spans="1:37" ht="18" customHeight="1">
      <c r="A26" s="926" t="s">
        <v>397</v>
      </c>
      <c r="B26" s="294" t="s">
        <v>754</v>
      </c>
      <c r="C26" s="21">
        <f ca="1">ROUND((C19+C20)*F26,0)</f>
        <v>3698789</v>
      </c>
      <c r="D26" s="315" t="s">
        <v>755</v>
      </c>
      <c r="E26" s="305" t="s">
        <v>756</v>
      </c>
      <c r="F26" s="304">
        <f ca="1">INDIRECT("'数据-取费表'!q"&amp;$G$1)</f>
        <v>0.05</v>
      </c>
      <c r="G26" s="1290"/>
      <c r="H26" s="291" t="s">
        <v>395</v>
      </c>
      <c r="I26" s="292" t="s">
        <v>757</v>
      </c>
      <c r="J26" s="293">
        <f ca="1">IF(J5&lt;&gt;0,ROUND(J25*(1-((1+M28)/(1+M26))^M27)/(M26-M28),0),0)</f>
        <v>0</v>
      </c>
      <c r="K26" s="316" t="s">
        <v>758</v>
      </c>
      <c r="L26" s="294" t="s">
        <v>759</v>
      </c>
      <c r="M26" s="304">
        <f ca="1">INDIRECT("'数据-取费表'!I"&amp;$G$1)</f>
        <v>4.4999999999999998E-2</v>
      </c>
    </row>
    <row r="27" spans="1:37" ht="18" customHeight="1">
      <c r="A27" s="926" t="s">
        <v>399</v>
      </c>
      <c r="B27" s="294" t="s">
        <v>760</v>
      </c>
      <c r="C27" s="21">
        <f ca="1">ROUND(F21*F26,4)</f>
        <v>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87617119</v>
      </c>
      <c r="D29" s="1027"/>
      <c r="E29" s="1025"/>
      <c r="F29" s="1028"/>
      <c r="G29" s="1301"/>
      <c r="H29" s="325" t="s">
        <v>396</v>
      </c>
      <c r="I29" s="326" t="s">
        <v>768</v>
      </c>
      <c r="J29" s="327">
        <f ca="1">ROUND(J26/(1+F40)^F41,0)</f>
        <v>0</v>
      </c>
      <c r="K29" s="328" t="s">
        <v>769</v>
      </c>
      <c r="L29" s="329"/>
      <c r="M29" s="330">
        <f ca="1">INDIRECT("'数据-取费表'!k"&amp;$G$1)</f>
        <v>17387.98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688196</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405504</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129024</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276480</v>
      </c>
      <c r="D33" s="1276" t="s">
        <v>3333</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175234</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83236</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24222</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1734028</v>
      </c>
      <c r="D39" s="1030" t="s">
        <v>753</v>
      </c>
      <c r="E39" s="1031"/>
      <c r="F39" s="1032"/>
      <c r="G39" s="1290"/>
      <c r="H39" s="2471"/>
      <c r="I39" s="1303"/>
      <c r="J39" s="1304"/>
      <c r="K39" s="2469"/>
      <c r="L39" s="2471"/>
      <c r="M39" s="2471"/>
    </row>
    <row r="40" spans="1:18" ht="18" customHeight="1">
      <c r="A40" s="291" t="s">
        <v>395</v>
      </c>
      <c r="B40" s="292" t="s">
        <v>774</v>
      </c>
      <c r="C40" s="293">
        <f ca="1">ROUND(C39*(1-((1+F42)/(1+F40))^F41)/(F40-F42),0)</f>
        <v>32547113</v>
      </c>
      <c r="D40" s="316" t="s">
        <v>758</v>
      </c>
      <c r="E40" s="294" t="s">
        <v>759</v>
      </c>
      <c r="F40" s="304">
        <f ca="1">INDIRECT("'数据-取费表'!I"&amp;$G$1)</f>
        <v>4.4999999999999998E-2</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35.6</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1872</v>
      </c>
      <c r="D43" s="328" t="s">
        <v>777</v>
      </c>
      <c r="E43" s="329" t="s">
        <v>778</v>
      </c>
      <c r="F43" s="330">
        <f ca="1">INDIRECT("'数据-取费表'!k"&amp;$G$1)</f>
        <v>17387.98</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3349</v>
      </c>
      <c r="B45" s="1305"/>
      <c r="C45" s="1374">
        <f ca="1">ROUND((C68-C40)/10000,4)</f>
        <v>-3709.2337000000002</v>
      </c>
      <c r="D45" s="3128" t="s">
        <v>3350</v>
      </c>
      <c r="E45" s="1305"/>
      <c r="F45" s="1305"/>
      <c r="O45" s="1308" t="s">
        <v>808</v>
      </c>
      <c r="P45" s="1364"/>
      <c r="Q45" s="1364"/>
      <c r="R45" s="1364"/>
    </row>
    <row r="46" spans="1:18" s="1290" customFormat="1" ht="13.5" thickBot="1">
      <c r="A46" s="1309" t="s">
        <v>809</v>
      </c>
      <c r="C46" s="1310">
        <f ca="1">ROUND(C45,0)</f>
        <v>-3709</v>
      </c>
      <c r="D46" s="1311" t="str">
        <f>C2</f>
        <v>万元</v>
      </c>
      <c r="I46" s="1312" t="s">
        <v>810</v>
      </c>
      <c r="J46" s="1313"/>
      <c r="K46" s="1314"/>
      <c r="L46" s="1315">
        <f ca="1">IF(M47="住宅",0,IF(L48&gt;J51,L60,J60))</f>
        <v>3152002</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3492</v>
      </c>
      <c r="K47" s="1321" t="s">
        <v>816</v>
      </c>
      <c r="L47" s="1322">
        <f ca="1">INDIRECT("'数据-取费表'!d"&amp;$G$1)</f>
        <v>50</v>
      </c>
      <c r="M47" s="1286" t="str">
        <f>IF(ISNUMBER(FIND("住宅",C1)),"住宅","非住宅")</f>
        <v>非住宅</v>
      </c>
      <c r="O47" s="1323" t="s">
        <v>403</v>
      </c>
      <c r="P47" s="1324" t="s">
        <v>817</v>
      </c>
      <c r="Q47" s="1325">
        <f ca="1">C40+J29</f>
        <v>32547113</v>
      </c>
      <c r="R47" s="1325" t="s">
        <v>818</v>
      </c>
    </row>
    <row r="48" spans="1:18" s="1290" customFormat="1" ht="28.5" thickBot="1">
      <c r="A48" s="1045" t="s">
        <v>438</v>
      </c>
      <c r="B48" s="292" t="s">
        <v>692</v>
      </c>
      <c r="C48" s="1266">
        <f ca="1">C49+C53+C55</f>
        <v>0</v>
      </c>
      <c r="D48" s="1047"/>
      <c r="E48" s="1048"/>
      <c r="F48" s="906"/>
      <c r="G48" s="681"/>
      <c r="H48" s="682"/>
      <c r="I48" s="1326" t="s">
        <v>819</v>
      </c>
      <c r="J48" s="1327" t="s">
        <v>3493</v>
      </c>
      <c r="K48" s="1328" t="s">
        <v>820</v>
      </c>
      <c r="L48" s="1329">
        <f ca="1">INDIRECT("'数据-取费表'!f"&amp;$G$1)</f>
        <v>35.6</v>
      </c>
      <c r="O48" s="1323" t="s">
        <v>404</v>
      </c>
      <c r="P48" s="1324" t="s">
        <v>821</v>
      </c>
      <c r="Q48" s="1325">
        <f ca="1">J60</f>
        <v>3152002</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87617119</v>
      </c>
      <c r="R49" s="1325" t="s">
        <v>818</v>
      </c>
    </row>
    <row r="50" spans="1:18" s="1290" customFormat="1" ht="13.5" thickBot="1">
      <c r="A50" s="920"/>
      <c r="B50" s="923"/>
      <c r="C50" s="924"/>
      <c r="D50" s="897"/>
      <c r="E50" s="991" t="s">
        <v>697</v>
      </c>
      <c r="F50" s="992">
        <f ca="1">F7</f>
        <v>320</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12</v>
      </c>
      <c r="I51" s="1336" t="s">
        <v>829</v>
      </c>
      <c r="J51" s="1329">
        <f>IF(J49="",J50,J49+J50-YEAR('数据-取费表'!B2))</f>
        <v>57</v>
      </c>
      <c r="K51" s="1337" t="s">
        <v>830</v>
      </c>
      <c r="L51" s="1338">
        <f ca="1">ROUND(-PV(INDIRECT("'数据-取费表'!h"&amp;$G$1),J51,(C39-C13*C76),0),0)</f>
        <v>-83546090</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'数据-取费表'!J9</f>
        <v>7.0000000000000007E-2</v>
      </c>
      <c r="K52" s="1340" t="s">
        <v>833</v>
      </c>
      <c r="L52" s="1341"/>
      <c r="O52" s="1332" t="s">
        <v>408</v>
      </c>
      <c r="P52" s="1324" t="s">
        <v>834</v>
      </c>
      <c r="Q52" s="1325">
        <f ca="1">J53</f>
        <v>35.6</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35.6</v>
      </c>
      <c r="K53" s="3369" t="s">
        <v>837</v>
      </c>
      <c r="L53" s="3370"/>
      <c r="O53" s="1323" t="s">
        <v>409</v>
      </c>
      <c r="P53" s="1324" t="s">
        <v>838</v>
      </c>
      <c r="Q53" s="1325">
        <f ca="1">Q47+Q48</f>
        <v>35699115</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0.35699999999999998</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83236263</v>
      </c>
      <c r="D56" s="1350"/>
      <c r="E56" s="1351"/>
      <c r="F56" s="1343"/>
      <c r="I56" s="1352" t="s">
        <v>842</v>
      </c>
      <c r="J56" s="1353" t="s">
        <v>3494</v>
      </c>
      <c r="K56" s="1326" t="s">
        <v>843</v>
      </c>
      <c r="L56" s="1329" t="str">
        <f ca="1">IF(L48&lt;J51,"——",L48-J51)</f>
        <v>——</v>
      </c>
      <c r="O56" s="1323" t="s">
        <v>403</v>
      </c>
      <c r="P56" s="1324" t="s">
        <v>817</v>
      </c>
      <c r="Q56" s="1325">
        <f ca="1">C40+J29</f>
        <v>32547113</v>
      </c>
      <c r="R56" s="1325" t="s">
        <v>818</v>
      </c>
    </row>
    <row r="57" spans="1:18" s="1290" customFormat="1" ht="24.75" thickBot="1">
      <c r="A57" s="1354"/>
      <c r="B57" s="894" t="s">
        <v>767</v>
      </c>
      <c r="C57" s="230">
        <f ca="1">C29</f>
        <v>87617119</v>
      </c>
      <c r="D57" s="1355"/>
      <c r="E57" s="1356"/>
      <c r="F57" s="1357"/>
      <c r="I57" s="1358" t="s">
        <v>844</v>
      </c>
      <c r="J57" s="1359">
        <f ca="1">IF(OR(M47="住宅",J51&lt;L48,J56="是"),"——",J51-L48)</f>
        <v>21.4</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258470</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35046848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3152002</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3333</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32547113</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175234</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83236</v>
      </c>
      <c r="D65" s="908" t="s">
        <v>743</v>
      </c>
      <c r="E65" s="894" t="s">
        <v>712</v>
      </c>
      <c r="F65" s="321">
        <f t="shared" ca="1" si="0"/>
        <v>1E-3</v>
      </c>
      <c r="I65" s="1365" t="s">
        <v>867</v>
      </c>
      <c r="J65" s="610">
        <v>40</v>
      </c>
      <c r="K65" s="610">
        <v>30</v>
      </c>
      <c r="L65" s="610">
        <v>50</v>
      </c>
      <c r="M65" s="1367">
        <v>0.02</v>
      </c>
      <c r="O65" s="1323" t="s">
        <v>403</v>
      </c>
      <c r="P65" s="1324" t="s">
        <v>817</v>
      </c>
      <c r="Q65" s="1325">
        <f ca="1">C40+J29</f>
        <v>32547113</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-258470</v>
      </c>
      <c r="D67" s="907" t="s">
        <v>753</v>
      </c>
      <c r="E67" s="912"/>
      <c r="F67" s="913"/>
      <c r="O67" s="1332" t="s">
        <v>405</v>
      </c>
      <c r="P67" s="1324" t="s">
        <v>850</v>
      </c>
      <c r="Q67" s="1368">
        <f ca="1">L51</f>
        <v>-83546090</v>
      </c>
      <c r="R67" s="1325" t="s">
        <v>870</v>
      </c>
    </row>
    <row r="68" spans="1:18" s="1290" customFormat="1" ht="16.5" thickBot="1">
      <c r="A68" s="891" t="s">
        <v>395</v>
      </c>
      <c r="B68" s="892" t="s">
        <v>774</v>
      </c>
      <c r="C68" s="293">
        <f ca="1">ROUND(C67*(1-((1+F70)/(1+F68))^F69)/(F68-F70),0)</f>
        <v>-4545224</v>
      </c>
      <c r="D68" s="909" t="s">
        <v>758</v>
      </c>
      <c r="E68" s="894" t="s">
        <v>759</v>
      </c>
      <c r="F68" s="304">
        <f ca="1">F40</f>
        <v>4.4999999999999998E-2</v>
      </c>
      <c r="O68" s="1332" t="s">
        <v>406</v>
      </c>
      <c r="P68" s="1369" t="s">
        <v>871</v>
      </c>
      <c r="Q68" s="1325">
        <f ca="1">ROUND(Q69-Q70*Q71,0)</f>
        <v>-4092510</v>
      </c>
      <c r="R68" s="1325" t="s">
        <v>414</v>
      </c>
    </row>
    <row r="69" spans="1:18" s="1290" customFormat="1" ht="13.5" thickBot="1">
      <c r="A69" s="895"/>
      <c r="B69" s="896"/>
      <c r="C69" s="298"/>
      <c r="D69" s="914" t="s">
        <v>762</v>
      </c>
      <c r="E69" s="894" t="s">
        <v>763</v>
      </c>
      <c r="F69" s="324">
        <f ca="1">F41</f>
        <v>35.6</v>
      </c>
      <c r="O69" s="1332" t="s">
        <v>411</v>
      </c>
      <c r="P69" s="1369" t="s">
        <v>872</v>
      </c>
      <c r="Q69" s="1325">
        <f ca="1">C39</f>
        <v>1734028</v>
      </c>
      <c r="R69" s="1325" t="s">
        <v>818</v>
      </c>
    </row>
    <row r="70" spans="1:18" s="1290" customFormat="1" ht="13.5" thickBot="1">
      <c r="A70" s="898"/>
      <c r="B70" s="899"/>
      <c r="C70" s="302"/>
      <c r="D70" s="910"/>
      <c r="E70" s="894" t="s">
        <v>766</v>
      </c>
      <c r="F70" s="989"/>
      <c r="O70" s="1332" t="s">
        <v>412</v>
      </c>
      <c r="P70" s="1369" t="s">
        <v>873</v>
      </c>
      <c r="Q70" s="1325">
        <f ca="1">C13</f>
        <v>83236263</v>
      </c>
      <c r="R70" s="1325" t="s">
        <v>818</v>
      </c>
    </row>
    <row r="71" spans="1:18" s="1290" customFormat="1" ht="13.5" thickBot="1">
      <c r="A71" s="915" t="s">
        <v>396</v>
      </c>
      <c r="B71" s="916" t="s">
        <v>776</v>
      </c>
      <c r="C71" s="327">
        <f ca="1">ROUND(C68/F71,0)</f>
        <v>-261</v>
      </c>
      <c r="D71" s="917" t="s">
        <v>777</v>
      </c>
      <c r="E71" s="918" t="s">
        <v>778</v>
      </c>
      <c r="F71" s="330">
        <f ca="1">F43</f>
        <v>17387.98</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5826538</v>
      </c>
      <c r="D75" s="1290"/>
      <c r="E75" s="1290"/>
      <c r="F75" s="1290"/>
      <c r="K75" s="1307"/>
      <c r="L75" s="1290"/>
      <c r="O75" s="1323" t="s">
        <v>409</v>
      </c>
      <c r="P75" s="1324" t="s">
        <v>838</v>
      </c>
      <c r="Q75" s="1325">
        <f ca="1">Q65+Q66</f>
        <v>32547113</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-2.36</v>
      </c>
    </row>
    <row r="80" spans="1:18">
      <c r="B80" s="331" t="s">
        <v>800</v>
      </c>
      <c r="C80" s="266">
        <f ca="1">ROUND(C75/C39,3)</f>
        <v>3.36</v>
      </c>
    </row>
    <row r="81" spans="2:3">
      <c r="B81" s="262" t="s">
        <v>801</v>
      </c>
      <c r="C81" s="230"/>
    </row>
    <row r="82" spans="2:3">
      <c r="B82" s="265" t="s">
        <v>802</v>
      </c>
      <c r="C82" s="267">
        <f ca="1">1-C83</f>
        <v>-1.5569999999999999</v>
      </c>
    </row>
    <row r="83" spans="2:3">
      <c r="B83" s="265" t="s">
        <v>803</v>
      </c>
      <c r="C83" s="266">
        <f ca="1">ROUND(C13/C40,3)</f>
        <v>2.5569999999999999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J11">
    <cfRule type="expression" dxfId="139" priority="2">
      <formula>$M$10="自定义"</formula>
    </cfRule>
  </conditionalFormatting>
  <conditionalFormatting sqref="K55 K60">
    <cfRule type="expression" dxfId="138" priority="4">
      <formula>$L$48&gt;$J$51</formula>
    </cfRule>
  </conditionalFormatting>
  <dataValidations count="9">
    <dataValidation type="list" allowBlank="1" showInputMessage="1" showErrorMessage="1" sqref="D1" xr:uid="{490D4CB3-A4A7-4C1A-A8CE-355AA1450E0E}">
      <formula1>"在建（套用方法）,土地（套用方法）,——"</formula1>
    </dataValidation>
    <dataValidation type="list" allowBlank="1" showInputMessage="1" showErrorMessage="1" sqref="F10 F53 M10" xr:uid="{660F3F9A-BF43-4A0D-ADED-AA0AB3483514}">
      <formula1>"押一,押二,押三,自定义"</formula1>
    </dataValidation>
    <dataValidation type="list" allowBlank="1" showInputMessage="1" showErrorMessage="1" sqref="K19" xr:uid="{9663893A-5A50-4284-A746-66D14BB9083C}">
      <formula1>"按租金收入计税,按房产原值计税"</formula1>
    </dataValidation>
    <dataValidation type="list" allowBlank="1" showInputMessage="1" showErrorMessage="1" sqref="D33 D61" xr:uid="{C94F07D8-90A8-4965-B356-026E836BB193}">
      <formula1>"按租金收入计税,按房产原值计税,按票据"</formula1>
    </dataValidation>
    <dataValidation type="list" allowBlank="1" showInputMessage="1" showErrorMessage="1" sqref="C1" xr:uid="{EDE1866F-48B6-4B9F-82D9-02A24AB226CC}">
      <formula1>项目类型</formula1>
    </dataValidation>
    <dataValidation type="list" allowBlank="1" showInputMessage="1" showErrorMessage="1" sqref="J47" xr:uid="{746C6C8B-D0E7-4CE5-9C66-3F5BF9172630}">
      <formula1>"钢,钢混,砖混"</formula1>
    </dataValidation>
    <dataValidation type="list" allowBlank="1" showInputMessage="1" showErrorMessage="1" sqref="J48" xr:uid="{5591A98B-0C37-4382-9BBE-5F28603B7C94}">
      <formula1>"非生产用房,生产用房,受腐蚀的生产用房"</formula1>
    </dataValidation>
    <dataValidation type="list" allowBlank="1" showInputMessage="1" showErrorMessage="1" sqref="J56" xr:uid="{3C7356D6-D8F3-4714-A991-69DEF1AD7101}">
      <formula1>估价范围判定</formula1>
    </dataValidation>
    <dataValidation type="list" allowBlank="1" showInputMessage="1" showErrorMessage="1" sqref="L55" xr:uid="{22D9622E-AEB9-4F93-A760-A5F19157A82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2870-4E91-4EBF-8DB4-81A040F4962E}">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3331</v>
      </c>
      <c r="C1" s="1715" t="s">
        <v>1563</v>
      </c>
      <c r="D1" s="190"/>
      <c r="E1" s="190"/>
      <c r="F1" s="190"/>
      <c r="G1" s="1060">
        <f>MATCH(B1,'数据-取费表'!A6:A16,0)+5</f>
        <v>8</v>
      </c>
      <c r="H1" s="996" t="str">
        <f>IF(ISERROR(FIND("住宅",B1)),"非住宅","住宅")</f>
        <v>非住宅</v>
      </c>
    </row>
    <row r="2" spans="1:8" s="192" customFormat="1" ht="18" customHeight="1">
      <c r="A2" s="193" t="s">
        <v>685</v>
      </c>
      <c r="B2" s="3120">
        <f ca="1">ROUND(IF(D2="——",C52/10000,C52/10000-E2),4)</f>
        <v>2168.2048</v>
      </c>
      <c r="C2" s="191" t="s">
        <v>1463</v>
      </c>
      <c r="D2" s="1709" t="s">
        <v>43</v>
      </c>
      <c r="E2" s="1087" t="e">
        <f ca="1">SUMIF(INDIRECT("'"&amp;G2&amp;"'"&amp;"!A:A"),"承租人权益价值",INDIRECT("'"&amp;G2&amp;"'"&amp;"!c:c"))</f>
        <v>#REF!</v>
      </c>
      <c r="F2" s="1710" t="s">
        <v>1463</v>
      </c>
      <c r="G2" s="1711"/>
    </row>
    <row r="3" spans="1:8" s="192" customFormat="1" ht="18" customHeight="1" thickBot="1">
      <c r="A3" s="195" t="s">
        <v>686</v>
      </c>
      <c r="B3" s="196">
        <f ca="1">ROUND(B2*10000/(IF(B1="",'数据-汇总表'!E3,INDIRECT("'数据-取费表'!k"&amp;$G$1))),0)</f>
        <v>6313</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4162288</v>
      </c>
      <c r="D5" s="203" t="s">
        <v>1469</v>
      </c>
      <c r="E5" s="204" t="s">
        <v>1470</v>
      </c>
      <c r="F5" s="204" t="s">
        <v>1471</v>
      </c>
      <c r="G5" s="205"/>
    </row>
    <row r="6" spans="1:8" s="206" customFormat="1" ht="13.5" customHeight="1">
      <c r="A6" s="730" t="s">
        <v>346</v>
      </c>
      <c r="B6" s="207" t="s">
        <v>1473</v>
      </c>
      <c r="C6" s="208">
        <f>'基准地价修正 -办公'!I41</f>
        <v>3372551</v>
      </c>
      <c r="D6" s="209"/>
      <c r="E6" s="210"/>
      <c r="F6" s="210"/>
      <c r="G6" s="211"/>
    </row>
    <row r="7" spans="1:8" s="206" customFormat="1" ht="13.5" customHeight="1">
      <c r="A7" s="730" t="s">
        <v>347</v>
      </c>
      <c r="B7" s="207" t="s">
        <v>1475</v>
      </c>
      <c r="C7" s="212">
        <f>ROUND(C6*F7,0)</f>
        <v>102863</v>
      </c>
      <c r="D7" s="212"/>
      <c r="E7" s="210"/>
      <c r="F7" s="213">
        <f>IF(项目基本情况!B8="出让",0,'数据-取费表'!B48+'数据-取费表'!B49)</f>
        <v>3.0499999999999999E-2</v>
      </c>
      <c r="G7" s="211"/>
    </row>
    <row r="8" spans="1:8" s="215" customFormat="1">
      <c r="A8" s="730" t="s">
        <v>348</v>
      </c>
      <c r="B8" s="207" t="s">
        <v>1477</v>
      </c>
      <c r="C8" s="212">
        <f ca="1">IF(G8="已包含在土地购买价格中",0,C9+C10)</f>
        <v>686874</v>
      </c>
      <c r="D8" s="214"/>
      <c r="E8" s="212"/>
      <c r="F8" s="213"/>
      <c r="G8" s="1712" t="s">
        <v>3470</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686874</v>
      </c>
      <c r="D10" s="793">
        <f ca="1">IF(B1="",'数据-汇总表'!E6,IF(INDIRECT("'数据-取费表'!c"&amp;$G$1)="住宅",INDIRECT("'数据-取费表'!s"&amp;$G$1),INDIRECT("'数据-取费表'!k"&amp;$G$1)+INDIRECT("'数据-取费表'!s"&amp;$G$1)))</f>
        <v>3434.37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3434.37</v>
      </c>
      <c r="E19" s="203">
        <f>'数据-取费表'!B31</f>
        <v>200</v>
      </c>
      <c r="F19" s="223"/>
      <c r="G19" s="1712" t="s">
        <v>3471</v>
      </c>
    </row>
    <row r="20" spans="1:7" s="206" customFormat="1" ht="13.5" customHeight="1">
      <c r="A20" s="247" t="s">
        <v>1493</v>
      </c>
      <c r="B20" s="202" t="s">
        <v>1494</v>
      </c>
      <c r="C20" s="224">
        <f ca="1">ROUND((C5+C19)*F20,0)</f>
        <v>83246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389730</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230">
        <f ca="1">ROUND(IF('数据-取费表'!B22&lt;=1,C5*F22*'数据-取费表'!B22,C5*(POWER((1+F22),'数据-取费表'!B22)-1)),0)</f>
        <v>385956</v>
      </c>
      <c r="D23" s="230"/>
      <c r="E23" s="230"/>
      <c r="F23" s="231"/>
      <c r="G23" s="232" t="s">
        <v>1504</v>
      </c>
    </row>
    <row r="24" spans="1:7" s="206" customFormat="1" ht="13.5" customHeight="1">
      <c r="A24" s="732"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2" t="s">
        <v>348</v>
      </c>
      <c r="B25" s="207" t="s">
        <v>1509</v>
      </c>
      <c r="C25" s="230">
        <f ca="1">ROUND(IF('数据-取费表'!B22&lt;=1,C20*F22*'数据-取费表'!B22/2,C20*(POWER((1+F22),'数据-取费表'!B22/2)-1)),0)</f>
        <v>3774</v>
      </c>
      <c r="D25" s="230"/>
      <c r="E25" s="233"/>
      <c r="F25" s="231"/>
      <c r="G25" s="234" t="s">
        <v>1510</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212277</v>
      </c>
      <c r="D27" s="227">
        <f ca="1">C29</f>
        <v>1E-3</v>
      </c>
      <c r="E27" s="228" t="s">
        <v>1498</v>
      </c>
      <c r="F27" s="238">
        <f ca="1">IF(B1="",'数据-取费表'!Q16,INDIRECT("'数据-取费表'!q"&amp;$G$1))</f>
        <v>0.05</v>
      </c>
      <c r="G27" s="239" t="s">
        <v>1515</v>
      </c>
    </row>
    <row r="28" spans="1:7" s="206" customFormat="1" ht="13.5" customHeight="1">
      <c r="A28" s="732" t="s">
        <v>346</v>
      </c>
      <c r="B28" s="240" t="s">
        <v>1516</v>
      </c>
      <c r="C28" s="241">
        <f ca="1">ROUND((C5+C19+C20)*F27,0)</f>
        <v>212277</v>
      </c>
      <c r="D28" s="227"/>
      <c r="E28" s="228"/>
      <c r="F28" s="238"/>
      <c r="G28" s="239"/>
    </row>
    <row r="29" spans="1:7" s="206" customFormat="1" ht="13.5" customHeight="1">
      <c r="A29" s="732"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5241718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14324757</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13050606</v>
      </c>
      <c r="D34" s="209"/>
      <c r="E34" s="212"/>
      <c r="F34" s="249"/>
      <c r="G34" s="211"/>
    </row>
    <row r="35" spans="1:7" ht="13.5" customHeight="1">
      <c r="A35" s="732" t="s">
        <v>351</v>
      </c>
      <c r="B35" s="207" t="s">
        <v>1527</v>
      </c>
      <c r="C35" s="212">
        <f ca="1">ROUND(C34*F35,0)</f>
        <v>391518</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686874</v>
      </c>
      <c r="D37" s="209">
        <f ca="1">D19</f>
        <v>3434.37</v>
      </c>
      <c r="E37" s="241">
        <f>'数据-取费表'!B35</f>
        <v>200</v>
      </c>
      <c r="F37" s="251"/>
      <c r="G37" s="253"/>
    </row>
    <row r="38" spans="1:7" ht="13.5" customHeight="1">
      <c r="A38" s="732" t="s">
        <v>354</v>
      </c>
      <c r="B38" s="207" t="s">
        <v>1533</v>
      </c>
      <c r="C38" s="212">
        <f ca="1">ROUND(C34*F38,0)</f>
        <v>195759</v>
      </c>
      <c r="D38" s="212"/>
      <c r="E38" s="212"/>
      <c r="F38" s="251">
        <f>'数据-取费表'!B36</f>
        <v>1.4999999999999999E-2</v>
      </c>
      <c r="G38" s="211" t="s">
        <v>1528</v>
      </c>
    </row>
    <row r="39" spans="1:7" s="206" customFormat="1" ht="13.5" customHeight="1">
      <c r="A39" s="247" t="s">
        <v>1491</v>
      </c>
      <c r="B39" s="202" t="s">
        <v>1494</v>
      </c>
      <c r="C39" s="224">
        <f ca="1">ROUND(C33*F20,0)</f>
        <v>286495</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662413</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ROUND(IF('数据-取费表'!B22&lt;=1,C33*F22*'数据-取费表'!B20/2,C33*(POWER((1+F22),'数据-取费表'!B20/2)-1)),0)</f>
        <v>649425</v>
      </c>
      <c r="D42" s="230"/>
      <c r="E42" s="230"/>
      <c r="F42" s="231"/>
      <c r="G42" s="3363" t="s">
        <v>1591</v>
      </c>
    </row>
    <row r="43" spans="1:7" ht="13.5" customHeight="1">
      <c r="A43" s="732" t="s">
        <v>347</v>
      </c>
      <c r="B43" s="207" t="s">
        <v>1506</v>
      </c>
      <c r="C43" s="230">
        <f ca="1">ROUND(IF('数据-取费表'!B22&lt;=1,C39*F22*'数据-取费表'!B20/2,C39*(POWER((1+F22),'数据-取费表'!B20/2)-1)),0)</f>
        <v>12988</v>
      </c>
      <c r="D43" s="230"/>
      <c r="E43" s="230"/>
      <c r="F43" s="231"/>
      <c r="G43" s="3364"/>
    </row>
    <row r="44" spans="1:7" ht="13.5" customHeight="1">
      <c r="A44" s="732" t="s">
        <v>348</v>
      </c>
      <c r="B44" s="207" t="s">
        <v>1509</v>
      </c>
      <c r="C44" s="230">
        <f ca="1">ROUND(IF('数据-取费表'!B22&lt;=1,C40*F22*'数据-取费表'!B20/2,C40*(POWER((1+F22),'数据-取费表'!B20/2)-1)),4)</f>
        <v>8.9999999999999998E-4</v>
      </c>
      <c r="D44" s="230"/>
      <c r="E44" s="230"/>
      <c r="F44" s="231"/>
      <c r="G44" s="3365"/>
    </row>
    <row r="45" spans="1:7" s="206" customFormat="1" ht="13.5" customHeight="1">
      <c r="A45" s="247" t="s">
        <v>1500</v>
      </c>
      <c r="B45" s="236" t="s">
        <v>1513</v>
      </c>
      <c r="C45" s="237">
        <f ca="1">C46</f>
        <v>730563</v>
      </c>
      <c r="D45" s="227">
        <f ca="1">C47</f>
        <v>1E-3</v>
      </c>
      <c r="E45" s="228" t="s">
        <v>1539</v>
      </c>
      <c r="F45" s="238">
        <f ca="1">F27</f>
        <v>0.05</v>
      </c>
      <c r="G45" s="239" t="s">
        <v>1548</v>
      </c>
    </row>
    <row r="46" spans="1:7" s="206" customFormat="1" ht="13.5" customHeight="1">
      <c r="A46" s="732" t="s">
        <v>346</v>
      </c>
      <c r="B46" s="240" t="s">
        <v>1549</v>
      </c>
      <c r="C46" s="241">
        <f ca="1">ROUND((C33+C39)*F27,0)</f>
        <v>730563</v>
      </c>
      <c r="D46" s="255"/>
      <c r="E46" s="228"/>
      <c r="F46" s="238"/>
      <c r="G46" s="239"/>
    </row>
    <row r="47" spans="1:7" s="206" customFormat="1" ht="13.5" customHeight="1">
      <c r="A47" s="732"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17305610</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16440330</v>
      </c>
      <c r="D51" s="224"/>
      <c r="E51" s="224"/>
      <c r="F51" s="256"/>
      <c r="G51" s="226" t="s">
        <v>1560</v>
      </c>
    </row>
    <row r="52" spans="1:7" s="200" customFormat="1" ht="16.5" thickBot="1">
      <c r="A52" s="257" t="s">
        <v>1561</v>
      </c>
      <c r="B52" s="258"/>
      <c r="C52" s="259">
        <f ca="1">C31+C51</f>
        <v>21682048</v>
      </c>
      <c r="D52" s="258"/>
      <c r="E52" s="258"/>
      <c r="F52" s="258"/>
      <c r="G52" s="260"/>
    </row>
    <row r="55" spans="1:7" ht="15">
      <c r="B55" s="262" t="s">
        <v>1562</v>
      </c>
      <c r="C55" s="263"/>
    </row>
    <row r="56" spans="1:7">
      <c r="B56" s="265" t="s">
        <v>802</v>
      </c>
      <c r="C56" s="267">
        <f ca="1">1-C57</f>
        <v>0.24199999999999999</v>
      </c>
    </row>
    <row r="57" spans="1:7">
      <c r="B57" s="265" t="s">
        <v>803</v>
      </c>
      <c r="C57" s="266">
        <f ca="1">ROUND(C51/C52,3)</f>
        <v>0.75800000000000001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6DFCE1D6-7775-4494-8436-F98E629E09DF}">
      <formula1>"需扣减承租人权益,——"</formula1>
    </dataValidation>
    <dataValidation type="list" allowBlank="1" showInputMessage="1" showErrorMessage="1" sqref="G2" xr:uid="{C6827274-5956-45F3-89A2-D8DC21EFD01D}">
      <formula1>估价方法</formula1>
    </dataValidation>
    <dataValidation type="list" allowBlank="1" showInputMessage="1" showErrorMessage="1" sqref="B1" xr:uid="{C4C5B3D1-D66C-48E8-A5BA-62D2766ECF5C}">
      <formula1>项目类型</formula1>
    </dataValidation>
    <dataValidation type="list" allowBlank="1" showInputMessage="1" showErrorMessage="1" sqref="G19" xr:uid="{3B3F9B85-B39F-4E4C-A25B-C4F0465CE4CA}">
      <formula1>"已包含在土地取得成本中,未包含在土地取得成本中"</formula1>
    </dataValidation>
    <dataValidation type="list" allowBlank="1" showInputMessage="1" showErrorMessage="1" sqref="G8" xr:uid="{D719488C-3802-436B-9245-C85BD331E6B2}">
      <formula1>"已包含在土地购买价格中,未包含在土地购买价格中"</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A299C-CF8D-4903-9D97-181BF6BE9BD1}">
  <sheetPr>
    <tabColor rgb="FF92D050"/>
  </sheetPr>
  <dimension ref="A1:AK83"/>
  <sheetViews>
    <sheetView view="pageBreakPreview" zoomScale="85" zoomScaleNormal="70" zoomScaleSheetLayoutView="85"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3331</v>
      </c>
      <c r="D1" s="1269" t="s">
        <v>43</v>
      </c>
      <c r="E1" s="1270" t="s">
        <v>678</v>
      </c>
      <c r="F1" s="997">
        <f ca="1">J53</f>
        <v>35.6</v>
      </c>
      <c r="G1" s="1284">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1710.5102999999999</v>
      </c>
      <c r="C2" s="1287" t="s">
        <v>805</v>
      </c>
      <c r="D2" s="1373">
        <f ca="1">C40+J29+L46</f>
        <v>17105103</v>
      </c>
      <c r="E2" s="1293" t="s">
        <v>880</v>
      </c>
      <c r="F2" s="1294"/>
      <c r="G2" s="2476"/>
      <c r="H2" s="2466"/>
      <c r="I2" s="2466"/>
      <c r="J2" s="2466"/>
      <c r="K2" s="2467"/>
      <c r="L2" s="2466"/>
      <c r="M2" s="2466"/>
    </row>
    <row r="3" spans="1:37" ht="18" customHeight="1" thickBot="1">
      <c r="A3" s="1295" t="s">
        <v>806</v>
      </c>
      <c r="B3" s="1296">
        <f ca="1">IF(ISERROR(D2/F43),0,ROUND(D2/F43,0))</f>
        <v>4981</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1129601</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1128191</v>
      </c>
      <c r="D6" s="147" t="s">
        <v>2106</v>
      </c>
      <c r="E6" s="294" t="s">
        <v>696</v>
      </c>
      <c r="F6" s="295">
        <f ca="1">INDIRECT("'数据-取费表'!u"&amp;$G$1)</f>
        <v>1</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3434.37</v>
      </c>
      <c r="G7" s="1290"/>
      <c r="H7" s="296"/>
      <c r="I7" s="3367"/>
      <c r="J7" s="298"/>
      <c r="K7" s="299"/>
      <c r="L7" s="294" t="s">
        <v>697</v>
      </c>
      <c r="M7" s="295">
        <f ca="1">F7</f>
        <v>3434.37</v>
      </c>
    </row>
    <row r="8" spans="1:37" ht="18" customHeight="1">
      <c r="A8" s="296"/>
      <c r="B8" s="3367"/>
      <c r="C8" s="298"/>
      <c r="D8" s="299"/>
      <c r="E8" s="294" t="s">
        <v>698</v>
      </c>
      <c r="F8" s="295">
        <f ca="1">INDIRECT("'数据-取费表'!ai"&amp;$G$1)</f>
        <v>365</v>
      </c>
      <c r="G8" s="1290"/>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1410</v>
      </c>
      <c r="D10" s="150" t="s">
        <v>2116</v>
      </c>
      <c r="E10" s="305" t="s">
        <v>701</v>
      </c>
      <c r="F10" s="1051" t="s">
        <v>3491</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16440330</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13050606</v>
      </c>
      <c r="D14" s="1255" t="s">
        <v>708</v>
      </c>
      <c r="E14" s="1253"/>
      <c r="F14" s="311"/>
      <c r="G14" s="1290"/>
      <c r="H14" s="926" t="s">
        <v>398</v>
      </c>
      <c r="I14" s="294" t="s">
        <v>709</v>
      </c>
      <c r="J14" s="21">
        <f ca="1">C29</f>
        <v>17305610</v>
      </c>
      <c r="K14" s="12"/>
      <c r="L14" s="757"/>
      <c r="M14" s="758"/>
    </row>
    <row r="15" spans="1:37" s="1302" customFormat="1" ht="18" customHeight="1" thickBot="1">
      <c r="A15" s="926" t="s">
        <v>399</v>
      </c>
      <c r="B15" s="294" t="s">
        <v>710</v>
      </c>
      <c r="C15" s="21">
        <f ca="1">ROUND(C14*F15,0)</f>
        <v>391518</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34611</v>
      </c>
      <c r="K16" s="1022" t="s">
        <v>715</v>
      </c>
      <c r="L16" s="1023"/>
      <c r="M16" s="1007"/>
    </row>
    <row r="17" spans="1:37" s="1302" customFormat="1" ht="18" customHeight="1">
      <c r="A17" s="926" t="s">
        <v>681</v>
      </c>
      <c r="B17" s="294" t="s">
        <v>716</v>
      </c>
      <c r="C17" s="21">
        <f ca="1">ROUND(F17*(F43+INDIRECT("'数据-取费表'!S"&amp;$G$1)),0)</f>
        <v>686874</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195759</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14324757</v>
      </c>
      <c r="D19" s="123" t="s">
        <v>726</v>
      </c>
      <c r="E19" s="1267"/>
      <c r="F19" s="23"/>
      <c r="G19" s="1290"/>
      <c r="H19" s="926" t="s">
        <v>399</v>
      </c>
      <c r="I19" s="294" t="s">
        <v>727</v>
      </c>
      <c r="J19" s="21">
        <f ca="1">IF(K19="按租金收入计税",ROUND(J6*M19/(1+'数据-取费表'!C42),0),ROUND(C29*M19*0.7,0))</f>
        <v>0</v>
      </c>
      <c r="K19" s="1276" t="s">
        <v>3333</v>
      </c>
      <c r="L19" s="294" t="s">
        <v>712</v>
      </c>
      <c r="M19" s="314">
        <f>IF(K19="按租金收入计税",'数据-取费表'!B51,'数据-取费表'!B50)</f>
        <v>0.12</v>
      </c>
    </row>
    <row r="20" spans="1:37" s="1302" customFormat="1" ht="18" customHeight="1">
      <c r="A20" s="926" t="s">
        <v>402</v>
      </c>
      <c r="B20" s="294" t="s">
        <v>728</v>
      </c>
      <c r="C20" s="21">
        <f ca="1">ROUND(C19*F20,0)</f>
        <v>286495</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34611</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662413</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-34611</v>
      </c>
      <c r="K25" s="1030" t="s">
        <v>753</v>
      </c>
      <c r="L25" s="1031"/>
      <c r="M25" s="1032"/>
    </row>
    <row r="26" spans="1:37" ht="18" customHeight="1">
      <c r="A26" s="926" t="s">
        <v>397</v>
      </c>
      <c r="B26" s="294" t="s">
        <v>754</v>
      </c>
      <c r="C26" s="21">
        <f ca="1">ROUND((C19+C20)*F26,0)</f>
        <v>730563</v>
      </c>
      <c r="D26" s="315" t="s">
        <v>755</v>
      </c>
      <c r="E26" s="305" t="s">
        <v>756</v>
      </c>
      <c r="F26" s="304">
        <f ca="1">INDIRECT("'数据-取费表'!q"&amp;$G$1)</f>
        <v>0.05</v>
      </c>
      <c r="G26" s="1290"/>
      <c r="H26" s="291" t="s">
        <v>395</v>
      </c>
      <c r="I26" s="292" t="s">
        <v>757</v>
      </c>
      <c r="J26" s="293">
        <f ca="1">IF(J5&lt;&gt;0,ROUND(J25*(1-((1+M28)/(1+M26))^M27)/(M26-M28),0),0)</f>
        <v>0</v>
      </c>
      <c r="K26" s="316" t="s">
        <v>758</v>
      </c>
      <c r="L26" s="294" t="s">
        <v>759</v>
      </c>
      <c r="M26" s="304">
        <f ca="1">INDIRECT("'数据-取费表'!I"&amp;$G$1)</f>
        <v>4.4999999999999998E-2</v>
      </c>
    </row>
    <row r="27" spans="1:37" ht="18" customHeight="1">
      <c r="A27" s="926" t="s">
        <v>399</v>
      </c>
      <c r="B27" s="294" t="s">
        <v>760</v>
      </c>
      <c r="C27" s="21">
        <f ca="1">ROUND(F21*F26,4)</f>
        <v>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17305610</v>
      </c>
      <c r="D29" s="1027"/>
      <c r="E29" s="1025"/>
      <c r="F29" s="1028"/>
      <c r="G29" s="1301"/>
      <c r="H29" s="325" t="s">
        <v>396</v>
      </c>
      <c r="I29" s="326" t="s">
        <v>768</v>
      </c>
      <c r="J29" s="327">
        <f ca="1">ROUND(J26/(1+F40)^F41,0)</f>
        <v>0</v>
      </c>
      <c r="K29" s="328" t="s">
        <v>769</v>
      </c>
      <c r="L29" s="329"/>
      <c r="M29" s="330">
        <f ca="1">INDIRECT("'数据-取费表'!k"&amp;$G$1)</f>
        <v>3434.37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251453</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189106</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60170</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128936</v>
      </c>
      <c r="D33" s="1276" t="s">
        <v>3333</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34611</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16440</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11296</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878148</v>
      </c>
      <c r="D39" s="1030" t="s">
        <v>753</v>
      </c>
      <c r="E39" s="1031"/>
      <c r="F39" s="1032"/>
      <c r="G39" s="1290"/>
      <c r="H39" s="2471"/>
      <c r="I39" s="1303"/>
      <c r="J39" s="1304"/>
      <c r="K39" s="2469"/>
      <c r="L39" s="2471"/>
      <c r="M39" s="2471"/>
    </row>
    <row r="40" spans="1:18" ht="18" customHeight="1">
      <c r="A40" s="291" t="s">
        <v>395</v>
      </c>
      <c r="B40" s="292" t="s">
        <v>774</v>
      </c>
      <c r="C40" s="293">
        <f ca="1">ROUND(C39*(1-((1+F42)/(1+F40))^F41)/(F40-F42),0)</f>
        <v>16482538</v>
      </c>
      <c r="D40" s="316" t="s">
        <v>758</v>
      </c>
      <c r="E40" s="294" t="s">
        <v>759</v>
      </c>
      <c r="F40" s="304">
        <f ca="1">INDIRECT("'数据-取费表'!I"&amp;$G$1)</f>
        <v>4.4999999999999998E-2</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35.6</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4799</v>
      </c>
      <c r="D43" s="328" t="s">
        <v>777</v>
      </c>
      <c r="E43" s="329" t="s">
        <v>778</v>
      </c>
      <c r="F43" s="330">
        <f ca="1">INDIRECT("'数据-取费表'!k"&amp;$G$1)</f>
        <v>3434.37</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3349</v>
      </c>
      <c r="B45" s="1305"/>
      <c r="C45" s="1374">
        <f ca="1">ROUND((C68-C40)/10000,4)</f>
        <v>-1738.0274999999999</v>
      </c>
      <c r="D45" s="3128" t="s">
        <v>3350</v>
      </c>
      <c r="E45" s="1305"/>
      <c r="F45" s="1305"/>
      <c r="O45" s="1308" t="s">
        <v>808</v>
      </c>
      <c r="P45" s="1364"/>
      <c r="Q45" s="1364"/>
      <c r="R45" s="1364"/>
    </row>
    <row r="46" spans="1:18" s="1290" customFormat="1" ht="13.5" thickBot="1">
      <c r="A46" s="1309" t="s">
        <v>809</v>
      </c>
      <c r="C46" s="1310">
        <f ca="1">ROUND(C45,0)</f>
        <v>-1738</v>
      </c>
      <c r="D46" s="1311" t="str">
        <f>C2</f>
        <v>万元</v>
      </c>
      <c r="I46" s="1312" t="s">
        <v>810</v>
      </c>
      <c r="J46" s="1313"/>
      <c r="K46" s="1314"/>
      <c r="L46" s="1315">
        <f ca="1">IF(M47="住宅",0,IF(L48&gt;J51,L60,J60))</f>
        <v>622565</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3492</v>
      </c>
      <c r="K47" s="1321" t="s">
        <v>816</v>
      </c>
      <c r="L47" s="1322">
        <f ca="1">INDIRECT("'数据-取费表'!d"&amp;$G$1)</f>
        <v>50</v>
      </c>
      <c r="M47" s="1286" t="str">
        <f>IF(ISNUMBER(FIND("住宅",C1)),"住宅","非住宅")</f>
        <v>非住宅</v>
      </c>
      <c r="O47" s="1323" t="s">
        <v>403</v>
      </c>
      <c r="P47" s="1324" t="s">
        <v>817</v>
      </c>
      <c r="Q47" s="1325">
        <f ca="1">C40+J29</f>
        <v>16482538</v>
      </c>
      <c r="R47" s="1325" t="s">
        <v>818</v>
      </c>
    </row>
    <row r="48" spans="1:18" s="1290" customFormat="1" ht="28.5" thickBot="1">
      <c r="A48" s="1045" t="s">
        <v>438</v>
      </c>
      <c r="B48" s="292" t="s">
        <v>692</v>
      </c>
      <c r="C48" s="1266">
        <f ca="1">C49+C53+C55</f>
        <v>0</v>
      </c>
      <c r="D48" s="1047"/>
      <c r="E48" s="1048"/>
      <c r="F48" s="906"/>
      <c r="G48" s="681"/>
      <c r="H48" s="682"/>
      <c r="I48" s="1326" t="s">
        <v>819</v>
      </c>
      <c r="J48" s="1327" t="s">
        <v>3493</v>
      </c>
      <c r="K48" s="1328" t="s">
        <v>820</v>
      </c>
      <c r="L48" s="1329">
        <f ca="1">INDIRECT("'数据-取费表'!f"&amp;$G$1)</f>
        <v>35.6</v>
      </c>
      <c r="O48" s="1323" t="s">
        <v>404</v>
      </c>
      <c r="P48" s="1324" t="s">
        <v>821</v>
      </c>
      <c r="Q48" s="1325">
        <f ca="1">J60</f>
        <v>622565</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17305610</v>
      </c>
      <c r="R49" s="1325" t="s">
        <v>818</v>
      </c>
    </row>
    <row r="50" spans="1:18" s="1290" customFormat="1" ht="13.5" thickBot="1">
      <c r="A50" s="920"/>
      <c r="B50" s="923"/>
      <c r="C50" s="924"/>
      <c r="D50" s="897"/>
      <c r="E50" s="991" t="s">
        <v>697</v>
      </c>
      <c r="F50" s="992">
        <f ca="1">F7</f>
        <v>3434.37</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365</v>
      </c>
      <c r="I51" s="1336" t="s">
        <v>829</v>
      </c>
      <c r="J51" s="1329">
        <f>IF(J49="",J50,J49+J50-YEAR('数据-取费表'!B2))</f>
        <v>57</v>
      </c>
      <c r="K51" s="1337" t="s">
        <v>830</v>
      </c>
      <c r="L51" s="1338">
        <f ca="1">ROUND(-PV(INDIRECT("'数据-取费表'!h"&amp;$G$1),J51,(C39-C13*C76),0),0)</f>
        <v>-5566495</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'数据-取费表'!J8</f>
        <v>7.0000000000000007E-2</v>
      </c>
      <c r="K52" s="1340" t="s">
        <v>833</v>
      </c>
      <c r="L52" s="1341"/>
      <c r="O52" s="1332" t="s">
        <v>408</v>
      </c>
      <c r="P52" s="1324" t="s">
        <v>834</v>
      </c>
      <c r="Q52" s="1325">
        <f ca="1">J53</f>
        <v>35.6</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35.6</v>
      </c>
      <c r="K53" s="3369" t="s">
        <v>837</v>
      </c>
      <c r="L53" s="3370"/>
      <c r="O53" s="1323" t="s">
        <v>409</v>
      </c>
      <c r="P53" s="1324" t="s">
        <v>838</v>
      </c>
      <c r="Q53" s="1325">
        <f ca="1">Q47+Q48</f>
        <v>17105103</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0.35699999999999998</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16440330</v>
      </c>
      <c r="D56" s="1350"/>
      <c r="E56" s="1351"/>
      <c r="F56" s="1343"/>
      <c r="I56" s="1352" t="s">
        <v>842</v>
      </c>
      <c r="J56" s="1353" t="s">
        <v>3494</v>
      </c>
      <c r="K56" s="1326" t="s">
        <v>843</v>
      </c>
      <c r="L56" s="1329" t="str">
        <f ca="1">IF(L48&lt;J51,"——",L48-J51)</f>
        <v>——</v>
      </c>
      <c r="O56" s="1323" t="s">
        <v>403</v>
      </c>
      <c r="P56" s="1324" t="s">
        <v>817</v>
      </c>
      <c r="Q56" s="1325">
        <f ca="1">C40+J29</f>
        <v>16482538</v>
      </c>
      <c r="R56" s="1325" t="s">
        <v>818</v>
      </c>
    </row>
    <row r="57" spans="1:18" s="1290" customFormat="1" ht="24.75" thickBot="1">
      <c r="A57" s="1354"/>
      <c r="B57" s="894" t="s">
        <v>767</v>
      </c>
      <c r="C57" s="230">
        <f ca="1">C29</f>
        <v>17305610</v>
      </c>
      <c r="D57" s="1355"/>
      <c r="E57" s="1356"/>
      <c r="F57" s="1357"/>
      <c r="I57" s="1358" t="s">
        <v>844</v>
      </c>
      <c r="J57" s="1359">
        <f ca="1">IF(OR(M47="住宅",J51&lt;L48,J56="是"),"——",J51-L48)</f>
        <v>21.4</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51051</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6922244</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622565</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3333</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16482538</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34611</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16440</v>
      </c>
      <c r="D65" s="908" t="s">
        <v>743</v>
      </c>
      <c r="E65" s="894" t="s">
        <v>712</v>
      </c>
      <c r="F65" s="321">
        <f t="shared" ca="1" si="0"/>
        <v>1E-3</v>
      </c>
      <c r="I65" s="1365" t="s">
        <v>867</v>
      </c>
      <c r="J65" s="610">
        <v>40</v>
      </c>
      <c r="K65" s="610">
        <v>30</v>
      </c>
      <c r="L65" s="610">
        <v>50</v>
      </c>
      <c r="M65" s="1367">
        <v>0.02</v>
      </c>
      <c r="O65" s="1323" t="s">
        <v>403</v>
      </c>
      <c r="P65" s="1324" t="s">
        <v>817</v>
      </c>
      <c r="Q65" s="1325">
        <f ca="1">C40+J29</f>
        <v>16482538</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-51051</v>
      </c>
      <c r="D67" s="907" t="s">
        <v>753</v>
      </c>
      <c r="E67" s="912"/>
      <c r="F67" s="913"/>
      <c r="O67" s="1332" t="s">
        <v>405</v>
      </c>
      <c r="P67" s="1324" t="s">
        <v>850</v>
      </c>
      <c r="Q67" s="1368">
        <f ca="1">L51</f>
        <v>-5566495</v>
      </c>
      <c r="R67" s="1325" t="s">
        <v>870</v>
      </c>
    </row>
    <row r="68" spans="1:18" s="1290" customFormat="1" ht="16.5" thickBot="1">
      <c r="A68" s="891" t="s">
        <v>395</v>
      </c>
      <c r="B68" s="892" t="s">
        <v>774</v>
      </c>
      <c r="C68" s="293">
        <f ca="1">ROUND(C67*(1-((1+F70)/(1+F68))^F69)/(F68-F70),0)</f>
        <v>-897737</v>
      </c>
      <c r="D68" s="909" t="s">
        <v>758</v>
      </c>
      <c r="E68" s="894" t="s">
        <v>759</v>
      </c>
      <c r="F68" s="304">
        <f ca="1">F40</f>
        <v>4.4999999999999998E-2</v>
      </c>
      <c r="O68" s="1332" t="s">
        <v>406</v>
      </c>
      <c r="P68" s="1369" t="s">
        <v>871</v>
      </c>
      <c r="Q68" s="1325">
        <f ca="1">ROUND(Q69-Q70*Q71,0)</f>
        <v>-272675</v>
      </c>
      <c r="R68" s="1325" t="s">
        <v>414</v>
      </c>
    </row>
    <row r="69" spans="1:18" s="1290" customFormat="1" ht="13.5" thickBot="1">
      <c r="A69" s="895"/>
      <c r="B69" s="896"/>
      <c r="C69" s="298"/>
      <c r="D69" s="914" t="s">
        <v>762</v>
      </c>
      <c r="E69" s="894" t="s">
        <v>763</v>
      </c>
      <c r="F69" s="324">
        <f ca="1">F41</f>
        <v>35.6</v>
      </c>
      <c r="O69" s="1332" t="s">
        <v>411</v>
      </c>
      <c r="P69" s="1369" t="s">
        <v>872</v>
      </c>
      <c r="Q69" s="1325">
        <f ca="1">C39</f>
        <v>878148</v>
      </c>
      <c r="R69" s="1325" t="s">
        <v>818</v>
      </c>
    </row>
    <row r="70" spans="1:18" s="1290" customFormat="1" ht="13.5" thickBot="1">
      <c r="A70" s="898"/>
      <c r="B70" s="899"/>
      <c r="C70" s="302"/>
      <c r="D70" s="910"/>
      <c r="E70" s="894" t="s">
        <v>766</v>
      </c>
      <c r="F70" s="989"/>
      <c r="O70" s="1332" t="s">
        <v>412</v>
      </c>
      <c r="P70" s="1369" t="s">
        <v>873</v>
      </c>
      <c r="Q70" s="1325">
        <f ca="1">C13</f>
        <v>16440330</v>
      </c>
      <c r="R70" s="1325" t="s">
        <v>818</v>
      </c>
    </row>
    <row r="71" spans="1:18" s="1290" customFormat="1" ht="13.5" thickBot="1">
      <c r="A71" s="915" t="s">
        <v>396</v>
      </c>
      <c r="B71" s="916" t="s">
        <v>776</v>
      </c>
      <c r="C71" s="327">
        <f ca="1">ROUND(C68/F71,0)</f>
        <v>-261</v>
      </c>
      <c r="D71" s="917" t="s">
        <v>777</v>
      </c>
      <c r="E71" s="918" t="s">
        <v>778</v>
      </c>
      <c r="F71" s="330">
        <f ca="1">F43</f>
        <v>3434.37</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1150823</v>
      </c>
      <c r="D75" s="1290"/>
      <c r="E75" s="1290"/>
      <c r="F75" s="1290"/>
      <c r="K75" s="1307"/>
      <c r="L75" s="1290"/>
      <c r="O75" s="1323" t="s">
        <v>409</v>
      </c>
      <c r="P75" s="1324" t="s">
        <v>838</v>
      </c>
      <c r="Q75" s="1325">
        <f ca="1">Q65+Q66</f>
        <v>16482538</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-0.31099999999999994</v>
      </c>
    </row>
    <row r="80" spans="1:18">
      <c r="B80" s="331" t="s">
        <v>800</v>
      </c>
      <c r="C80" s="266">
        <f ca="1">ROUND(C75/C39,3)</f>
        <v>1.3109999999999999</v>
      </c>
    </row>
    <row r="81" spans="2:3">
      <c r="B81" s="262" t="s">
        <v>801</v>
      </c>
      <c r="C81" s="230"/>
    </row>
    <row r="82" spans="2:3">
      <c r="B82" s="265" t="s">
        <v>802</v>
      </c>
      <c r="C82" s="267">
        <f ca="1">1-C83</f>
        <v>3.0000000000000027E-3</v>
      </c>
    </row>
    <row r="83" spans="2:3">
      <c r="B83" s="265" t="s">
        <v>803</v>
      </c>
      <c r="C83" s="266">
        <f ca="1">ROUND(C13/C40,3)</f>
        <v>0.997</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8F004FB-235F-4C9D-8516-9C4B587169AB}">
      <formula1>"比较法,基准地价,收益还原"</formula1>
    </dataValidation>
    <dataValidation type="list" allowBlank="1" showInputMessage="1" showErrorMessage="1" sqref="J56" xr:uid="{9D71F99B-BF84-4901-9B60-3A7818ED00DC}">
      <formula1>估价范围判定</formula1>
    </dataValidation>
    <dataValidation type="list" allowBlank="1" showInputMessage="1" showErrorMessage="1" sqref="J48" xr:uid="{76D848BA-455D-4D69-BCF5-5B0D60B3FAF0}">
      <formula1>"非生产用房,生产用房,受腐蚀的生产用房"</formula1>
    </dataValidation>
    <dataValidation type="list" allowBlank="1" showInputMessage="1" showErrorMessage="1" sqref="J47" xr:uid="{09393693-62A9-4E5E-99D6-090B5BA8919E}">
      <formula1>"钢,钢混,砖混"</formula1>
    </dataValidation>
    <dataValidation type="list" allowBlank="1" showInputMessage="1" showErrorMessage="1" sqref="C1" xr:uid="{87417193-86DB-4A2E-BEE2-DB1E596B3FAF}">
      <formula1>项目类型</formula1>
    </dataValidation>
    <dataValidation type="list" allowBlank="1" showInputMessage="1" showErrorMessage="1" sqref="D33 D61" xr:uid="{35D5C6F6-C032-478D-95BB-83627223A316}">
      <formula1>"按租金收入计税,按房产原值计税,按票据"</formula1>
    </dataValidation>
    <dataValidation type="list" allowBlank="1" showInputMessage="1" showErrorMessage="1" sqref="K19" xr:uid="{BAACB802-832F-43D8-BA09-ACF27B9C78D7}">
      <formula1>"按租金收入计税,按房产原值计税"</formula1>
    </dataValidation>
    <dataValidation type="list" allowBlank="1" showInputMessage="1" showErrorMessage="1" sqref="F10 F53 M10" xr:uid="{253F48FE-50A1-4F40-B808-300DC0843A38}">
      <formula1>"押一,押二,押三,自定义"</formula1>
    </dataValidation>
    <dataValidation type="list" allowBlank="1" showInputMessage="1" showErrorMessage="1" sqref="D1" xr:uid="{B9CEC95F-9CB6-44F9-9721-45A07CE9FAB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T53" sqref="T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c r="D1" s="1269" t="s">
        <v>43</v>
      </c>
      <c r="E1" s="1270" t="s">
        <v>678</v>
      </c>
      <c r="F1" s="997">
        <f ca="1">J53</f>
        <v>0</v>
      </c>
      <c r="G1" s="1284">
        <f>MATCH(C1,'数据-取费表'!A6:A16,0)+5</f>
        <v>12</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21" t="e">
        <f ca="1">ROUND(D2/10000,4)</f>
        <v>#DIV/0!</v>
      </c>
      <c r="C2" s="1287" t="s">
        <v>879</v>
      </c>
      <c r="D2" s="1373" t="e">
        <f ca="1">C40+J29+L46</f>
        <v>#DIV/0!</v>
      </c>
      <c r="E2" s="1293" t="s">
        <v>880</v>
      </c>
      <c r="F2" s="1294"/>
      <c r="G2" s="2476"/>
      <c r="H2" s="2466"/>
      <c r="I2" s="2466"/>
      <c r="J2" s="2466"/>
      <c r="K2" s="2467"/>
      <c r="L2" s="2466"/>
      <c r="M2" s="2466"/>
    </row>
    <row r="3" spans="1:37" ht="18" customHeight="1" thickBot="1">
      <c r="A3" s="1295" t="s">
        <v>881</v>
      </c>
      <c r="B3" s="1296">
        <f ca="1">IF(ISERROR(D2/F43),0,ROUND(D2/F43,0))</f>
        <v>0</v>
      </c>
      <c r="C3" s="1287" t="s">
        <v>882</v>
      </c>
      <c r="D3" s="1287"/>
      <c r="E3" s="1293"/>
      <c r="F3" s="1294"/>
      <c r="G3" s="2476"/>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366" t="s">
        <v>694</v>
      </c>
      <c r="C6" s="1009">
        <f ca="1">ROUND(F6*F8*F7*(1-F9),0)</f>
        <v>0</v>
      </c>
      <c r="D6" s="147" t="s">
        <v>2106</v>
      </c>
      <c r="E6" s="294" t="s">
        <v>696</v>
      </c>
      <c r="F6" s="295">
        <f ca="1">INDIRECT("'数据-取费表'!u"&amp;$G$1)</f>
        <v>0</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0</v>
      </c>
      <c r="G7" s="1290"/>
      <c r="H7" s="296"/>
      <c r="I7" s="3367"/>
      <c r="J7" s="298"/>
      <c r="K7" s="299"/>
      <c r="L7" s="294" t="s">
        <v>697</v>
      </c>
      <c r="M7" s="295">
        <f ca="1">F7</f>
        <v>0</v>
      </c>
    </row>
    <row r="8" spans="1:37" ht="18" customHeight="1">
      <c r="A8" s="296"/>
      <c r="B8" s="3367"/>
      <c r="C8" s="298"/>
      <c r="D8" s="299"/>
      <c r="E8" s="294" t="s">
        <v>698</v>
      </c>
      <c r="F8" s="295">
        <f ca="1">INDIRECT("'数据-取费表'!ai"&amp;$G$1)</f>
        <v>0</v>
      </c>
      <c r="G8" s="1290"/>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ROUND(F17*(F43+INDIRECT("'数据-取费表'!S"&amp;$G$1)),0)</f>
        <v>0</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IF(K19="按租金收入计税",ROUND(J6*M19/(1+'数据-取费表'!C42),0),ROUND(C29*M19*0.7,0))</f>
        <v>0</v>
      </c>
      <c r="K19" s="1276" t="s">
        <v>3333</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0</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6" t="s">
        <v>3333</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0</v>
      </c>
      <c r="D36" s="1254" t="s">
        <v>771</v>
      </c>
      <c r="E36" s="294" t="s">
        <v>712</v>
      </c>
      <c r="F36" s="320">
        <f ca="1">INDIRECT("'数据-取费表'!Ak"&amp;$G$1)</f>
        <v>0</v>
      </c>
      <c r="G36" s="1290"/>
      <c r="H36" s="2471"/>
      <c r="I36" s="1303"/>
      <c r="J36" s="1304"/>
      <c r="K36" s="2328"/>
      <c r="L36" s="2471"/>
      <c r="M36" s="2471"/>
    </row>
    <row r="37" spans="1:18" ht="18" customHeight="1">
      <c r="A37" s="926" t="s">
        <v>437</v>
      </c>
      <c r="B37" s="294" t="s">
        <v>742</v>
      </c>
      <c r="C37" s="21">
        <f ca="1">ROUND(C13*F37,0)</f>
        <v>0</v>
      </c>
      <c r="D37" s="1254" t="s">
        <v>743</v>
      </c>
      <c r="E37" s="294" t="s">
        <v>744</v>
      </c>
      <c r="F37" s="321">
        <f ca="1">INDIRECT("'数据-取费表'!Al"&amp;$G$1)</f>
        <v>0</v>
      </c>
      <c r="G37" s="1290"/>
      <c r="H37" s="2471"/>
      <c r="I37" s="1303"/>
      <c r="J37" s="1304"/>
      <c r="K37" s="2328"/>
      <c r="L37" s="2471"/>
      <c r="M37" s="2471"/>
    </row>
    <row r="38" spans="1:18" ht="18" customHeight="1" thickBot="1">
      <c r="A38" s="1024" t="s">
        <v>684</v>
      </c>
      <c r="B38" s="1025" t="s">
        <v>728</v>
      </c>
      <c r="C38" s="1026">
        <f ca="1">ROUND(C5*F38,0)</f>
        <v>0</v>
      </c>
      <c r="D38" s="1027" t="s">
        <v>748</v>
      </c>
      <c r="E38" s="1025" t="s">
        <v>744</v>
      </c>
      <c r="F38" s="1021">
        <f ca="1">INDIRECT("'数据-取费表'!Am"&amp;$G$1)</f>
        <v>0</v>
      </c>
      <c r="G38" s="1290"/>
      <c r="H38" s="2471"/>
      <c r="I38" s="1303"/>
      <c r="J38" s="1304"/>
      <c r="K38" s="2469"/>
      <c r="L38" s="2471"/>
      <c r="M38" s="2471"/>
    </row>
    <row r="39" spans="1:18" ht="24.6" customHeight="1" thickTop="1">
      <c r="A39" s="1014" t="s">
        <v>394</v>
      </c>
      <c r="B39" s="1029" t="s">
        <v>772</v>
      </c>
      <c r="C39" s="302">
        <f ca="1">C5-C30</f>
        <v>0</v>
      </c>
      <c r="D39" s="1030" t="s">
        <v>773</v>
      </c>
      <c r="E39" s="1031"/>
      <c r="F39" s="1032"/>
      <c r="G39" s="1290"/>
      <c r="H39" s="2471"/>
      <c r="I39" s="1303"/>
      <c r="J39" s="1304"/>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8"/>
      <c r="L41" s="121"/>
      <c r="M41" s="121"/>
    </row>
    <row r="42" spans="1:18" ht="18" customHeight="1">
      <c r="A42" s="300"/>
      <c r="B42" s="301"/>
      <c r="C42" s="302"/>
      <c r="D42" s="319"/>
      <c r="E42" s="294" t="s">
        <v>766</v>
      </c>
      <c r="F42" s="304">
        <f ca="1">INDIRECT("'数据-取费表'!v"&amp;$G$1)</f>
        <v>0</v>
      </c>
      <c r="G42" s="1290"/>
      <c r="H42" s="121"/>
      <c r="I42" s="1303"/>
      <c r="J42" s="1304"/>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3349</v>
      </c>
      <c r="B45" s="1305"/>
      <c r="C45" s="1374" t="e">
        <f ca="1">ROUND((C68-C40)/10000,4)</f>
        <v>#DIV/0!</v>
      </c>
      <c r="D45" s="3128" t="s">
        <v>3350</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0</v>
      </c>
      <c r="K53" s="3369" t="s">
        <v>837</v>
      </c>
      <c r="L53" s="3370"/>
      <c r="O53" s="1323" t="s">
        <v>409</v>
      </c>
      <c r="P53" s="1324" t="s">
        <v>838</v>
      </c>
      <c r="Q53" s="1325" t="e">
        <f ca="1">Q47+Q48</f>
        <v>#DIV/0!</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3333</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7">
        <f t="shared" si="0"/>
        <v>0</v>
      </c>
      <c r="I62" s="1365" t="s">
        <v>858</v>
      </c>
      <c r="J62" s="610" t="s">
        <v>859</v>
      </c>
      <c r="K62" s="610" t="s">
        <v>860</v>
      </c>
      <c r="L62" s="610"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5" thickBot="1">
      <c r="A66" s="926" t="s">
        <v>793</v>
      </c>
      <c r="B66" s="894" t="s">
        <v>728</v>
      </c>
      <c r="C66" s="21">
        <f ca="1">ROUND(C48*F66,0)</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ROUND(C68/F71,0)</f>
        <v>#DIV/0!</v>
      </c>
      <c r="D71" s="917" t="s">
        <v>777</v>
      </c>
      <c r="E71" s="918" t="s">
        <v>778</v>
      </c>
      <c r="F71" s="330">
        <f ca="1">F43</f>
        <v>0</v>
      </c>
      <c r="O71" s="1332" t="s">
        <v>413</v>
      </c>
      <c r="P71" s="1369" t="s">
        <v>874</v>
      </c>
      <c r="Q71" s="1335">
        <f ca="1">C76</f>
        <v>0</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15" customHeight="1">
      <c r="A2" s="1291" t="s">
        <v>2312</v>
      </c>
      <c r="B2" s="2592" t="e">
        <f>IF(D2="——",C40,C40+E2)</f>
        <v>#DIV/0!</v>
      </c>
      <c r="C2" s="2593" t="s">
        <v>2313</v>
      </c>
      <c r="D2" s="3136" t="s">
        <v>3356</v>
      </c>
      <c r="E2" s="3137"/>
      <c r="F2" s="2595"/>
      <c r="G2" s="2596"/>
      <c r="H2" s="2597"/>
      <c r="I2" s="2598"/>
      <c r="J2" s="3377" t="s">
        <v>2314</v>
      </c>
      <c r="K2" s="3378"/>
      <c r="L2" s="2599" t="s">
        <v>2315</v>
      </c>
      <c r="M2" s="2599" t="s">
        <v>2316</v>
      </c>
      <c r="N2" s="2599" t="s">
        <v>2317</v>
      </c>
      <c r="O2" s="2599" t="s">
        <v>2318</v>
      </c>
      <c r="P2" s="2599" t="s">
        <v>2319</v>
      </c>
      <c r="Q2" s="2600" t="s">
        <v>2320</v>
      </c>
      <c r="R2" s="2601" t="s">
        <v>2321</v>
      </c>
      <c r="S2" s="2590"/>
      <c r="T2" s="2590"/>
      <c r="U2" s="2590"/>
      <c r="V2" s="2598"/>
    </row>
    <row r="3" spans="1:22" s="2602" customFormat="1" ht="13.15" customHeight="1">
      <c r="A3" s="2603" t="s">
        <v>2322</v>
      </c>
      <c r="B3" s="2604" t="e">
        <f>ROUND(B2*10000/B4,0)</f>
        <v>#DIV/0!</v>
      </c>
      <c r="C3" s="2593" t="s">
        <v>2323</v>
      </c>
      <c r="D3" s="2593"/>
      <c r="E3" s="2594"/>
      <c r="F3" s="2595"/>
      <c r="G3" s="2596"/>
      <c r="H3" s="2597"/>
      <c r="I3" s="2598"/>
      <c r="J3" s="3379" t="s">
        <v>2324</v>
      </c>
      <c r="K3" s="3380"/>
      <c r="L3" s="2605"/>
      <c r="M3" s="2605"/>
      <c r="N3" s="2605"/>
      <c r="O3" s="2605"/>
      <c r="P3" s="2605"/>
      <c r="Q3" s="2606"/>
      <c r="R3" s="2607">
        <f>SUM(L3:Q3)</f>
        <v>0</v>
      </c>
      <c r="S3" s="2590"/>
      <c r="T3" s="2590"/>
      <c r="U3" s="2590"/>
      <c r="V3" s="2598"/>
    </row>
    <row r="4" spans="1:22" s="2602" customFormat="1" ht="13.15" customHeight="1">
      <c r="A4" s="2608" t="s">
        <v>2325</v>
      </c>
      <c r="B4" s="2609"/>
      <c r="C4" s="2593"/>
      <c r="D4" s="2593"/>
      <c r="E4" s="2594"/>
      <c r="F4" s="2595"/>
      <c r="G4" s="2596"/>
      <c r="H4" s="2597"/>
      <c r="I4" s="2598"/>
      <c r="J4" s="3379" t="s">
        <v>2326</v>
      </c>
      <c r="K4" s="3380"/>
      <c r="L4" s="2610"/>
      <c r="M4" s="2610"/>
      <c r="N4" s="2610"/>
      <c r="O4" s="2610"/>
      <c r="P4" s="2610"/>
      <c r="Q4" s="2611"/>
      <c r="R4" s="2612">
        <f>SUM(L4:Q4)</f>
        <v>0</v>
      </c>
      <c r="S4" s="2590"/>
      <c r="T4" s="2590"/>
      <c r="U4" s="2590"/>
      <c r="V4" s="2598"/>
    </row>
    <row r="5" spans="1:22" s="2602" customFormat="1" ht="13.15"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15" customHeight="1" thickBot="1">
      <c r="A6" s="3385" t="s">
        <v>2330</v>
      </c>
      <c r="B6" s="3386"/>
      <c r="C6" s="3387"/>
      <c r="D6" s="2619"/>
      <c r="E6" s="2620"/>
      <c r="F6" s="2621"/>
      <c r="G6" s="2622"/>
      <c r="H6" s="2597"/>
      <c r="I6" s="2598"/>
      <c r="J6" s="3371">
        <v>1</v>
      </c>
      <c r="K6" s="3372"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15" customHeight="1">
      <c r="A7" s="2625" t="s">
        <v>2340</v>
      </c>
      <c r="B7" s="2626"/>
      <c r="C7" s="2627"/>
      <c r="D7" s="2628">
        <f>SUM(D9,D10,D11,D17,0)</f>
        <v>0</v>
      </c>
      <c r="E7" s="2629" t="e">
        <f>E9+E10+E11+E17</f>
        <v>#DIV/0!</v>
      </c>
      <c r="F7" s="2630"/>
      <c r="G7" s="2631"/>
      <c r="H7" s="2597"/>
      <c r="I7" s="2598"/>
      <c r="J7" s="3371"/>
      <c r="K7" s="3373"/>
      <c r="L7" s="2632" t="s">
        <v>2341</v>
      </c>
      <c r="M7" s="2633"/>
      <c r="N7" s="2609"/>
      <c r="O7" s="2634"/>
      <c r="P7" s="2634"/>
      <c r="Q7" s="2635">
        <v>365</v>
      </c>
      <c r="R7" s="2636">
        <f>ROUND(M7*N7*O7*P7*Q7/10000,0)</f>
        <v>0</v>
      </c>
      <c r="S7" s="2590"/>
      <c r="T7" s="2590" t="s">
        <v>2342</v>
      </c>
      <c r="U7" s="2590"/>
      <c r="V7" s="2598"/>
    </row>
    <row r="8" spans="1:22" s="2602" customFormat="1" ht="13.15" customHeight="1">
      <c r="A8" s="2637" t="s">
        <v>2343</v>
      </c>
      <c r="B8" s="3388" t="s">
        <v>2344</v>
      </c>
      <c r="C8" s="3389"/>
      <c r="D8" s="2638" t="s">
        <v>2345</v>
      </c>
      <c r="E8" s="2639" t="s">
        <v>2346</v>
      </c>
      <c r="F8" s="2640" t="s">
        <v>2347</v>
      </c>
      <c r="G8" s="2641"/>
      <c r="H8" s="2597"/>
      <c r="I8" s="2598"/>
      <c r="J8" s="3371"/>
      <c r="K8" s="3373"/>
      <c r="L8" s="2632" t="s">
        <v>2348</v>
      </c>
      <c r="M8" s="2633"/>
      <c r="N8" s="2609"/>
      <c r="O8" s="2634"/>
      <c r="P8" s="2634"/>
      <c r="Q8" s="2635">
        <v>365</v>
      </c>
      <c r="R8" s="2636">
        <f t="shared" ref="R8:R13" si="0">ROUND(M8*N8*O8*P8*Q8/10000,0)</f>
        <v>0</v>
      </c>
      <c r="S8" s="2590"/>
      <c r="T8" s="2590" t="s">
        <v>2349</v>
      </c>
      <c r="U8" s="2590"/>
      <c r="V8" s="2598"/>
    </row>
    <row r="9" spans="1:22" s="2602" customFormat="1" ht="13.15" customHeight="1">
      <c r="A9" s="2637">
        <v>1</v>
      </c>
      <c r="B9" s="3388" t="s">
        <v>2350</v>
      </c>
      <c r="C9" s="3389"/>
      <c r="D9" s="2638">
        <f>ROUND(D6*E9,0)</f>
        <v>0</v>
      </c>
      <c r="E9" s="2642"/>
      <c r="F9" s="2643" t="s">
        <v>2351</v>
      </c>
      <c r="G9" s="2622"/>
      <c r="H9" s="2597"/>
      <c r="I9" s="2598"/>
      <c r="J9" s="3371"/>
      <c r="K9" s="3373"/>
      <c r="L9" s="2632" t="s">
        <v>2352</v>
      </c>
      <c r="M9" s="2633"/>
      <c r="N9" s="2609"/>
      <c r="O9" s="2634"/>
      <c r="P9" s="2634"/>
      <c r="Q9" s="2635">
        <v>365</v>
      </c>
      <c r="R9" s="2636">
        <f t="shared" si="0"/>
        <v>0</v>
      </c>
      <c r="S9" s="2590"/>
      <c r="T9" s="2590"/>
      <c r="U9" s="2590"/>
      <c r="V9" s="2598"/>
    </row>
    <row r="10" spans="1:22" s="2602" customFormat="1" ht="13.15" customHeight="1">
      <c r="A10" s="2637">
        <v>2</v>
      </c>
      <c r="B10" s="3388" t="s">
        <v>2353</v>
      </c>
      <c r="C10" s="3389"/>
      <c r="D10" s="2638">
        <f>ROUND(D6*E10,0)</f>
        <v>0</v>
      </c>
      <c r="E10" s="2642"/>
      <c r="F10" s="2643" t="s">
        <v>2354</v>
      </c>
      <c r="G10" s="2622"/>
      <c r="H10" s="2597"/>
      <c r="I10" s="2598"/>
      <c r="J10" s="3371"/>
      <c r="K10" s="3373"/>
      <c r="L10" s="2632" t="s">
        <v>2355</v>
      </c>
      <c r="M10" s="2633"/>
      <c r="N10" s="2609"/>
      <c r="O10" s="2634"/>
      <c r="P10" s="2634"/>
      <c r="Q10" s="2635">
        <v>365</v>
      </c>
      <c r="R10" s="2636">
        <f t="shared" si="0"/>
        <v>0</v>
      </c>
      <c r="S10" s="2590"/>
      <c r="T10" s="2590"/>
      <c r="U10" s="2590"/>
      <c r="V10" s="2598"/>
    </row>
    <row r="11" spans="1:22" s="2602" customFormat="1" ht="13.15" customHeight="1">
      <c r="A11" s="2637">
        <v>3</v>
      </c>
      <c r="B11" s="3388" t="s">
        <v>2356</v>
      </c>
      <c r="C11" s="3389"/>
      <c r="D11" s="2638">
        <f>D12+D14+D15+D16</f>
        <v>0</v>
      </c>
      <c r="E11" s="2644" t="e">
        <f>D11/D6</f>
        <v>#DIV/0!</v>
      </c>
      <c r="F11" s="2640"/>
      <c r="G11" s="2641"/>
      <c r="H11" s="2597"/>
      <c r="I11" s="2598"/>
      <c r="J11" s="3371"/>
      <c r="K11" s="3373"/>
      <c r="L11" s="2632" t="s">
        <v>2357</v>
      </c>
      <c r="M11" s="2633"/>
      <c r="N11" s="2609"/>
      <c r="O11" s="2634"/>
      <c r="P11" s="2634"/>
      <c r="Q11" s="2635">
        <v>365</v>
      </c>
      <c r="R11" s="2636">
        <f t="shared" si="0"/>
        <v>0</v>
      </c>
      <c r="S11" s="2590"/>
      <c r="T11" s="2590"/>
      <c r="U11" s="2590"/>
      <c r="V11" s="2598"/>
    </row>
    <row r="12" spans="1:22" s="2602" customFormat="1" ht="13.15" customHeight="1">
      <c r="A12" s="2645" t="s">
        <v>2358</v>
      </c>
      <c r="B12" s="3381" t="s">
        <v>2359</v>
      </c>
      <c r="C12" s="3382"/>
      <c r="D12" s="2646">
        <f>ROUND(D13*1.2%*(1-30%),0)</f>
        <v>0</v>
      </c>
      <c r="E12" s="2647">
        <v>1.2E-2</v>
      </c>
      <c r="F12" s="2640" t="s">
        <v>2360</v>
      </c>
      <c r="G12" s="2641"/>
      <c r="H12" s="2597"/>
      <c r="I12" s="2598"/>
      <c r="J12" s="3371"/>
      <c r="K12" s="3373"/>
      <c r="L12" s="2632" t="s">
        <v>2361</v>
      </c>
      <c r="M12" s="2633"/>
      <c r="N12" s="2609"/>
      <c r="O12" s="2634"/>
      <c r="P12" s="2634"/>
      <c r="Q12" s="2635">
        <v>365</v>
      </c>
      <c r="R12" s="2636">
        <f t="shared" si="0"/>
        <v>0</v>
      </c>
      <c r="S12" s="2590"/>
      <c r="T12" s="2590"/>
      <c r="U12" s="2590"/>
      <c r="V12" s="2598"/>
    </row>
    <row r="13" spans="1:22" s="2602" customFormat="1" ht="13.15" customHeight="1">
      <c r="A13" s="2645"/>
      <c r="B13" s="2648"/>
      <c r="C13" s="2649" t="s">
        <v>2362</v>
      </c>
      <c r="D13" s="2650"/>
      <c r="E13" s="2651"/>
      <c r="F13" s="2640"/>
      <c r="G13" s="2641"/>
      <c r="H13" s="2597"/>
      <c r="I13" s="2598"/>
      <c r="J13" s="3371"/>
      <c r="K13" s="3373"/>
      <c r="L13" s="2632" t="s">
        <v>2363</v>
      </c>
      <c r="M13" s="2633"/>
      <c r="N13" s="2609"/>
      <c r="O13" s="2634"/>
      <c r="P13" s="2634"/>
      <c r="Q13" s="2635">
        <v>365</v>
      </c>
      <c r="R13" s="2636">
        <f t="shared" si="0"/>
        <v>0</v>
      </c>
      <c r="S13" s="2590"/>
      <c r="T13" s="2590"/>
      <c r="U13" s="2590"/>
      <c r="V13" s="2598"/>
    </row>
    <row r="14" spans="1:22" s="2602" customFormat="1" ht="13.15" customHeight="1">
      <c r="A14" s="2645" t="s">
        <v>2364</v>
      </c>
      <c r="B14" s="3381" t="s">
        <v>2365</v>
      </c>
      <c r="C14" s="3382"/>
      <c r="D14" s="2646">
        <f>ROUND(E14*B5/10000,0)</f>
        <v>0</v>
      </c>
      <c r="E14" s="2635"/>
      <c r="F14" s="2640" t="s">
        <v>2366</v>
      </c>
      <c r="G14" s="2641"/>
      <c r="H14" s="2597"/>
      <c r="I14" s="2598"/>
      <c r="J14" s="3371"/>
      <c r="K14" s="3374"/>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2368</v>
      </c>
      <c r="B15" s="3381" t="s">
        <v>2369</v>
      </c>
      <c r="C15" s="3382"/>
      <c r="D15" s="2646">
        <f>ROUND(D6*E15,0)</f>
        <v>0</v>
      </c>
      <c r="E15" s="2647">
        <v>5.5E-2</v>
      </c>
      <c r="F15" s="2640" t="s">
        <v>2370</v>
      </c>
      <c r="G15" s="2622"/>
      <c r="H15" s="2597"/>
      <c r="I15" s="2598"/>
      <c r="J15" s="3371">
        <v>2</v>
      </c>
      <c r="K15" s="3372"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15" customHeight="1">
      <c r="A16" s="2645" t="s">
        <v>2377</v>
      </c>
      <c r="B16" s="3381" t="s">
        <v>2378</v>
      </c>
      <c r="C16" s="3382"/>
      <c r="D16" s="2657">
        <f>D6*E16</f>
        <v>0</v>
      </c>
      <c r="E16" s="2658"/>
      <c r="F16" s="2643" t="s">
        <v>2379</v>
      </c>
      <c r="G16" s="2622"/>
      <c r="H16" s="2597"/>
      <c r="I16" s="2598"/>
      <c r="J16" s="3371"/>
      <c r="K16" s="3373"/>
      <c r="L16" s="2632" t="s">
        <v>2380</v>
      </c>
      <c r="M16" s="2633"/>
      <c r="N16" s="2633"/>
      <c r="O16" s="2634"/>
      <c r="P16" s="2635">
        <v>365</v>
      </c>
      <c r="Q16" s="2609"/>
      <c r="R16" s="2656">
        <f>ROUND(M16*N16*O16*P16/10000,0)</f>
        <v>0</v>
      </c>
      <c r="S16" s="2590"/>
      <c r="T16" s="2590"/>
      <c r="U16" s="2590"/>
      <c r="V16" s="2598"/>
    </row>
    <row r="17" spans="1:22" s="2602" customFormat="1" ht="13.15" customHeight="1" thickBot="1">
      <c r="A17" s="2659">
        <v>4</v>
      </c>
      <c r="B17" s="3383" t="s">
        <v>2381</v>
      </c>
      <c r="C17" s="3384"/>
      <c r="D17" s="2660">
        <f>ROUND(D6*E17,0)</f>
        <v>0</v>
      </c>
      <c r="E17" s="2661"/>
      <c r="F17" s="2662" t="s">
        <v>2382</v>
      </c>
      <c r="G17" s="2622"/>
      <c r="H17" s="2597"/>
      <c r="I17" s="2598"/>
      <c r="J17" s="3371"/>
      <c r="K17" s="3373"/>
      <c r="L17" s="2632" t="s">
        <v>2383</v>
      </c>
      <c r="M17" s="2633"/>
      <c r="N17" s="2633"/>
      <c r="O17" s="2634"/>
      <c r="P17" s="2635">
        <v>365</v>
      </c>
      <c r="Q17" s="2609"/>
      <c r="R17" s="2656">
        <f>ROUND(M17*N17*O17*P17/10000,0)</f>
        <v>0</v>
      </c>
      <c r="S17" s="2590"/>
      <c r="T17" s="2590"/>
      <c r="U17" s="2590"/>
      <c r="V17" s="2598"/>
    </row>
    <row r="18" spans="1:22" s="2602" customFormat="1" ht="13.15" customHeight="1" thickBot="1">
      <c r="A18" s="2625" t="s">
        <v>2384</v>
      </c>
      <c r="B18" s="2626"/>
      <c r="C18" s="2626"/>
      <c r="D18" s="2663">
        <f>ROUND(D6*E18,0)</f>
        <v>0</v>
      </c>
      <c r="E18" s="2664"/>
      <c r="F18" s="2665" t="s">
        <v>2385</v>
      </c>
      <c r="G18" s="2622"/>
      <c r="H18" s="2597"/>
      <c r="I18" s="2598"/>
      <c r="J18" s="3371"/>
      <c r="K18" s="3373"/>
      <c r="L18" s="2632" t="s">
        <v>2386</v>
      </c>
      <c r="M18" s="2633"/>
      <c r="N18" s="2633"/>
      <c r="O18" s="2634"/>
      <c r="P18" s="2635">
        <v>365</v>
      </c>
      <c r="Q18" s="2609"/>
      <c r="R18" s="2656">
        <f>ROUND(M18*N18*O18*P18/10000,0)</f>
        <v>0</v>
      </c>
      <c r="S18" s="2590"/>
      <c r="T18" s="2590"/>
      <c r="U18" s="2590"/>
      <c r="V18" s="2598"/>
    </row>
    <row r="19" spans="1:22" s="2602" customFormat="1" ht="13.15" customHeight="1" thickBot="1">
      <c r="A19" s="2666" t="s">
        <v>2387</v>
      </c>
      <c r="B19" s="2620"/>
      <c r="C19" s="2620"/>
      <c r="D19" s="2620"/>
      <c r="E19" s="2620"/>
      <c r="F19" s="2621"/>
      <c r="G19" s="2641"/>
      <c r="H19" s="2597"/>
      <c r="I19" s="2598"/>
      <c r="J19" s="3371"/>
      <c r="K19" s="3374"/>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71">
        <v>3</v>
      </c>
      <c r="K20" s="3372"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15" customHeight="1">
      <c r="A21" s="2625"/>
      <c r="B21" s="2626"/>
      <c r="C21" s="2671" t="s">
        <v>2396</v>
      </c>
      <c r="D21" s="2672" t="s">
        <v>2397</v>
      </c>
      <c r="E21" s="2673" t="s">
        <v>2398</v>
      </c>
      <c r="F21" s="2669"/>
      <c r="G21" s="2641"/>
      <c r="H21" s="2597"/>
      <c r="I21" s="2598"/>
      <c r="J21" s="3371"/>
      <c r="K21" s="3373"/>
      <c r="L21" s="2632" t="s">
        <v>2399</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2400</v>
      </c>
      <c r="D22" s="2676" t="s">
        <v>2401</v>
      </c>
      <c r="E22" s="2677" t="s">
        <v>2402</v>
      </c>
      <c r="F22" s="2669"/>
      <c r="G22" s="2590"/>
      <c r="H22" s="2597"/>
      <c r="I22" s="2598"/>
      <c r="J22" s="3371"/>
      <c r="K22" s="3373"/>
      <c r="L22" s="2632" t="s">
        <v>2403</v>
      </c>
      <c r="M22" s="2633"/>
      <c r="N22" s="2633"/>
      <c r="O22" s="2634"/>
      <c r="P22" s="2635">
        <v>365</v>
      </c>
      <c r="Q22" s="2609"/>
      <c r="R22" s="2674">
        <f>ROUND(M22*N22*O22*P22/10000,0)</f>
        <v>0</v>
      </c>
      <c r="S22" s="2590"/>
      <c r="T22" s="2590"/>
      <c r="U22" s="2590"/>
      <c r="V22" s="2598"/>
    </row>
    <row r="23" spans="1:22" s="2602" customFormat="1" ht="13.15" customHeight="1">
      <c r="A23" s="2678">
        <v>1</v>
      </c>
      <c r="B23" s="2679" t="s">
        <v>2404</v>
      </c>
      <c r="C23" s="2680">
        <f>D6</f>
        <v>0</v>
      </c>
      <c r="D23" s="2681">
        <f>C23*(1+D24)</f>
        <v>0</v>
      </c>
      <c r="E23" s="2682">
        <f>D23*(1+E24)</f>
        <v>0</v>
      </c>
      <c r="F23" s="2683"/>
      <c r="G23" s="2684"/>
      <c r="H23" s="2597"/>
      <c r="I23" s="2598"/>
      <c r="J23" s="3371"/>
      <c r="K23" s="3373"/>
      <c r="L23" s="2632" t="s">
        <v>2405</v>
      </c>
      <c r="M23" s="2633"/>
      <c r="N23" s="2633"/>
      <c r="O23" s="2634"/>
      <c r="P23" s="2635">
        <v>365</v>
      </c>
      <c r="Q23" s="2609"/>
      <c r="R23" s="2674">
        <f>ROUND(M23*N23*O23*P23/10000,0)</f>
        <v>0</v>
      </c>
      <c r="S23" s="2590"/>
      <c r="T23" s="2590"/>
      <c r="U23" s="2590"/>
      <c r="V23" s="2598"/>
    </row>
    <row r="24" spans="1:22" s="2602" customFormat="1" ht="13.15" customHeight="1">
      <c r="A24" s="2685"/>
      <c r="B24" s="2686" t="s">
        <v>2406</v>
      </c>
      <c r="C24" s="2687"/>
      <c r="D24" s="2688"/>
      <c r="E24" s="2689"/>
      <c r="F24" s="2690"/>
      <c r="G24" s="2684"/>
      <c r="H24" s="2597"/>
      <c r="I24" s="2598"/>
      <c r="J24" s="3371"/>
      <c r="K24" s="3374"/>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15" customHeight="1">
      <c r="A26" s="2678">
        <v>2</v>
      </c>
      <c r="B26" s="2679" t="s">
        <v>2408</v>
      </c>
      <c r="C26" s="2680">
        <f>D7</f>
        <v>0</v>
      </c>
      <c r="D26" s="2681">
        <f>D23*D27</f>
        <v>0</v>
      </c>
      <c r="E26" s="2682">
        <f>E23*E27</f>
        <v>0</v>
      </c>
      <c r="F26" s="2683"/>
      <c r="G26" s="2684"/>
      <c r="H26" s="2597"/>
      <c r="I26" s="2598"/>
      <c r="J26" s="3375">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15" customHeight="1">
      <c r="A27" s="2685"/>
      <c r="B27" s="2686" t="s">
        <v>2414</v>
      </c>
      <c r="C27" s="2703" t="e">
        <f>E7</f>
        <v>#DIV/0!</v>
      </c>
      <c r="D27" s="2688"/>
      <c r="E27" s="2689"/>
      <c r="F27" s="2690"/>
      <c r="G27" s="2684"/>
      <c r="H27" s="2704"/>
      <c r="I27" s="2696"/>
      <c r="J27" s="337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15"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15" customHeight="1">
      <c r="A32" s="2678">
        <v>4</v>
      </c>
      <c r="B32" s="2679" t="s">
        <v>2422</v>
      </c>
      <c r="C32" s="2680">
        <f>C23-C26-C29</f>
        <v>0</v>
      </c>
      <c r="D32" s="2681">
        <f>D23-D26-D29</f>
        <v>0</v>
      </c>
      <c r="E32" s="2682">
        <f>E23-E26-E29</f>
        <v>0</v>
      </c>
      <c r="F32" s="2683"/>
      <c r="G32" s="2590"/>
      <c r="H32" s="2597"/>
      <c r="I32" s="2598"/>
      <c r="J32" s="3377" t="s">
        <v>2314</v>
      </c>
      <c r="K32" s="3378"/>
      <c r="L32" s="2599" t="s">
        <v>2315</v>
      </c>
      <c r="M32" s="2599" t="s">
        <v>2316</v>
      </c>
      <c r="N32" s="2599" t="s">
        <v>2317</v>
      </c>
      <c r="O32" s="2599" t="s">
        <v>2318</v>
      </c>
      <c r="P32" s="2599" t="s">
        <v>2319</v>
      </c>
      <c r="Q32" s="2600" t="s">
        <v>2320</v>
      </c>
      <c r="R32" s="2719" t="s">
        <v>2321</v>
      </c>
      <c r="S32" s="2590"/>
      <c r="T32" s="2590"/>
      <c r="U32" s="2590"/>
      <c r="V32" s="2696"/>
    </row>
    <row r="33" spans="1:23" s="2602" customFormat="1" ht="13.15" customHeight="1">
      <c r="A33" s="2678"/>
      <c r="B33" s="2679"/>
      <c r="C33" s="2680"/>
      <c r="D33" s="2720"/>
      <c r="E33" s="2721"/>
      <c r="F33" s="2683"/>
      <c r="G33" s="2590"/>
      <c r="H33" s="2704"/>
      <c r="I33" s="2696"/>
      <c r="J33" s="3379" t="s">
        <v>2324</v>
      </c>
      <c r="K33" s="3380"/>
      <c r="L33" s="2605"/>
      <c r="M33" s="2605"/>
      <c r="N33" s="2605"/>
      <c r="O33" s="2605"/>
      <c r="P33" s="2605"/>
      <c r="Q33" s="2606"/>
      <c r="R33" s="2722">
        <f>SUM(L33:Q33)</f>
        <v>0</v>
      </c>
      <c r="S33" s="2590"/>
      <c r="T33" s="2590"/>
      <c r="U33" s="2590"/>
      <c r="V33" s="2598"/>
    </row>
    <row r="34" spans="1:23" s="2602" customFormat="1" ht="13.15" customHeight="1">
      <c r="A34" s="2678">
        <v>5</v>
      </c>
      <c r="B34" s="2679" t="s">
        <v>2423</v>
      </c>
      <c r="C34" s="2723"/>
      <c r="D34" s="2724"/>
      <c r="E34" s="2725"/>
      <c r="F34" s="2683"/>
      <c r="G34" s="2590"/>
      <c r="H34" s="2704"/>
      <c r="I34" s="2696"/>
      <c r="J34" s="3379" t="s">
        <v>2326</v>
      </c>
      <c r="K34" s="3380"/>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15" customHeight="1" thickBot="1">
      <c r="A36" s="2678">
        <v>7</v>
      </c>
      <c r="B36" s="2732" t="s">
        <v>2425</v>
      </c>
      <c r="C36" s="2733"/>
      <c r="D36" s="2734"/>
      <c r="E36" s="2735"/>
      <c r="F36" s="2736">
        <f>C36+D36+E36</f>
        <v>0</v>
      </c>
      <c r="G36" s="2590"/>
      <c r="H36" s="2597"/>
      <c r="I36" s="2598"/>
      <c r="J36" s="3371">
        <v>1</v>
      </c>
      <c r="K36" s="3372" t="s">
        <v>2426</v>
      </c>
      <c r="L36" s="2623"/>
      <c r="M36" s="2624"/>
      <c r="N36" s="2624"/>
      <c r="O36" s="2624"/>
      <c r="P36" s="2624"/>
      <c r="Q36" s="2624"/>
      <c r="R36" s="2607" t="s">
        <v>2338</v>
      </c>
      <c r="S36" s="2590"/>
      <c r="T36" s="2590" t="s">
        <v>2339</v>
      </c>
      <c r="U36" s="2590"/>
      <c r="V36" s="2598"/>
    </row>
    <row r="37" spans="1:23" s="2602" customFormat="1" ht="13.15" customHeight="1">
      <c r="A37" s="2678"/>
      <c r="B37" s="2679"/>
      <c r="C37" s="2679"/>
      <c r="D37" s="2679"/>
      <c r="E37" s="2679"/>
      <c r="F37" s="2683"/>
      <c r="G37" s="2590"/>
      <c r="H37" s="2597"/>
      <c r="I37" s="2598"/>
      <c r="J37" s="3371"/>
      <c r="K37" s="3373"/>
      <c r="L37" s="2632"/>
      <c r="M37" s="2633"/>
      <c r="N37" s="2609"/>
      <c r="O37" s="2634"/>
      <c r="P37" s="2634"/>
      <c r="Q37" s="2635"/>
      <c r="R37" s="2636"/>
      <c r="S37" s="2590"/>
      <c r="T37" s="2590" t="s">
        <v>2342</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71"/>
      <c r="K38" s="3373"/>
      <c r="L38" s="2632"/>
      <c r="M38" s="2633"/>
      <c r="N38" s="2609"/>
      <c r="O38" s="2634"/>
      <c r="P38" s="2634"/>
      <c r="Q38" s="2635"/>
      <c r="R38" s="2636"/>
      <c r="S38" s="2590"/>
      <c r="T38" s="2590" t="s">
        <v>2349</v>
      </c>
      <c r="U38" s="2590"/>
      <c r="V38" s="2598"/>
    </row>
    <row r="39" spans="1:23" s="2602" customFormat="1" ht="13.15" customHeight="1">
      <c r="A39" s="2678">
        <v>9</v>
      </c>
      <c r="B39" s="2679" t="s">
        <v>2427</v>
      </c>
      <c r="C39" s="2646" t="e">
        <f>C38</f>
        <v>#DIV/0!</v>
      </c>
      <c r="D39" s="2679">
        <f>D38/(1+D34)^C36</f>
        <v>0</v>
      </c>
      <c r="E39" s="2679">
        <f>E38/(1+E34)^(C36+D36)</f>
        <v>0</v>
      </c>
      <c r="F39" s="2683"/>
      <c r="G39" s="2598"/>
      <c r="H39" s="2597"/>
      <c r="I39" s="2598"/>
      <c r="J39" s="3371"/>
      <c r="K39" s="3373"/>
      <c r="L39" s="2632"/>
      <c r="M39" s="2633"/>
      <c r="N39" s="2609"/>
      <c r="O39" s="2634"/>
      <c r="P39" s="2634"/>
      <c r="Q39" s="2635"/>
      <c r="R39" s="2636"/>
      <c r="S39" s="2590"/>
      <c r="T39" s="2590"/>
      <c r="U39" s="2590"/>
      <c r="V39" s="2598"/>
    </row>
    <row r="40" spans="1:23" s="2602" customFormat="1" ht="13.15" customHeight="1">
      <c r="A40" s="2737">
        <v>10</v>
      </c>
      <c r="B40" s="2679" t="s">
        <v>2428</v>
      </c>
      <c r="C40" s="2738" t="e">
        <f>C39+D39+E39</f>
        <v>#DIV/0!</v>
      </c>
      <c r="D40" s="2739"/>
      <c r="E40" s="2739"/>
      <c r="F40" s="2740"/>
      <c r="G40" s="2590"/>
      <c r="H40" s="2597"/>
      <c r="I40" s="2598"/>
      <c r="J40" s="3371"/>
      <c r="K40" s="3374"/>
      <c r="L40" s="2652" t="s">
        <v>2367</v>
      </c>
      <c r="M40" s="2653"/>
      <c r="N40" s="2653"/>
      <c r="O40" s="2654"/>
      <c r="P40" s="2654"/>
      <c r="Q40" s="2655"/>
      <c r="R40" s="2601">
        <f>SUM(R37:R39)</f>
        <v>0</v>
      </c>
      <c r="S40" s="2590"/>
      <c r="T40" s="2590"/>
      <c r="U40" s="2590"/>
      <c r="V40" s="2598"/>
    </row>
    <row r="41" spans="1:23" s="2602" customFormat="1" ht="13.15"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15" customHeight="1">
      <c r="G42" s="2597"/>
      <c r="H42" s="2597"/>
      <c r="I42" s="2598"/>
      <c r="J42" s="3375">
        <v>3</v>
      </c>
      <c r="K42" s="2698" t="s">
        <v>2409</v>
      </c>
      <c r="L42" s="2699"/>
      <c r="M42" s="2700"/>
      <c r="N42" s="2701" t="s">
        <v>2410</v>
      </c>
      <c r="O42" s="2701" t="s">
        <v>2411</v>
      </c>
      <c r="P42" s="2702" t="s">
        <v>2412</v>
      </c>
      <c r="Q42" s="2702" t="s">
        <v>2413</v>
      </c>
      <c r="R42" s="2607" t="s">
        <v>2338</v>
      </c>
      <c r="S42" s="2641"/>
      <c r="T42" s="2641"/>
      <c r="U42" s="2590"/>
      <c r="V42" s="2598"/>
    </row>
    <row r="43" spans="1:23" ht="13.15" customHeight="1">
      <c r="A43" s="2602"/>
      <c r="B43" s="2602"/>
      <c r="C43" s="2602"/>
      <c r="D43" s="2602"/>
      <c r="E43" s="2602"/>
      <c r="F43" s="2602"/>
      <c r="I43" s="2585"/>
      <c r="J43" s="337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3" t="s">
        <v>1658</v>
      </c>
      <c r="B1" s="1724"/>
      <c r="C1" s="1724"/>
      <c r="D1" s="1724"/>
      <c r="E1" s="1725"/>
      <c r="F1" s="2477"/>
      <c r="G1" s="459"/>
      <c r="H1" s="459"/>
      <c r="I1" s="459"/>
      <c r="J1" s="459"/>
      <c r="K1" s="459"/>
      <c r="L1" s="459"/>
      <c r="M1" s="459"/>
      <c r="N1" s="459"/>
      <c r="O1" s="459"/>
      <c r="P1" s="459"/>
      <c r="Q1" s="459"/>
      <c r="R1" s="459"/>
      <c r="S1" s="459"/>
    </row>
    <row r="2" spans="1:22" ht="15.75">
      <c r="A2" s="1726" t="s">
        <v>1462</v>
      </c>
      <c r="B2" s="809">
        <f ca="1">SUMIF(B6:B13,"&lt;&gt;#ref!",B6:B13)</f>
        <v>27572.199000000008</v>
      </c>
      <c r="C2" s="1727" t="s">
        <v>1651</v>
      </c>
      <c r="D2" s="1728" t="s">
        <v>1652</v>
      </c>
      <c r="E2" s="2390">
        <f>SUM(E6:E13)</f>
        <v>41825.5</v>
      </c>
      <c r="F2" s="2477"/>
      <c r="G2" s="459"/>
      <c r="H2" s="459"/>
      <c r="I2" s="459"/>
      <c r="J2" s="459"/>
      <c r="K2" s="459"/>
      <c r="L2" s="459"/>
      <c r="M2" s="459"/>
      <c r="N2" s="459"/>
      <c r="O2" s="459"/>
      <c r="P2" s="459"/>
      <c r="Q2" s="459"/>
      <c r="R2" s="459"/>
      <c r="S2" s="459"/>
    </row>
    <row r="3" spans="1:22" ht="15.75">
      <c r="A3" s="1726" t="s">
        <v>686</v>
      </c>
      <c r="B3" s="2384">
        <f ca="1">ROUND(B2*10000/E2,0)</f>
        <v>6592</v>
      </c>
      <c r="C3" s="1727"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90" t="s">
        <v>1654</v>
      </c>
      <c r="C5" s="3391"/>
      <c r="D5" s="2478"/>
      <c r="E5" s="1729" t="s">
        <v>1655</v>
      </c>
      <c r="F5" s="129" t="s">
        <v>1656</v>
      </c>
      <c r="G5" s="459"/>
      <c r="H5" s="459"/>
      <c r="I5" s="459"/>
      <c r="J5" s="459"/>
      <c r="K5" s="459"/>
      <c r="L5" s="459"/>
      <c r="M5" s="459"/>
      <c r="N5" s="459"/>
      <c r="O5" s="459"/>
      <c r="P5" s="459"/>
      <c r="Q5" s="459"/>
      <c r="R5" s="459"/>
      <c r="S5" s="459"/>
    </row>
    <row r="6" spans="1:22">
      <c r="A6" s="2387" t="str">
        <f>'数据-取费表'!AN6</f>
        <v>收益法 (元)地上商业</v>
      </c>
      <c r="B6" s="2385">
        <f ca="1">IF(F6="是",'数据-取费表'!AO6,0)</f>
        <v>16126.206399999999</v>
      </c>
      <c r="C6" s="1727" t="s">
        <v>1651</v>
      </c>
      <c r="D6" s="2477"/>
      <c r="E6" s="2389">
        <f>IF(OR(A6=0,F6="否"),0,'数据-取费表'!K6+'数据-取费表'!S6)</f>
        <v>11124.33</v>
      </c>
      <c r="F6" s="1730" t="s">
        <v>1657</v>
      </c>
      <c r="G6" s="459"/>
      <c r="H6" s="459"/>
      <c r="I6" s="459"/>
      <c r="J6" s="459"/>
      <c r="K6" s="459"/>
      <c r="L6" s="459"/>
      <c r="M6" s="459"/>
      <c r="N6" s="459"/>
      <c r="O6" s="459"/>
      <c r="P6" s="459"/>
      <c r="Q6" s="459"/>
      <c r="R6" s="459"/>
      <c r="S6" s="459"/>
    </row>
    <row r="7" spans="1:22">
      <c r="A7" s="2387" t="str">
        <f>'数据-取费表'!AN7</f>
        <v>收益法 (元) 地下办公</v>
      </c>
      <c r="B7" s="2385">
        <f ca="1">IF(F7="是",'数据-取费表'!AO7,0)</f>
        <v>512.56949999999995</v>
      </c>
      <c r="C7" s="1727" t="s">
        <v>1651</v>
      </c>
      <c r="D7" s="2477"/>
      <c r="E7" s="2389">
        <f>IF(OR(A7=0,F7="否"),0,'数据-取费表'!K7+'数据-取费表'!S7)</f>
        <v>682.17</v>
      </c>
      <c r="F7" s="1730" t="s">
        <v>1657</v>
      </c>
      <c r="G7" s="459"/>
      <c r="H7" s="459"/>
      <c r="I7" s="459"/>
      <c r="J7" s="459"/>
      <c r="K7" s="459"/>
      <c r="L7" s="459"/>
      <c r="M7" s="459"/>
      <c r="N7" s="459"/>
      <c r="O7" s="459"/>
      <c r="P7" s="459"/>
      <c r="Q7" s="459"/>
      <c r="R7" s="459"/>
      <c r="S7" s="459"/>
    </row>
    <row r="8" spans="1:22">
      <c r="A8" s="2387" t="str">
        <f>'数据-取费表'!AN8</f>
        <v>收益法（元）仓储</v>
      </c>
      <c r="B8" s="2385">
        <f ca="1">IF(F8="是",'数据-取费表'!AO8,0)</f>
        <v>1710.5102999999999</v>
      </c>
      <c r="C8" s="1727" t="s">
        <v>1651</v>
      </c>
      <c r="D8" s="2477"/>
      <c r="E8" s="2389">
        <f>IF(OR(A8=0,F8="否"),0,'数据-取费表'!K8+'数据-取费表'!S8)</f>
        <v>3434.37</v>
      </c>
      <c r="F8" s="1730" t="s">
        <v>1657</v>
      </c>
      <c r="G8" s="459"/>
      <c r="H8" s="459"/>
      <c r="I8" s="459"/>
      <c r="J8" s="459"/>
      <c r="K8" s="459"/>
      <c r="L8" s="459"/>
      <c r="M8" s="459"/>
      <c r="N8" s="459"/>
      <c r="O8" s="459"/>
      <c r="P8" s="459"/>
      <c r="Q8" s="459"/>
      <c r="R8" s="459"/>
      <c r="S8" s="459"/>
    </row>
    <row r="9" spans="1:22">
      <c r="A9" s="2387" t="str">
        <f>'数据-取费表'!AN9</f>
        <v>收益法 (元)车位</v>
      </c>
      <c r="B9" s="2385">
        <f ca="1">IF(F9="是",'数据-取费表'!AO9,0)</f>
        <v>3569.9115000000002</v>
      </c>
      <c r="C9" s="1727" t="s">
        <v>1651</v>
      </c>
      <c r="D9" s="2477"/>
      <c r="E9" s="2389">
        <f>IF(OR(A9=0,F9="否"),0,'数据-取费表'!K9+'数据-取费表'!S9)</f>
        <v>17387.98</v>
      </c>
      <c r="F9" s="1730" t="s">
        <v>1657</v>
      </c>
      <c r="G9" s="459"/>
      <c r="H9" s="459"/>
      <c r="I9" s="459"/>
      <c r="J9" s="459"/>
      <c r="K9" s="459"/>
      <c r="L9" s="459"/>
      <c r="M9" s="459"/>
      <c r="N9" s="459"/>
      <c r="O9" s="459"/>
      <c r="P9" s="459"/>
      <c r="Q9" s="459"/>
      <c r="R9" s="459"/>
      <c r="S9" s="459"/>
    </row>
    <row r="10" spans="1:22">
      <c r="A10" s="2387" t="str">
        <f>'数据-取费表'!AN10</f>
        <v>收益法 (元)机械车位</v>
      </c>
      <c r="B10" s="2385">
        <f ca="1">IF(F10="是",'数据-取费表'!AO10,0)</f>
        <v>905.64049999999997</v>
      </c>
      <c r="C10" s="1727" t="s">
        <v>1651</v>
      </c>
      <c r="D10" s="2477"/>
      <c r="E10" s="2389">
        <f>IF(OR(A10=0,F10="否"),0,'数据-取费表'!K10+'数据-取费表'!S10)</f>
        <v>3518.8</v>
      </c>
      <c r="F10" s="1730" t="s">
        <v>1657</v>
      </c>
      <c r="G10" s="459"/>
      <c r="H10" s="459"/>
      <c r="I10" s="459"/>
      <c r="J10" s="459"/>
      <c r="K10" s="459"/>
      <c r="L10" s="459"/>
      <c r="M10" s="459"/>
      <c r="N10" s="459"/>
      <c r="O10" s="459"/>
      <c r="P10" s="459"/>
      <c r="Q10" s="459"/>
      <c r="R10" s="459"/>
      <c r="S10" s="459"/>
    </row>
    <row r="11" spans="1:22">
      <c r="A11" s="2387" t="str">
        <f>'数据-取费表'!AN11</f>
        <v>收益法 (元) 地下商业</v>
      </c>
      <c r="B11" s="2385">
        <f ca="1">IF(F11="是",'数据-取费表'!AO11,0)</f>
        <v>4747.3608000000004</v>
      </c>
      <c r="C11" s="1727" t="s">
        <v>1651</v>
      </c>
      <c r="D11" s="2477"/>
      <c r="E11" s="2389">
        <f>IF(OR(A11=0,F11="否"),0,'数据-取费表'!K11+'数据-取费表'!S11)</f>
        <v>5677.85</v>
      </c>
      <c r="F11" s="1730"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7" t="s">
        <v>1651</v>
      </c>
      <c r="D12" s="2477"/>
      <c r="E12" s="2389">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1" t="s">
        <v>1651</v>
      </c>
      <c r="D13" s="2479"/>
      <c r="E13" s="2389">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c r="E1" s="3122"/>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2"/>
      <c r="M2" s="2483"/>
      <c r="N2" s="2483"/>
      <c r="O2" s="2483"/>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41825.5</v>
      </c>
      <c r="E3" s="852"/>
      <c r="F3" s="1741"/>
      <c r="G3" s="852"/>
      <c r="H3" s="852"/>
      <c r="I3" s="852"/>
      <c r="J3" s="852"/>
      <c r="K3" s="1738"/>
      <c r="L3" s="2482"/>
      <c r="M3" s="2483"/>
      <c r="N3" s="2483"/>
      <c r="O3" s="2483"/>
      <c r="P3" s="1739"/>
      <c r="Q3" s="1740"/>
      <c r="R3" s="1740"/>
      <c r="S3" s="1740"/>
      <c r="T3" s="1740"/>
      <c r="U3" s="1740"/>
      <c r="V3" s="1740"/>
      <c r="W3" s="1740"/>
      <c r="X3" s="1740"/>
      <c r="Y3" s="1740"/>
      <c r="Z3" s="1740"/>
      <c r="AA3" s="1740"/>
      <c r="AB3" s="1740"/>
      <c r="AC3" s="996"/>
    </row>
    <row r="4" spans="1:29" ht="15">
      <c r="A4" s="345" t="s">
        <v>1666</v>
      </c>
      <c r="B4" s="346"/>
      <c r="C4" s="3410" t="s">
        <v>1667</v>
      </c>
      <c r="D4" s="3411"/>
      <c r="E4" s="3412" t="s">
        <v>1668</v>
      </c>
      <c r="F4" s="3413"/>
      <c r="G4" s="3410" t="s">
        <v>1669</v>
      </c>
      <c r="H4" s="3411"/>
      <c r="I4" s="3410" t="s">
        <v>1670</v>
      </c>
      <c r="J4" s="3411"/>
      <c r="K4" s="1742" t="s">
        <v>1671</v>
      </c>
      <c r="L4" s="2484"/>
      <c r="M4" s="2485"/>
      <c r="N4" s="2485"/>
      <c r="O4" s="2485"/>
      <c r="P4" s="3414" t="s">
        <v>1672</v>
      </c>
      <c r="Q4" s="3415"/>
      <c r="R4" s="3420" t="s">
        <v>1668</v>
      </c>
      <c r="S4" s="3421"/>
      <c r="T4" s="3420" t="s">
        <v>1669</v>
      </c>
      <c r="U4" s="3421"/>
      <c r="V4" s="3396" t="s">
        <v>1670</v>
      </c>
      <c r="W4" s="3396"/>
      <c r="X4" s="1263"/>
      <c r="Y4" s="3420" t="s">
        <v>1672</v>
      </c>
      <c r="Z4" s="3421"/>
      <c r="AA4" s="3407" t="s">
        <v>1668</v>
      </c>
      <c r="AB4" s="3407" t="s">
        <v>1669</v>
      </c>
      <c r="AC4" s="3407" t="s">
        <v>1670</v>
      </c>
    </row>
    <row r="5" spans="1:29" ht="15">
      <c r="A5" s="348"/>
      <c r="B5" s="349"/>
      <c r="C5" s="3428" t="s">
        <v>1673</v>
      </c>
      <c r="D5" s="3429"/>
      <c r="E5" s="3435" t="s">
        <v>1674</v>
      </c>
      <c r="F5" s="3436"/>
      <c r="G5" s="3428" t="s">
        <v>1675</v>
      </c>
      <c r="H5" s="3429"/>
      <c r="I5" s="3428" t="s">
        <v>1676</v>
      </c>
      <c r="J5" s="3429"/>
      <c r="K5" s="1743"/>
      <c r="L5" s="2484"/>
      <c r="M5" s="2485"/>
      <c r="N5" s="2485"/>
      <c r="O5" s="2485"/>
      <c r="P5" s="3416"/>
      <c r="Q5" s="3417"/>
      <c r="R5" s="3422"/>
      <c r="S5" s="3423"/>
      <c r="T5" s="3422"/>
      <c r="U5" s="3423"/>
      <c r="V5" s="3396"/>
      <c r="W5" s="3396"/>
      <c r="X5" s="1263"/>
      <c r="Y5" s="3422"/>
      <c r="Z5" s="3423"/>
      <c r="AA5" s="3408"/>
      <c r="AB5" s="3408"/>
      <c r="AC5" s="3408"/>
    </row>
    <row r="6" spans="1:29" ht="15.75" thickBot="1">
      <c r="A6" s="350"/>
      <c r="B6" s="351"/>
      <c r="C6" s="3426" t="s">
        <v>1677</v>
      </c>
      <c r="D6" s="3427"/>
      <c r="E6" s="3433" t="s">
        <v>1677</v>
      </c>
      <c r="F6" s="3434"/>
      <c r="G6" s="3426" t="s">
        <v>1677</v>
      </c>
      <c r="H6" s="3427"/>
      <c r="I6" s="3426" t="s">
        <v>1677</v>
      </c>
      <c r="J6" s="3427"/>
      <c r="K6" s="1743" t="s">
        <v>1678</v>
      </c>
      <c r="L6" s="2484"/>
      <c r="M6" s="2485"/>
      <c r="N6" s="2485"/>
      <c r="O6" s="2485"/>
      <c r="P6" s="3418"/>
      <c r="Q6" s="3419"/>
      <c r="R6" s="3422"/>
      <c r="S6" s="3423"/>
      <c r="T6" s="3424"/>
      <c r="U6" s="3425"/>
      <c r="V6" s="3396"/>
      <c r="W6" s="3396"/>
      <c r="X6" s="1263"/>
      <c r="Y6" s="3424"/>
      <c r="Z6" s="3425"/>
      <c r="AA6" s="3409"/>
      <c r="AB6" s="3409"/>
      <c r="AC6" s="3409"/>
    </row>
    <row r="7" spans="1:29" s="102" customFormat="1" ht="15.75" thickBot="1">
      <c r="A7" s="352" t="s">
        <v>1679</v>
      </c>
      <c r="B7" s="353"/>
      <c r="C7" s="354">
        <f>'数据-取费表'!B2</f>
        <v>45884</v>
      </c>
      <c r="D7" s="355">
        <v>100</v>
      </c>
      <c r="E7" s="356"/>
      <c r="F7" s="357">
        <f>SUMIF(58:58,YEAR(E7)&amp;"-"&amp;MONTH(E7),59:59)</f>
        <v>0</v>
      </c>
      <c r="G7" s="356"/>
      <c r="H7" s="355">
        <f>SUMIF(58:58,YEAR(G7)&amp;"-"&amp;MONTH(G7),59:59)</f>
        <v>0</v>
      </c>
      <c r="I7" s="356"/>
      <c r="J7" s="355">
        <f>SUMIF(58:58,YEAR(I7)&amp;"-"&amp;MONTH(I7),59:59)</f>
        <v>0</v>
      </c>
      <c r="K7" s="1744"/>
      <c r="L7" s="2486"/>
      <c r="M7" s="2437"/>
      <c r="N7" s="2437"/>
      <c r="O7" s="2437"/>
      <c r="P7" s="3430" t="s">
        <v>1680</v>
      </c>
      <c r="Q7" s="3432"/>
      <c r="R7" s="664" t="s">
        <v>20</v>
      </c>
      <c r="S7" s="665">
        <f t="shared" ref="S7:S15" si="0">F7</f>
        <v>0</v>
      </c>
      <c r="T7" s="664" t="s">
        <v>20</v>
      </c>
      <c r="U7" s="665">
        <f t="shared" ref="U7:U15" si="1">H7</f>
        <v>0</v>
      </c>
      <c r="V7" s="664" t="s">
        <v>20</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6"/>
      <c r="M8" s="2437"/>
      <c r="N8" s="2437"/>
      <c r="O8" s="2437"/>
      <c r="P8" s="3430" t="s">
        <v>1683</v>
      </c>
      <c r="Q8" s="3431"/>
      <c r="R8" s="664" t="s">
        <v>20</v>
      </c>
      <c r="S8" s="665">
        <f t="shared" si="0"/>
        <v>100</v>
      </c>
      <c r="T8" s="664" t="s">
        <v>20</v>
      </c>
      <c r="U8" s="665">
        <f t="shared" si="1"/>
        <v>100</v>
      </c>
      <c r="V8" s="664" t="s">
        <v>20</v>
      </c>
      <c r="W8" s="665">
        <f t="shared" si="2"/>
        <v>100</v>
      </c>
      <c r="X8" s="666"/>
      <c r="Y8" s="3430" t="s">
        <v>1683</v>
      </c>
      <c r="Z8" s="343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6"/>
      <c r="M9" s="2437"/>
      <c r="N9" s="2437"/>
      <c r="O9" s="2437"/>
      <c r="P9" s="3406"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4"/>
      <c r="L10" s="2487"/>
      <c r="M10" s="2488"/>
      <c r="N10" s="2488"/>
      <c r="O10" s="2488"/>
      <c r="P10" s="3406"/>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06"/>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6"/>
      <c r="M12" s="2437"/>
      <c r="N12" s="2437"/>
      <c r="O12" s="2437"/>
      <c r="P12" s="3406"/>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0"/>
      <c r="M13" s="2485"/>
      <c r="N13" s="2485"/>
      <c r="O13" s="2485"/>
      <c r="P13" s="3406"/>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0"/>
      <c r="M14" s="2485"/>
      <c r="N14" s="2485"/>
      <c r="O14" s="2485"/>
      <c r="P14" s="3406"/>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4" t="s">
        <v>1691</v>
      </c>
      <c r="Q15" s="1261" t="str">
        <f t="shared" si="6"/>
        <v>居住社区成熟度</v>
      </c>
      <c r="R15" s="667" t="s">
        <v>18</v>
      </c>
      <c r="S15" s="668">
        <f t="shared" si="0"/>
        <v>100</v>
      </c>
      <c r="T15" s="667" t="s">
        <v>18</v>
      </c>
      <c r="U15" s="668">
        <f t="shared" si="1"/>
        <v>100</v>
      </c>
      <c r="V15" s="667" t="s">
        <v>18</v>
      </c>
      <c r="W15" s="668">
        <f t="shared" si="2"/>
        <v>100</v>
      </c>
      <c r="X15" s="1263"/>
      <c r="Y15" s="3397"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0"/>
      <c r="M16" s="2485"/>
      <c r="N16" s="2485"/>
      <c r="O16" s="2485"/>
      <c r="P16" s="3405"/>
      <c r="Q16" s="1261"/>
      <c r="R16" s="667"/>
      <c r="S16" s="668"/>
      <c r="T16" s="667"/>
      <c r="U16" s="668"/>
      <c r="V16" s="667"/>
      <c r="W16" s="668"/>
      <c r="X16" s="1263"/>
      <c r="Y16" s="3398"/>
      <c r="Z16" s="1262"/>
      <c r="AA16" s="1262">
        <v>1</v>
      </c>
      <c r="AB16" s="1262">
        <v>1</v>
      </c>
      <c r="AC16" s="1262">
        <v>1</v>
      </c>
    </row>
    <row r="17" spans="1:29" ht="99.75">
      <c r="A17" s="367"/>
      <c r="B17" s="390" t="s">
        <v>1259</v>
      </c>
      <c r="C17" s="1752" t="str">
        <f>估价对象房地状况!C6</f>
        <v>估价对象周边有316路、342路、582路、587路等多条公交线路及地铁6号线通州北关站，综合评价交通便捷度较好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5"/>
      <c r="Q17" s="1261" t="str">
        <f>B17</f>
        <v>交通便捷度</v>
      </c>
      <c r="R17" s="667" t="s">
        <v>18</v>
      </c>
      <c r="S17" s="668">
        <f>F17</f>
        <v>100</v>
      </c>
      <c r="T17" s="667" t="s">
        <v>18</v>
      </c>
      <c r="U17" s="668">
        <f>H17</f>
        <v>100</v>
      </c>
      <c r="V17" s="667" t="s">
        <v>18</v>
      </c>
      <c r="W17" s="668">
        <f>J17</f>
        <v>100</v>
      </c>
      <c r="X17" s="1263"/>
      <c r="Y17" s="3398"/>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0"/>
      <c r="M18" s="2485"/>
      <c r="N18" s="2485"/>
      <c r="O18" s="2485"/>
      <c r="P18" s="3405"/>
      <c r="Q18" s="1261"/>
      <c r="R18" s="667"/>
      <c r="S18" s="668"/>
      <c r="T18" s="667"/>
      <c r="U18" s="668"/>
      <c r="V18" s="667"/>
      <c r="W18" s="668"/>
      <c r="X18" s="1263"/>
      <c r="Y18" s="3398"/>
      <c r="Z18" s="1262"/>
      <c r="AA18" s="1262">
        <v>1</v>
      </c>
      <c r="AB18" s="1262">
        <v>1</v>
      </c>
      <c r="AC18" s="1262">
        <v>1</v>
      </c>
    </row>
    <row r="19" spans="1:29" ht="313.5">
      <c r="A19" s="367"/>
      <c r="B19" s="390" t="s">
        <v>1258</v>
      </c>
      <c r="C19" s="1752" t="str">
        <f>估价对象房地状况!C7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5"/>
      <c r="Q19" s="1261" t="str">
        <f>B19</f>
        <v>公共配套设施</v>
      </c>
      <c r="R19" s="667" t="s">
        <v>18</v>
      </c>
      <c r="S19" s="668">
        <f>F19</f>
        <v>100</v>
      </c>
      <c r="T19" s="667" t="s">
        <v>18</v>
      </c>
      <c r="U19" s="668">
        <f>H19</f>
        <v>100</v>
      </c>
      <c r="V19" s="667" t="s">
        <v>18</v>
      </c>
      <c r="W19" s="668">
        <f>J19</f>
        <v>100</v>
      </c>
      <c r="X19" s="1263"/>
      <c r="Y19" s="3398"/>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0"/>
      <c r="M20" s="2485"/>
      <c r="N20" s="2485"/>
      <c r="O20" s="2485"/>
      <c r="P20" s="3405"/>
      <c r="Q20" s="1261"/>
      <c r="R20" s="667"/>
      <c r="S20" s="668"/>
      <c r="T20" s="667"/>
      <c r="U20" s="668"/>
      <c r="V20" s="667"/>
      <c r="W20" s="668"/>
      <c r="X20" s="1263"/>
      <c r="Y20" s="3398"/>
      <c r="Z20" s="1262"/>
      <c r="AA20" s="1262">
        <v>1</v>
      </c>
      <c r="AB20" s="1262">
        <v>1</v>
      </c>
      <c r="AC20" s="1262">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5"/>
      <c r="Q21" s="1261" t="str">
        <f>B21</f>
        <v>基础设施水平</v>
      </c>
      <c r="R21" s="667" t="s">
        <v>14</v>
      </c>
      <c r="S21" s="668">
        <f>F21</f>
        <v>100</v>
      </c>
      <c r="T21" s="667" t="s">
        <v>14</v>
      </c>
      <c r="U21" s="668">
        <f>H21</f>
        <v>100</v>
      </c>
      <c r="V21" s="667" t="s">
        <v>14</v>
      </c>
      <c r="W21" s="668">
        <f>J21</f>
        <v>100</v>
      </c>
      <c r="X21" s="1263"/>
      <c r="Y21" s="3398"/>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0"/>
      <c r="M22" s="2485"/>
      <c r="N22" s="2485"/>
      <c r="O22" s="2485"/>
      <c r="P22" s="3405"/>
      <c r="Q22" s="1261"/>
      <c r="R22" s="667"/>
      <c r="S22" s="668"/>
      <c r="T22" s="667"/>
      <c r="U22" s="668"/>
      <c r="V22" s="667"/>
      <c r="W22" s="668"/>
      <c r="X22" s="1263"/>
      <c r="Y22" s="3398"/>
      <c r="Z22" s="1262"/>
      <c r="AA22" s="1262">
        <v>1</v>
      </c>
      <c r="AB22" s="1262">
        <v>1</v>
      </c>
      <c r="AC22" s="1262">
        <v>1</v>
      </c>
    </row>
    <row r="23" spans="1:29" ht="99.75">
      <c r="A23" s="367"/>
      <c r="B23" s="390" t="s">
        <v>1261</v>
      </c>
      <c r="C23" s="1752" t="str">
        <f>估价对象房地状况!C9</f>
        <v>估价对象周边有北关清真寺、三教庙等人文景观，西海子公园、北运河水系等自然景观，综合评价环境状况较好。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5"/>
      <c r="Q23" s="1261" t="str">
        <f>B23</f>
        <v>自然及人文环境</v>
      </c>
      <c r="R23" s="667" t="s">
        <v>18</v>
      </c>
      <c r="S23" s="668">
        <f>F23</f>
        <v>100</v>
      </c>
      <c r="T23" s="667" t="s">
        <v>18</v>
      </c>
      <c r="U23" s="668">
        <f>H23</f>
        <v>100</v>
      </c>
      <c r="V23" s="667" t="s">
        <v>18</v>
      </c>
      <c r="W23" s="668">
        <f>J23</f>
        <v>100</v>
      </c>
      <c r="X23" s="1263"/>
      <c r="Y23" s="3398"/>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0"/>
      <c r="M24" s="2485"/>
      <c r="N24" s="2485"/>
      <c r="O24" s="2485"/>
      <c r="P24" s="3405"/>
      <c r="Q24" s="1261"/>
      <c r="R24" s="667"/>
      <c r="S24" s="668"/>
      <c r="T24" s="667"/>
      <c r="U24" s="668"/>
      <c r="V24" s="667"/>
      <c r="W24" s="668"/>
      <c r="X24" s="1263"/>
      <c r="Y24" s="3398"/>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0"/>
      <c r="M25" s="2485"/>
      <c r="N25" s="2485"/>
      <c r="O25" s="2485"/>
      <c r="P25" s="3405"/>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398"/>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0"/>
      <c r="M26" s="2485"/>
      <c r="N26" s="2485"/>
      <c r="O26" s="2485"/>
      <c r="P26" s="3405"/>
      <c r="Q26" s="1261" t="str">
        <f t="shared" si="11"/>
        <v>朝向</v>
      </c>
      <c r="R26" s="667" t="s">
        <v>18</v>
      </c>
      <c r="S26" s="668">
        <f t="shared" si="12"/>
        <v>100</v>
      </c>
      <c r="T26" s="667" t="s">
        <v>18</v>
      </c>
      <c r="U26" s="668">
        <f t="shared" si="13"/>
        <v>100</v>
      </c>
      <c r="V26" s="667" t="s">
        <v>18</v>
      </c>
      <c r="W26" s="668">
        <f t="shared" si="14"/>
        <v>100</v>
      </c>
      <c r="X26" s="1263"/>
      <c r="Y26" s="3398"/>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6"/>
      <c r="M27" s="2437"/>
      <c r="N27" s="2437"/>
      <c r="O27" s="2437"/>
      <c r="P27" s="3405"/>
      <c r="Q27" s="530">
        <f t="shared" si="11"/>
        <v>111</v>
      </c>
      <c r="R27" s="664" t="s">
        <v>18</v>
      </c>
      <c r="S27" s="665">
        <f t="shared" si="12"/>
        <v>100</v>
      </c>
      <c r="T27" s="664" t="s">
        <v>18</v>
      </c>
      <c r="U27" s="665">
        <f t="shared" si="13"/>
        <v>100</v>
      </c>
      <c r="V27" s="664" t="s">
        <v>18</v>
      </c>
      <c r="W27" s="665">
        <f t="shared" si="14"/>
        <v>100</v>
      </c>
      <c r="X27" s="666"/>
      <c r="Y27" s="3398"/>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0"/>
      <c r="M28" s="2485"/>
      <c r="N28" s="2485"/>
      <c r="O28" s="2485"/>
      <c r="P28" s="3405"/>
      <c r="Q28" s="1261">
        <f t="shared" si="11"/>
        <v>111</v>
      </c>
      <c r="R28" s="667" t="s">
        <v>18</v>
      </c>
      <c r="S28" s="668">
        <f t="shared" si="12"/>
        <v>100</v>
      </c>
      <c r="T28" s="667" t="s">
        <v>18</v>
      </c>
      <c r="U28" s="668">
        <f t="shared" si="13"/>
        <v>100</v>
      </c>
      <c r="V28" s="667" t="s">
        <v>18</v>
      </c>
      <c r="W28" s="668">
        <f t="shared" si="14"/>
        <v>100</v>
      </c>
      <c r="X28" s="1263"/>
      <c r="Y28" s="3398"/>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0"/>
      <c r="M29" s="2485"/>
      <c r="N29" s="2485"/>
      <c r="O29" s="2485"/>
      <c r="P29" s="3405"/>
      <c r="Q29" s="1261">
        <f t="shared" si="11"/>
        <v>111</v>
      </c>
      <c r="R29" s="667" t="s">
        <v>18</v>
      </c>
      <c r="S29" s="668">
        <f t="shared" si="12"/>
        <v>100</v>
      </c>
      <c r="T29" s="667" t="s">
        <v>18</v>
      </c>
      <c r="U29" s="668">
        <f t="shared" si="13"/>
        <v>100</v>
      </c>
      <c r="V29" s="667" t="s">
        <v>18</v>
      </c>
      <c r="W29" s="668">
        <f t="shared" si="14"/>
        <v>100</v>
      </c>
      <c r="X29" s="1263"/>
      <c r="Y29" s="3398"/>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0"/>
      <c r="M30" s="2485"/>
      <c r="N30" s="2485"/>
      <c r="O30" s="2485"/>
      <c r="P30" s="3405"/>
      <c r="Q30" s="1261">
        <f t="shared" si="11"/>
        <v>111</v>
      </c>
      <c r="R30" s="667" t="s">
        <v>18</v>
      </c>
      <c r="S30" s="668">
        <f t="shared" si="12"/>
        <v>100</v>
      </c>
      <c r="T30" s="667" t="s">
        <v>18</v>
      </c>
      <c r="U30" s="668">
        <f t="shared" si="13"/>
        <v>100</v>
      </c>
      <c r="V30" s="667" t="s">
        <v>18</v>
      </c>
      <c r="W30" s="668">
        <f t="shared" si="14"/>
        <v>100</v>
      </c>
      <c r="X30" s="1263"/>
      <c r="Y30" s="3398"/>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0"/>
      <c r="M31" s="2485"/>
      <c r="N31" s="2485"/>
      <c r="O31" s="2485"/>
      <c r="P31" s="3405"/>
      <c r="Q31" s="1261">
        <f t="shared" si="11"/>
        <v>111</v>
      </c>
      <c r="R31" s="667" t="s">
        <v>18</v>
      </c>
      <c r="S31" s="668">
        <f t="shared" si="12"/>
        <v>100</v>
      </c>
      <c r="T31" s="667" t="s">
        <v>18</v>
      </c>
      <c r="U31" s="668">
        <f t="shared" si="13"/>
        <v>100</v>
      </c>
      <c r="V31" s="667" t="s">
        <v>18</v>
      </c>
      <c r="W31" s="668">
        <f t="shared" si="14"/>
        <v>100</v>
      </c>
      <c r="X31" s="1263"/>
      <c r="Y31" s="3398"/>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0"/>
      <c r="M32" s="2485"/>
      <c r="N32" s="2485"/>
      <c r="O32" s="2485"/>
      <c r="P32" s="3399" t="s">
        <v>1696</v>
      </c>
      <c r="Q32" s="1261" t="str">
        <f t="shared" si="11"/>
        <v>建筑类型</v>
      </c>
      <c r="R32" s="667" t="s">
        <v>18</v>
      </c>
      <c r="S32" s="668">
        <f t="shared" si="12"/>
        <v>100</v>
      </c>
      <c r="T32" s="667" t="s">
        <v>18</v>
      </c>
      <c r="U32" s="668">
        <f t="shared" si="13"/>
        <v>100</v>
      </c>
      <c r="V32" s="667" t="s">
        <v>18</v>
      </c>
      <c r="W32" s="668">
        <f t="shared" si="14"/>
        <v>100</v>
      </c>
      <c r="X32" s="1263"/>
      <c r="Y32" s="3402"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9"/>
      <c r="M33" s="2491"/>
      <c r="N33" s="2491"/>
      <c r="O33" s="2491"/>
      <c r="P33" s="3400"/>
      <c r="Q33" s="531" t="str">
        <f t="shared" si="11"/>
        <v>项目建筑规模</v>
      </c>
      <c r="R33" s="669" t="s">
        <v>18</v>
      </c>
      <c r="S33" s="670" t="e">
        <f t="shared" si="12"/>
        <v>#N/A</v>
      </c>
      <c r="T33" s="669" t="s">
        <v>18</v>
      </c>
      <c r="U33" s="670" t="e">
        <f t="shared" si="13"/>
        <v>#N/A</v>
      </c>
      <c r="V33" s="669" t="s">
        <v>18</v>
      </c>
      <c r="W33" s="670" t="e">
        <f t="shared" si="14"/>
        <v>#N/A</v>
      </c>
      <c r="X33" s="671"/>
      <c r="Y33" s="3402"/>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00"/>
      <c r="Q34" s="1261" t="str">
        <f t="shared" si="11"/>
        <v>建筑结构</v>
      </c>
      <c r="R34" s="667" t="s">
        <v>18</v>
      </c>
      <c r="S34" s="668">
        <f t="shared" si="12"/>
        <v>100</v>
      </c>
      <c r="T34" s="667" t="s">
        <v>18</v>
      </c>
      <c r="U34" s="668">
        <f t="shared" si="13"/>
        <v>100</v>
      </c>
      <c r="V34" s="667" t="s">
        <v>18</v>
      </c>
      <c r="W34" s="668">
        <f t="shared" si="14"/>
        <v>100</v>
      </c>
      <c r="X34" s="1263"/>
      <c r="Y34" s="3402"/>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0"/>
      <c r="M35" s="2485"/>
      <c r="N35" s="2485"/>
      <c r="O35" s="2485"/>
      <c r="P35" s="3400"/>
      <c r="Q35" s="1261" t="str">
        <f t="shared" si="11"/>
        <v>建筑品质</v>
      </c>
      <c r="R35" s="667" t="s">
        <v>18</v>
      </c>
      <c r="S35" s="668">
        <f t="shared" si="12"/>
        <v>100</v>
      </c>
      <c r="T35" s="667" t="s">
        <v>18</v>
      </c>
      <c r="U35" s="668">
        <f t="shared" si="13"/>
        <v>100</v>
      </c>
      <c r="V35" s="667" t="s">
        <v>18</v>
      </c>
      <c r="W35" s="668">
        <f t="shared" si="14"/>
        <v>100</v>
      </c>
      <c r="X35" s="1263"/>
      <c r="Y35" s="3402"/>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0"/>
      <c r="M36" s="2485"/>
      <c r="N36" s="2485"/>
      <c r="O36" s="2485"/>
      <c r="P36" s="3400"/>
      <c r="Q36" s="1261" t="str">
        <f t="shared" si="11"/>
        <v>公共部分装修</v>
      </c>
      <c r="R36" s="667" t="s">
        <v>18</v>
      </c>
      <c r="S36" s="668">
        <f t="shared" si="12"/>
        <v>100</v>
      </c>
      <c r="T36" s="667" t="s">
        <v>18</v>
      </c>
      <c r="U36" s="668">
        <f t="shared" si="13"/>
        <v>100</v>
      </c>
      <c r="V36" s="667" t="s">
        <v>18</v>
      </c>
      <c r="W36" s="668">
        <f t="shared" si="14"/>
        <v>100</v>
      </c>
      <c r="X36" s="1263"/>
      <c r="Y36" s="3402"/>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7"/>
      <c r="N37" s="2437"/>
      <c r="O37" s="2437"/>
      <c r="P37" s="3400"/>
      <c r="Q37" s="530" t="str">
        <f t="shared" si="11"/>
        <v>成新度</v>
      </c>
      <c r="R37" s="664" t="s">
        <v>18</v>
      </c>
      <c r="S37" s="665" t="e">
        <f t="shared" si="12"/>
        <v>#N/A</v>
      </c>
      <c r="T37" s="664" t="s">
        <v>18</v>
      </c>
      <c r="U37" s="665" t="e">
        <f t="shared" si="13"/>
        <v>#N/A</v>
      </c>
      <c r="V37" s="664" t="s">
        <v>18</v>
      </c>
      <c r="W37" s="665" t="e">
        <f t="shared" si="14"/>
        <v>#N/A</v>
      </c>
      <c r="X37" s="666"/>
      <c r="Y37" s="3402"/>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0"/>
      <c r="M38" s="2485"/>
      <c r="N38" s="2485"/>
      <c r="O38" s="2485"/>
      <c r="P38" s="3400" t="s">
        <v>1696</v>
      </c>
      <c r="Q38" s="1261" t="str">
        <f t="shared" si="11"/>
        <v>物业管理</v>
      </c>
      <c r="R38" s="667" t="s">
        <v>18</v>
      </c>
      <c r="S38" s="668">
        <f t="shared" si="12"/>
        <v>100</v>
      </c>
      <c r="T38" s="667" t="s">
        <v>18</v>
      </c>
      <c r="U38" s="668">
        <f t="shared" si="13"/>
        <v>100</v>
      </c>
      <c r="V38" s="667" t="s">
        <v>18</v>
      </c>
      <c r="W38" s="668">
        <f t="shared" si="14"/>
        <v>100</v>
      </c>
      <c r="X38" s="1263"/>
      <c r="Y38" s="3402"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0"/>
      <c r="M39" s="2485"/>
      <c r="N39" s="2485"/>
      <c r="O39" s="2485"/>
      <c r="P39" s="3400"/>
      <c r="Q39" s="1261" t="str">
        <f t="shared" si="11"/>
        <v>市政基础设施</v>
      </c>
      <c r="R39" s="667" t="s">
        <v>18</v>
      </c>
      <c r="S39" s="668">
        <f t="shared" si="12"/>
        <v>100</v>
      </c>
      <c r="T39" s="667" t="s">
        <v>18</v>
      </c>
      <c r="U39" s="668">
        <f t="shared" si="13"/>
        <v>100</v>
      </c>
      <c r="V39" s="667" t="s">
        <v>18</v>
      </c>
      <c r="W39" s="668">
        <f t="shared" si="14"/>
        <v>100</v>
      </c>
      <c r="X39" s="1263"/>
      <c r="Y39" s="3402"/>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0"/>
      <c r="M40" s="2485"/>
      <c r="N40" s="2485"/>
      <c r="O40" s="2485"/>
      <c r="P40" s="3400"/>
      <c r="Q40" s="1261" t="str">
        <f t="shared" si="11"/>
        <v>房型</v>
      </c>
      <c r="R40" s="667" t="s">
        <v>18</v>
      </c>
      <c r="S40" s="668">
        <f t="shared" si="12"/>
        <v>100</v>
      </c>
      <c r="T40" s="667" t="s">
        <v>18</v>
      </c>
      <c r="U40" s="668">
        <f t="shared" si="13"/>
        <v>100</v>
      </c>
      <c r="V40" s="667" t="s">
        <v>18</v>
      </c>
      <c r="W40" s="668">
        <f t="shared" si="14"/>
        <v>100</v>
      </c>
      <c r="X40" s="1263"/>
      <c r="Y40" s="3402"/>
      <c r="Z40" s="1262" t="str">
        <f t="shared" si="18"/>
        <v>房型</v>
      </c>
      <c r="AA40" s="1262">
        <f t="shared" si="15"/>
        <v>1</v>
      </c>
      <c r="AB40" s="1262">
        <f t="shared" si="16"/>
        <v>1</v>
      </c>
      <c r="AC40" s="1262">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9"/>
      <c r="M41" s="2491"/>
      <c r="N41" s="2491"/>
      <c r="O41" s="2491"/>
      <c r="P41" s="3400"/>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0"/>
      <c r="M42" s="2485"/>
      <c r="N42" s="2485"/>
      <c r="O42" s="2485"/>
      <c r="P42" s="3400"/>
      <c r="Q42" s="1261" t="str">
        <f t="shared" si="11"/>
        <v>内部装修</v>
      </c>
      <c r="R42" s="667" t="s">
        <v>18</v>
      </c>
      <c r="S42" s="668">
        <f t="shared" si="12"/>
        <v>100</v>
      </c>
      <c r="T42" s="667" t="s">
        <v>18</v>
      </c>
      <c r="U42" s="668">
        <f t="shared" si="13"/>
        <v>100</v>
      </c>
      <c r="V42" s="667" t="s">
        <v>18</v>
      </c>
      <c r="W42" s="668">
        <f t="shared" si="14"/>
        <v>100</v>
      </c>
      <c r="X42" s="1263"/>
      <c r="Y42" s="3402"/>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0"/>
      <c r="M43" s="2485"/>
      <c r="N43" s="2485"/>
      <c r="O43" s="2485"/>
      <c r="P43" s="3400"/>
      <c r="Q43" s="1261" t="str">
        <f t="shared" si="11"/>
        <v>内部装修维护情况</v>
      </c>
      <c r="R43" s="667" t="s">
        <v>18</v>
      </c>
      <c r="S43" s="668">
        <f t="shared" si="12"/>
        <v>100</v>
      </c>
      <c r="T43" s="667" t="s">
        <v>18</v>
      </c>
      <c r="U43" s="668">
        <f t="shared" si="13"/>
        <v>100</v>
      </c>
      <c r="V43" s="667" t="s">
        <v>18</v>
      </c>
      <c r="W43" s="668">
        <f t="shared" si="14"/>
        <v>100</v>
      </c>
      <c r="X43" s="1263"/>
      <c r="Y43" s="3402"/>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6"/>
      <c r="M44" s="2437"/>
      <c r="N44" s="2437"/>
      <c r="O44" s="2437"/>
      <c r="P44" s="3400"/>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0"/>
      <c r="M45" s="2485"/>
      <c r="N45" s="2485"/>
      <c r="O45" s="2485"/>
      <c r="P45" s="3400"/>
      <c r="Q45" s="1261">
        <f t="shared" si="11"/>
        <v>111</v>
      </c>
      <c r="R45" s="667" t="s">
        <v>18</v>
      </c>
      <c r="S45" s="668">
        <f t="shared" si="12"/>
        <v>100</v>
      </c>
      <c r="T45" s="667" t="s">
        <v>18</v>
      </c>
      <c r="U45" s="668">
        <f t="shared" si="13"/>
        <v>100</v>
      </c>
      <c r="V45" s="667" t="s">
        <v>18</v>
      </c>
      <c r="W45" s="668">
        <f t="shared" si="14"/>
        <v>100</v>
      </c>
      <c r="X45" s="1263"/>
      <c r="Y45" s="3402"/>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0"/>
      <c r="M46" s="2485"/>
      <c r="N46" s="2485"/>
      <c r="O46" s="2485"/>
      <c r="P46" s="3401"/>
      <c r="Q46" s="1261">
        <f t="shared" si="11"/>
        <v>111</v>
      </c>
      <c r="R46" s="667" t="s">
        <v>17</v>
      </c>
      <c r="S46" s="668">
        <f t="shared" si="12"/>
        <v>100</v>
      </c>
      <c r="T46" s="667" t="s">
        <v>17</v>
      </c>
      <c r="U46" s="668">
        <f t="shared" si="13"/>
        <v>100</v>
      </c>
      <c r="V46" s="667" t="s">
        <v>17</v>
      </c>
      <c r="W46" s="668">
        <f t="shared" si="14"/>
        <v>100</v>
      </c>
      <c r="X46" s="1263"/>
      <c r="Y46" s="3403"/>
      <c r="Z46" s="1262">
        <f t="shared" si="18"/>
        <v>111</v>
      </c>
      <c r="AA46" s="1262">
        <f t="shared" si="15"/>
        <v>1</v>
      </c>
      <c r="AB46" s="1262">
        <f t="shared" si="16"/>
        <v>1</v>
      </c>
      <c r="AC46" s="1262">
        <f t="shared" si="17"/>
        <v>1</v>
      </c>
    </row>
    <row r="47" spans="1:29" ht="15">
      <c r="A47" s="416" t="s">
        <v>1708</v>
      </c>
      <c r="B47" s="417"/>
      <c r="C47" s="1079" t="s">
        <v>16</v>
      </c>
      <c r="D47" s="418"/>
      <c r="E47" s="419"/>
      <c r="F47" s="420"/>
      <c r="G47" s="421"/>
      <c r="H47" s="422"/>
      <c r="I47" s="419"/>
      <c r="J47" s="422"/>
      <c r="K47" s="1765"/>
      <c r="L47" s="2492"/>
      <c r="M47" s="2485"/>
      <c r="N47" s="2485"/>
      <c r="O47" s="2485"/>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75" thickBot="1">
      <c r="A48" s="423" t="s">
        <v>1709</v>
      </c>
      <c r="B48" s="424"/>
      <c r="C48" s="1080" t="e">
        <f>R49</f>
        <v>#DIV/0!</v>
      </c>
      <c r="D48" s="2139" t="s">
        <v>2138</v>
      </c>
      <c r="E48" s="1081" t="e">
        <f>R48</f>
        <v>#DIV/0!</v>
      </c>
      <c r="F48" s="2140"/>
      <c r="G48" s="1080" t="e">
        <f>T48</f>
        <v>#DIV/0!</v>
      </c>
      <c r="H48" s="2140"/>
      <c r="I48" s="1081" t="e">
        <f>V48</f>
        <v>#DIV/0!</v>
      </c>
      <c r="J48" s="2140"/>
      <c r="K48" s="2141">
        <f>F48+H48+J48</f>
        <v>0</v>
      </c>
      <c r="L48" s="2492"/>
      <c r="M48" s="2485"/>
      <c r="N48" s="2485"/>
      <c r="O48" s="2485"/>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1710</v>
      </c>
      <c r="B49" s="428"/>
      <c r="C49" s="1082" t="e">
        <f>R49</f>
        <v>#DIV/0!</v>
      </c>
      <c r="D49" s="351"/>
      <c r="E49" s="351"/>
      <c r="F49" s="351"/>
      <c r="G49" s="351"/>
      <c r="H49" s="351"/>
      <c r="I49" s="351"/>
      <c r="J49" s="351"/>
      <c r="K49" s="1766"/>
      <c r="L49" s="2492"/>
      <c r="M49" s="2485"/>
      <c r="N49" s="2485"/>
      <c r="O49" s="2485"/>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5"/>
      <c r="L57" s="886"/>
      <c r="M57" s="884"/>
      <c r="N57" s="884"/>
      <c r="O57" s="884"/>
      <c r="P57" s="1769"/>
      <c r="Q57" s="439"/>
    </row>
    <row r="58" spans="1:29" s="442" customFormat="1" ht="15">
      <c r="A58" s="440" t="s">
        <v>1715</v>
      </c>
      <c r="B58" s="441"/>
      <c r="C58" s="1103" t="str">
        <f>YEAR(C7)&amp;"-"&amp;MONTH(C7)</f>
        <v>2025-8</v>
      </c>
      <c r="D58" s="1102">
        <f>EDATE(C58,-1)</f>
        <v>45839</v>
      </c>
      <c r="E58" s="1102">
        <f>EDATE(D58,-1)</f>
        <v>45809</v>
      </c>
      <c r="F58" s="1102">
        <f t="shared" ref="F58:O58" si="19">EDATE(E58,-1)</f>
        <v>45778</v>
      </c>
      <c r="G58" s="1102">
        <f t="shared" si="19"/>
        <v>45748</v>
      </c>
      <c r="H58" s="1102">
        <f t="shared" si="19"/>
        <v>45717</v>
      </c>
      <c r="I58" s="1102">
        <f t="shared" si="19"/>
        <v>45689</v>
      </c>
      <c r="J58" s="1102">
        <f t="shared" si="19"/>
        <v>45658</v>
      </c>
      <c r="K58" s="1102">
        <f t="shared" si="19"/>
        <v>45627</v>
      </c>
      <c r="L58" s="1102">
        <f t="shared" si="19"/>
        <v>45597</v>
      </c>
      <c r="M58" s="1102">
        <f t="shared" si="19"/>
        <v>45566</v>
      </c>
      <c r="N58" s="1102">
        <f t="shared" si="19"/>
        <v>45536</v>
      </c>
      <c r="O58" s="1102">
        <f t="shared" si="19"/>
        <v>45505</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6"/>
      <c r="O61" s="876"/>
      <c r="P61" s="1772"/>
      <c r="Q61" s="439"/>
    </row>
    <row r="62" spans="1:29" s="102" customFormat="1" ht="15.75" thickBot="1">
      <c r="A62" s="455"/>
      <c r="B62" s="444"/>
      <c r="C62" s="445">
        <v>100</v>
      </c>
      <c r="D62" s="446"/>
      <c r="E62" s="446"/>
      <c r="F62" s="446"/>
      <c r="G62" s="446"/>
      <c r="H62" s="446"/>
      <c r="I62" s="446"/>
      <c r="J62" s="446"/>
      <c r="K62" s="446"/>
      <c r="L62" s="446"/>
      <c r="M62" s="448"/>
      <c r="N62" s="876"/>
      <c r="O62" s="876"/>
      <c r="P62" s="1771"/>
      <c r="Q62" s="439"/>
    </row>
    <row r="63" spans="1:29">
      <c r="A63" s="379" t="s">
        <v>1719</v>
      </c>
      <c r="B63" s="460" t="s">
        <v>1685</v>
      </c>
      <c r="C63" s="461">
        <f>C9</f>
        <v>0</v>
      </c>
      <c r="D63" s="462"/>
      <c r="E63" s="462"/>
      <c r="F63" s="462"/>
      <c r="G63" s="462"/>
      <c r="H63" s="462"/>
      <c r="I63" s="462"/>
      <c r="J63" s="462"/>
      <c r="K63" s="463"/>
      <c r="L63" s="464"/>
      <c r="M63" s="465"/>
      <c r="N63" s="877"/>
      <c r="O63" s="877"/>
      <c r="P63" s="1773"/>
      <c r="Q63" s="439"/>
    </row>
    <row r="64" spans="1:29" ht="15.75" thickBot="1">
      <c r="A64" s="367"/>
      <c r="B64" s="466"/>
      <c r="C64" s="467">
        <v>100</v>
      </c>
      <c r="D64" s="467"/>
      <c r="E64" s="467"/>
      <c r="F64" s="467"/>
      <c r="G64" s="467"/>
      <c r="H64" s="467"/>
      <c r="I64" s="467"/>
      <c r="J64" s="467"/>
      <c r="K64" s="467"/>
      <c r="L64" s="467"/>
      <c r="M64" s="468"/>
      <c r="N64" s="878"/>
      <c r="O64" s="878"/>
      <c r="P64" s="1773"/>
      <c r="Q64" s="439"/>
    </row>
    <row r="65" spans="1:17" ht="27.75" thickTop="1">
      <c r="A65" s="367"/>
      <c r="B65" s="469" t="s">
        <v>1688</v>
      </c>
      <c r="C65" s="513"/>
      <c r="D65" s="513"/>
      <c r="E65" s="513"/>
      <c r="F65" s="513"/>
      <c r="G65" s="513"/>
      <c r="H65" s="513"/>
      <c r="I65" s="513"/>
      <c r="J65" s="513"/>
      <c r="K65" s="513"/>
      <c r="L65" s="513"/>
      <c r="M65" s="513"/>
      <c r="N65" s="878"/>
      <c r="O65" s="878"/>
      <c r="P65" s="1773"/>
      <c r="Q65" s="439"/>
    </row>
    <row r="66" spans="1:17" ht="15.75" thickBot="1">
      <c r="A66" s="367"/>
      <c r="B66" s="474"/>
      <c r="C66" s="467"/>
      <c r="D66" s="467"/>
      <c r="E66" s="467"/>
      <c r="F66" s="467"/>
      <c r="G66" s="467"/>
      <c r="H66" s="467"/>
      <c r="I66" s="467"/>
      <c r="J66" s="467"/>
      <c r="K66" s="467"/>
      <c r="L66" s="467"/>
      <c r="M66" s="468"/>
      <c r="N66" s="878"/>
      <c r="O66" s="878"/>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ht="15">
      <c r="A68" s="367"/>
      <c r="B68" s="479"/>
      <c r="C68" s="480"/>
      <c r="D68" s="480"/>
      <c r="E68" s="480"/>
      <c r="F68" s="480"/>
      <c r="G68" s="480"/>
      <c r="H68" s="480"/>
      <c r="I68" s="480"/>
      <c r="J68" s="480"/>
      <c r="K68" s="481"/>
      <c r="L68" s="482"/>
      <c r="M68" s="483"/>
      <c r="N68" s="877"/>
      <c r="O68" s="877"/>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5.75" thickTop="1">
      <c r="A70" s="484"/>
      <c r="B70" s="469">
        <f>B12</f>
        <v>111</v>
      </c>
      <c r="C70" s="485"/>
      <c r="D70" s="485"/>
      <c r="E70" s="485"/>
      <c r="F70" s="485"/>
      <c r="G70" s="485"/>
      <c r="H70" s="486"/>
      <c r="I70" s="486"/>
      <c r="J70" s="486"/>
      <c r="K70" s="486"/>
      <c r="L70" s="487"/>
      <c r="M70" s="488"/>
      <c r="N70" s="879"/>
      <c r="O70" s="879"/>
      <c r="P70" s="1774"/>
      <c r="Q70" s="490"/>
    </row>
    <row r="71" spans="1:17" s="408" customFormat="1" ht="15.75" thickBot="1">
      <c r="A71" s="484"/>
      <c r="B71" s="474"/>
      <c r="C71" s="491"/>
      <c r="D71" s="467"/>
      <c r="E71" s="467"/>
      <c r="F71" s="467"/>
      <c r="G71" s="467"/>
      <c r="H71" s="467"/>
      <c r="I71" s="467"/>
      <c r="J71" s="467"/>
      <c r="K71" s="467"/>
      <c r="L71" s="467"/>
      <c r="M71" s="468"/>
      <c r="N71" s="878"/>
      <c r="O71" s="878"/>
      <c r="P71" s="1774"/>
      <c r="Q71" s="490"/>
    </row>
    <row r="72" spans="1:17" s="408" customFormat="1" ht="15.75" thickTop="1">
      <c r="A72" s="484"/>
      <c r="B72" s="469">
        <f>B13</f>
        <v>111</v>
      </c>
      <c r="C72" s="485"/>
      <c r="D72" s="485"/>
      <c r="E72" s="485"/>
      <c r="F72" s="485"/>
      <c r="G72" s="485"/>
      <c r="H72" s="486"/>
      <c r="I72" s="486"/>
      <c r="J72" s="486"/>
      <c r="K72" s="486"/>
      <c r="L72" s="487"/>
      <c r="M72" s="488"/>
      <c r="N72" s="879"/>
      <c r="O72" s="879"/>
      <c r="P72" s="1775"/>
      <c r="Q72" s="492"/>
    </row>
    <row r="73" spans="1:17" s="408" customFormat="1" ht="15.75" thickBot="1">
      <c r="A73" s="484"/>
      <c r="B73" s="474"/>
      <c r="C73" s="491"/>
      <c r="D73" s="491"/>
      <c r="E73" s="491"/>
      <c r="F73" s="491"/>
      <c r="G73" s="491"/>
      <c r="H73" s="493"/>
      <c r="I73" s="493"/>
      <c r="J73" s="493"/>
      <c r="K73" s="493"/>
      <c r="L73" s="493"/>
      <c r="M73" s="494"/>
      <c r="N73" s="879"/>
      <c r="O73" s="879"/>
      <c r="P73" s="1774"/>
      <c r="Q73" s="490"/>
    </row>
    <row r="74" spans="1:17" s="408" customFormat="1" ht="15.75" thickTop="1">
      <c r="A74" s="484"/>
      <c r="B74" s="477">
        <f>B14</f>
        <v>111</v>
      </c>
      <c r="C74" s="485"/>
      <c r="D74" s="485"/>
      <c r="E74" s="485"/>
      <c r="F74" s="485"/>
      <c r="G74" s="31"/>
      <c r="H74" s="495"/>
      <c r="I74" s="495"/>
      <c r="J74" s="495"/>
      <c r="K74" s="495"/>
      <c r="L74" s="496"/>
      <c r="M74" s="497"/>
      <c r="N74" s="879"/>
      <c r="O74" s="879"/>
      <c r="P74" s="1776"/>
      <c r="Q74" s="490"/>
    </row>
    <row r="75" spans="1:17" s="408" customFormat="1" ht="15.75" thickBot="1">
      <c r="A75" s="499"/>
      <c r="B75" s="500"/>
      <c r="C75" s="501"/>
      <c r="D75" s="501"/>
      <c r="E75" s="501"/>
      <c r="F75" s="501"/>
      <c r="G75" s="501"/>
      <c r="H75" s="502"/>
      <c r="I75" s="502"/>
      <c r="J75" s="502"/>
      <c r="K75" s="502"/>
      <c r="L75" s="502"/>
      <c r="M75" s="503"/>
      <c r="N75" s="879"/>
      <c r="O75" s="879"/>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75" thickTop="1">
      <c r="A86" s="370"/>
      <c r="B86" s="469" t="s">
        <v>1734</v>
      </c>
      <c r="C86" s="485"/>
      <c r="D86" s="485"/>
      <c r="E86" s="485"/>
      <c r="F86" s="485"/>
      <c r="G86" s="485"/>
      <c r="H86" s="485"/>
      <c r="I86" s="485"/>
      <c r="J86" s="485"/>
      <c r="K86" s="485"/>
      <c r="L86" s="510"/>
      <c r="M86" s="511"/>
      <c r="N86" s="876"/>
      <c r="O86" s="876"/>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75" thickTop="1">
      <c r="A88" s="370"/>
      <c r="B88" s="469" t="s">
        <v>1735</v>
      </c>
      <c r="C88" s="485"/>
      <c r="D88" s="485"/>
      <c r="E88" s="485"/>
      <c r="F88" s="1778"/>
      <c r="G88" s="485"/>
      <c r="H88" s="485"/>
      <c r="I88" s="485"/>
      <c r="J88" s="485"/>
      <c r="K88" s="485"/>
      <c r="L88" s="485"/>
      <c r="M88" s="511"/>
      <c r="N88" s="876"/>
      <c r="O88" s="876"/>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5.75" thickTop="1">
      <c r="A90" s="484"/>
      <c r="B90" s="469">
        <f>B27</f>
        <v>111</v>
      </c>
      <c r="C90" s="485"/>
      <c r="D90" s="485"/>
      <c r="E90" s="485"/>
      <c r="F90" s="485"/>
      <c r="G90" s="485"/>
      <c r="H90" s="486"/>
      <c r="I90" s="486"/>
      <c r="J90" s="486"/>
      <c r="K90" s="486"/>
      <c r="L90" s="487"/>
      <c r="M90" s="488"/>
      <c r="N90" s="879"/>
      <c r="O90" s="879"/>
      <c r="P90" s="1774"/>
      <c r="Q90" s="490"/>
    </row>
    <row r="91" spans="1:17" s="408" customFormat="1" ht="15.75" thickBot="1">
      <c r="A91" s="484"/>
      <c r="B91" s="474"/>
      <c r="C91" s="491"/>
      <c r="D91" s="491"/>
      <c r="E91" s="491"/>
      <c r="F91" s="491"/>
      <c r="G91" s="491"/>
      <c r="H91" s="493"/>
      <c r="I91" s="493"/>
      <c r="J91" s="493"/>
      <c r="K91" s="493"/>
      <c r="L91" s="493"/>
      <c r="M91" s="494"/>
      <c r="N91" s="879"/>
      <c r="O91" s="879"/>
      <c r="P91" s="1774"/>
      <c r="Q91" s="490"/>
    </row>
    <row r="92" spans="1:17" ht="15.75" thickTop="1">
      <c r="A92" s="367"/>
      <c r="B92" s="469">
        <f>B28</f>
        <v>111</v>
      </c>
      <c r="C92" s="485"/>
      <c r="D92" s="485"/>
      <c r="E92" s="485"/>
      <c r="F92" s="485"/>
      <c r="G92" s="513"/>
      <c r="H92" s="513"/>
      <c r="I92" s="513"/>
      <c r="J92" s="513"/>
      <c r="K92" s="514"/>
      <c r="L92" s="515"/>
      <c r="M92" s="516"/>
      <c r="N92" s="877"/>
      <c r="O92" s="877"/>
      <c r="P92" s="1773"/>
      <c r="Q92" s="439"/>
    </row>
    <row r="93" spans="1:17" ht="15.75" thickBot="1">
      <c r="A93" s="367"/>
      <c r="B93" s="474"/>
      <c r="C93" s="491"/>
      <c r="D93" s="467"/>
      <c r="E93" s="467"/>
      <c r="F93" s="467"/>
      <c r="G93" s="467"/>
      <c r="H93" s="467"/>
      <c r="I93" s="467"/>
      <c r="J93" s="467"/>
      <c r="K93" s="467"/>
      <c r="L93" s="467"/>
      <c r="M93" s="468"/>
      <c r="N93" s="878"/>
      <c r="O93" s="878"/>
      <c r="P93" s="1773"/>
      <c r="Q93" s="439"/>
    </row>
    <row r="94" spans="1:17" ht="15.75" thickTop="1">
      <c r="A94" s="367"/>
      <c r="B94" s="469">
        <f>B29</f>
        <v>111</v>
      </c>
      <c r="C94" s="485"/>
      <c r="D94" s="485"/>
      <c r="E94" s="485"/>
      <c r="F94" s="485"/>
      <c r="G94" s="513"/>
      <c r="H94" s="513"/>
      <c r="I94" s="513"/>
      <c r="J94" s="513"/>
      <c r="K94" s="514"/>
      <c r="L94" s="515"/>
      <c r="M94" s="516"/>
      <c r="N94" s="877"/>
      <c r="O94" s="877"/>
      <c r="P94" s="1773"/>
      <c r="Q94" s="439"/>
    </row>
    <row r="95" spans="1:17" ht="15.75" thickBot="1">
      <c r="A95" s="367"/>
      <c r="B95" s="474"/>
      <c r="C95" s="491"/>
      <c r="D95" s="491"/>
      <c r="E95" s="491"/>
      <c r="F95" s="491"/>
      <c r="G95" s="467"/>
      <c r="H95" s="467"/>
      <c r="I95" s="467"/>
      <c r="J95" s="467"/>
      <c r="K95" s="467"/>
      <c r="L95" s="467"/>
      <c r="M95" s="468"/>
      <c r="N95" s="878"/>
      <c r="O95" s="878"/>
      <c r="P95" s="1773"/>
      <c r="Q95" s="439"/>
    </row>
    <row r="96" spans="1:17" ht="15.75" thickTop="1">
      <c r="A96" s="367"/>
      <c r="B96" s="469">
        <f>B30</f>
        <v>111</v>
      </c>
      <c r="C96" s="485"/>
      <c r="D96" s="485"/>
      <c r="E96" s="485"/>
      <c r="F96" s="485"/>
      <c r="G96" s="513"/>
      <c r="H96" s="513"/>
      <c r="I96" s="513"/>
      <c r="J96" s="513"/>
      <c r="K96" s="514"/>
      <c r="L96" s="515"/>
      <c r="M96" s="516"/>
      <c r="N96" s="877"/>
      <c r="O96" s="877"/>
      <c r="P96" s="1773"/>
      <c r="Q96" s="439"/>
    </row>
    <row r="97" spans="1:17" ht="15.75" thickBot="1">
      <c r="A97" s="367"/>
      <c r="B97" s="474"/>
      <c r="C97" s="501"/>
      <c r="D97" s="501"/>
      <c r="E97" s="501"/>
      <c r="F97" s="501"/>
      <c r="G97" s="467"/>
      <c r="H97" s="467"/>
      <c r="I97" s="467"/>
      <c r="J97" s="467"/>
      <c r="K97" s="467"/>
      <c r="L97" s="467"/>
      <c r="M97" s="468"/>
      <c r="N97" s="878"/>
      <c r="O97" s="878"/>
      <c r="P97" s="1773"/>
      <c r="Q97" s="439"/>
    </row>
    <row r="98" spans="1:17" ht="15.75" thickTop="1">
      <c r="A98" s="367"/>
      <c r="B98" s="477">
        <f>B31</f>
        <v>111</v>
      </c>
      <c r="C98" s="517"/>
      <c r="D98" s="517"/>
      <c r="E98" s="517"/>
      <c r="F98" s="517"/>
      <c r="G98" s="517"/>
      <c r="H98" s="517"/>
      <c r="I98" s="517"/>
      <c r="J98" s="517"/>
      <c r="K98" s="518"/>
      <c r="L98" s="519"/>
      <c r="M98" s="520"/>
      <c r="N98" s="877"/>
      <c r="O98" s="877"/>
      <c r="P98" s="1773"/>
      <c r="Q98" s="439"/>
    </row>
    <row r="99" spans="1:17" ht="15.75" thickBot="1">
      <c r="A99" s="375"/>
      <c r="B99" s="500"/>
      <c r="C99" s="521"/>
      <c r="D99" s="521"/>
      <c r="E99" s="521"/>
      <c r="F99" s="521"/>
      <c r="G99" s="521"/>
      <c r="H99" s="521"/>
      <c r="I99" s="521"/>
      <c r="J99" s="521"/>
      <c r="K99" s="521"/>
      <c r="L99" s="521"/>
      <c r="M99" s="522"/>
      <c r="N99" s="878"/>
      <c r="O99" s="878"/>
      <c r="P99" s="1773"/>
      <c r="Q99" s="439"/>
    </row>
    <row r="100" spans="1:17">
      <c r="A100" s="379" t="s">
        <v>1694</v>
      </c>
      <c r="B100" s="460" t="s">
        <v>1736</v>
      </c>
      <c r="C100" s="462"/>
      <c r="D100" s="462"/>
      <c r="E100" s="462"/>
      <c r="F100" s="462"/>
      <c r="G100" s="462"/>
      <c r="H100" s="462"/>
      <c r="I100" s="462"/>
      <c r="J100" s="462"/>
      <c r="K100" s="463"/>
      <c r="L100" s="464"/>
      <c r="M100" s="465"/>
      <c r="N100" s="877"/>
      <c r="O100" s="877"/>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5.75"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5.75"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5.75" thickBot="1">
      <c r="A127" s="484"/>
      <c r="B127" s="474"/>
      <c r="C127" s="491"/>
      <c r="D127" s="467"/>
      <c r="E127" s="467"/>
      <c r="F127" s="467"/>
      <c r="G127" s="491"/>
      <c r="H127" s="493"/>
      <c r="I127" s="493"/>
      <c r="J127" s="493"/>
      <c r="K127" s="493"/>
      <c r="L127" s="493"/>
      <c r="M127" s="494"/>
      <c r="N127" s="879"/>
      <c r="O127" s="879"/>
      <c r="P127" s="1774"/>
      <c r="Q127" s="490"/>
    </row>
    <row r="128" spans="1:17" ht="15" thickTop="1">
      <c r="A128" s="409"/>
      <c r="B128" s="469">
        <f>B45</f>
        <v>111</v>
      </c>
      <c r="C128" s="485"/>
      <c r="D128" s="485"/>
      <c r="E128" s="485"/>
      <c r="F128" s="485"/>
      <c r="G128" s="513"/>
      <c r="H128" s="513"/>
      <c r="I128" s="513"/>
      <c r="J128" s="513"/>
      <c r="K128" s="514"/>
      <c r="L128" s="515"/>
      <c r="M128" s="516"/>
      <c r="N128" s="877"/>
      <c r="O128" s="877"/>
      <c r="P128" s="1773"/>
      <c r="Q128" s="439"/>
    </row>
    <row r="129" spans="1:17" ht="15.75" thickBot="1">
      <c r="A129" s="367"/>
      <c r="B129" s="474"/>
      <c r="C129" s="491"/>
      <c r="D129" s="491"/>
      <c r="E129" s="491"/>
      <c r="F129" s="491"/>
      <c r="G129" s="467"/>
      <c r="H129" s="467"/>
      <c r="I129" s="467"/>
      <c r="J129" s="467"/>
      <c r="K129" s="467"/>
      <c r="L129" s="467"/>
      <c r="M129" s="468"/>
      <c r="N129" s="878"/>
      <c r="O129" s="878"/>
      <c r="P129" s="1773"/>
      <c r="Q129" s="439"/>
    </row>
    <row r="130" spans="1:17" ht="15" thickTop="1">
      <c r="A130" s="409"/>
      <c r="B130" s="477">
        <f>B46</f>
        <v>111</v>
      </c>
      <c r="C130" s="485"/>
      <c r="D130" s="485"/>
      <c r="E130" s="485"/>
      <c r="F130" s="485"/>
      <c r="G130" s="517"/>
      <c r="H130" s="517"/>
      <c r="I130" s="517"/>
      <c r="J130" s="517"/>
      <c r="K130" s="31"/>
      <c r="L130" s="457"/>
      <c r="M130" s="520"/>
      <c r="N130" s="877"/>
      <c r="O130" s="877"/>
      <c r="P130" s="1773"/>
      <c r="Q130" s="439"/>
    </row>
    <row r="131" spans="1:17" ht="15.75"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3">
        <f>ROUNDUP((J139-1)/2,0)</f>
        <v>10</v>
      </c>
      <c r="K140" s="823">
        <v>100</v>
      </c>
    </row>
    <row r="141" spans="1:17" ht="15">
      <c r="B141" s="818">
        <v>4</v>
      </c>
      <c r="C141" s="819">
        <v>102</v>
      </c>
      <c r="D141" s="819"/>
      <c r="E141" s="820"/>
      <c r="F141" s="821">
        <v>101.5</v>
      </c>
      <c r="G141" s="819"/>
      <c r="H141" s="822"/>
      <c r="I141" s="1792" t="s">
        <v>1758</v>
      </c>
      <c r="J141" s="263">
        <v>1</v>
      </c>
      <c r="K141" s="824">
        <f>ROUND(100+(J141-J140)*K139*100,1)</f>
        <v>96.4</v>
      </c>
    </row>
    <row r="142" spans="1:17" ht="15">
      <c r="B142" s="818">
        <v>3</v>
      </c>
      <c r="C142" s="819">
        <v>103</v>
      </c>
      <c r="D142" s="819"/>
      <c r="E142" s="820"/>
      <c r="F142" s="821">
        <v>101</v>
      </c>
      <c r="G142" s="819"/>
      <c r="H142" s="822"/>
      <c r="I142" s="1792" t="s">
        <v>1759</v>
      </c>
      <c r="J142" s="263">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5.75"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2"/>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1"/>
      <c r="M2" s="2502"/>
      <c r="N2" s="2502"/>
      <c r="O2" s="2502"/>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0</v>
      </c>
      <c r="C3" s="344" t="s">
        <v>1768</v>
      </c>
      <c r="D3" s="343">
        <f>IF(D1="",'数据-汇总表'!E3,SUMIF('数据-汇总表'!$C19:$C33,D1,'数据-汇总表'!$E19:$E33))</f>
        <v>41825.5</v>
      </c>
      <c r="E3" s="1803"/>
      <c r="F3" s="854"/>
      <c r="G3" s="853"/>
      <c r="H3" s="853"/>
      <c r="I3" s="853"/>
      <c r="J3" s="853"/>
      <c r="K3" s="855"/>
      <c r="L3" s="2501"/>
      <c r="M3" s="2502"/>
      <c r="N3" s="2502"/>
      <c r="O3" s="2502"/>
      <c r="P3" s="1802"/>
      <c r="Q3" s="857"/>
      <c r="R3" s="857"/>
      <c r="S3" s="857"/>
      <c r="T3" s="857"/>
      <c r="U3" s="857"/>
      <c r="V3" s="857"/>
      <c r="W3" s="857"/>
      <c r="X3" s="857"/>
      <c r="Y3" s="857"/>
      <c r="Z3" s="857"/>
      <c r="AA3" s="857"/>
      <c r="AB3" s="857"/>
      <c r="AC3" s="180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14" t="s">
        <v>1775</v>
      </c>
      <c r="Q4" s="3415"/>
      <c r="R4" s="3420" t="s">
        <v>1771</v>
      </c>
      <c r="S4" s="3421"/>
      <c r="T4" s="3420" t="s">
        <v>1772</v>
      </c>
      <c r="U4" s="3421"/>
      <c r="V4" s="3396" t="s">
        <v>1773</v>
      </c>
      <c r="W4" s="3396"/>
      <c r="X4" s="1263"/>
      <c r="Y4" s="3420" t="s">
        <v>1775</v>
      </c>
      <c r="Z4" s="3421"/>
      <c r="AA4" s="3407" t="s">
        <v>1771</v>
      </c>
      <c r="AB4" s="3396" t="s">
        <v>1772</v>
      </c>
      <c r="AC4" s="3407" t="s">
        <v>1773</v>
      </c>
    </row>
    <row r="5" spans="1:29" ht="15">
      <c r="A5" s="348"/>
      <c r="B5" s="349"/>
      <c r="C5" s="3428" t="s">
        <v>1673</v>
      </c>
      <c r="D5" s="3429"/>
      <c r="E5" s="3435" t="s">
        <v>1674</v>
      </c>
      <c r="F5" s="3436"/>
      <c r="G5" s="3428" t="s">
        <v>1675</v>
      </c>
      <c r="H5" s="3429"/>
      <c r="I5" s="3428" t="s">
        <v>1676</v>
      </c>
      <c r="J5" s="3429"/>
      <c r="K5" s="537"/>
      <c r="L5" s="2484"/>
      <c r="M5" s="2485"/>
      <c r="N5" s="2485"/>
      <c r="O5" s="2485"/>
      <c r="P5" s="3416"/>
      <c r="Q5" s="3417"/>
      <c r="R5" s="3422"/>
      <c r="S5" s="3423"/>
      <c r="T5" s="3422"/>
      <c r="U5" s="3423"/>
      <c r="V5" s="3396"/>
      <c r="W5" s="3396"/>
      <c r="X5" s="1263"/>
      <c r="Y5" s="3422"/>
      <c r="Z5" s="3423"/>
      <c r="AA5" s="3408"/>
      <c r="AB5" s="3396"/>
      <c r="AC5" s="3408"/>
    </row>
    <row r="6" spans="1:29" ht="15.75" thickBot="1">
      <c r="A6" s="350"/>
      <c r="B6" s="351"/>
      <c r="C6" s="3426" t="s">
        <v>1677</v>
      </c>
      <c r="D6" s="3427"/>
      <c r="E6" s="3433" t="s">
        <v>1677</v>
      </c>
      <c r="F6" s="3434"/>
      <c r="G6" s="3426" t="s">
        <v>1677</v>
      </c>
      <c r="H6" s="3427"/>
      <c r="I6" s="3426" t="s">
        <v>1677</v>
      </c>
      <c r="J6" s="3427"/>
      <c r="K6" s="537" t="s">
        <v>1678</v>
      </c>
      <c r="L6" s="2484"/>
      <c r="M6" s="2485"/>
      <c r="N6" s="2485"/>
      <c r="O6" s="2485"/>
      <c r="P6" s="3418"/>
      <c r="Q6" s="3419"/>
      <c r="R6" s="3422"/>
      <c r="S6" s="3423"/>
      <c r="T6" s="3424"/>
      <c r="U6" s="3425"/>
      <c r="V6" s="3396"/>
      <c r="W6" s="3396"/>
      <c r="X6" s="1263"/>
      <c r="Y6" s="3424"/>
      <c r="Z6" s="3425"/>
      <c r="AA6" s="3409"/>
      <c r="AB6" s="3396"/>
      <c r="AC6" s="3409"/>
    </row>
    <row r="7" spans="1:29" s="102" customFormat="1" ht="15.75" thickBot="1">
      <c r="A7" s="352" t="s">
        <v>1679</v>
      </c>
      <c r="B7" s="353"/>
      <c r="C7" s="354">
        <f>'数据-取费表'!B2</f>
        <v>45884</v>
      </c>
      <c r="D7" s="355">
        <v>100</v>
      </c>
      <c r="E7" s="356"/>
      <c r="F7" s="357">
        <f>SUMIF(58:58,YEAR(E7)&amp;"-"&amp;MONTH(E7),59:59)</f>
        <v>0</v>
      </c>
      <c r="G7" s="356"/>
      <c r="H7" s="355">
        <f>SUMIF(58:58,YEAR(G7)&amp;"-"&amp;MONTH(G7),59:59)</f>
        <v>0</v>
      </c>
      <c r="I7" s="356"/>
      <c r="J7" s="355">
        <f>SUMIF(58:58,YEAR(I7)&amp;"-"&amp;MONTH(I7),59:59)</f>
        <v>0</v>
      </c>
      <c r="K7" s="38"/>
      <c r="L7" s="2486"/>
      <c r="M7" s="2437"/>
      <c r="N7" s="2437"/>
      <c r="O7" s="2437"/>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30" t="s">
        <v>1683</v>
      </c>
      <c r="Q8" s="3431"/>
      <c r="R8" s="664" t="s">
        <v>14</v>
      </c>
      <c r="S8" s="665">
        <f t="shared" si="0"/>
        <v>100</v>
      </c>
      <c r="T8" s="664" t="s">
        <v>14</v>
      </c>
      <c r="U8" s="665">
        <f t="shared" si="1"/>
        <v>100</v>
      </c>
      <c r="V8" s="664" t="s">
        <v>14</v>
      </c>
      <c r="W8" s="665">
        <f t="shared" si="2"/>
        <v>100</v>
      </c>
      <c r="X8" s="666"/>
      <c r="Y8" s="3430" t="s">
        <v>1683</v>
      </c>
      <c r="Z8" s="343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6"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6"/>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6"/>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6"/>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6"/>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6"/>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99.75">
      <c r="A15" s="379" t="s">
        <v>1690</v>
      </c>
      <c r="B15" s="58" t="s">
        <v>1777</v>
      </c>
      <c r="C15" s="1748" t="str">
        <f>估价对象房地状况!C4</f>
        <v>估价对象位于北京城市副中心商务中心区，周边商业氛围较成熟，人流量较大，商业繁华度较好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4" t="s">
        <v>1691</v>
      </c>
      <c r="Q15" s="1261" t="str">
        <f t="shared" si="6"/>
        <v>商业繁华度</v>
      </c>
      <c r="R15" s="667" t="s">
        <v>14</v>
      </c>
      <c r="S15" s="668">
        <f t="shared" si="0"/>
        <v>100</v>
      </c>
      <c r="T15" s="667" t="s">
        <v>14</v>
      </c>
      <c r="U15" s="668">
        <f t="shared" si="1"/>
        <v>100</v>
      </c>
      <c r="V15" s="667" t="s">
        <v>14</v>
      </c>
      <c r="W15" s="668">
        <f t="shared" si="2"/>
        <v>100</v>
      </c>
      <c r="X15" s="1263"/>
      <c r="Y15" s="3397" t="s">
        <v>1691</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90"/>
      <c r="M16" s="2485"/>
      <c r="N16" s="2485"/>
      <c r="O16" s="2485"/>
      <c r="P16" s="3405"/>
      <c r="Q16" s="1261"/>
      <c r="R16" s="667"/>
      <c r="S16" s="668"/>
      <c r="T16" s="667"/>
      <c r="U16" s="668"/>
      <c r="V16" s="667"/>
      <c r="W16" s="668"/>
      <c r="X16" s="1263"/>
      <c r="Y16" s="3398"/>
      <c r="Z16" s="1262"/>
      <c r="AA16" s="1262">
        <v>1</v>
      </c>
      <c r="AB16" s="1262">
        <v>1</v>
      </c>
      <c r="AC16" s="1262">
        <v>1</v>
      </c>
    </row>
    <row r="17" spans="1:29" ht="99.75">
      <c r="A17" s="367"/>
      <c r="B17" s="390" t="s">
        <v>1259</v>
      </c>
      <c r="C17" s="1752" t="str">
        <f>估价对象房地状况!C6</f>
        <v>估价对象周边有316路、342路、582路、587路等多条公交线路及地铁6号线通州北关站，综合评价交通便捷度较好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5"/>
      <c r="Q17" s="1261" t="str">
        <f>B17</f>
        <v>交通便捷度</v>
      </c>
      <c r="R17" s="667" t="s">
        <v>14</v>
      </c>
      <c r="S17" s="668">
        <f>F17</f>
        <v>100</v>
      </c>
      <c r="T17" s="667" t="s">
        <v>14</v>
      </c>
      <c r="U17" s="668">
        <f>H17</f>
        <v>100</v>
      </c>
      <c r="V17" s="667" t="s">
        <v>14</v>
      </c>
      <c r="W17" s="668">
        <f>J17</f>
        <v>100</v>
      </c>
      <c r="X17" s="1263"/>
      <c r="Y17" s="3398"/>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2490"/>
      <c r="M18" s="2485"/>
      <c r="N18" s="2485"/>
      <c r="O18" s="2485"/>
      <c r="P18" s="3405"/>
      <c r="Q18" s="1261"/>
      <c r="R18" s="667"/>
      <c r="S18" s="668"/>
      <c r="T18" s="667"/>
      <c r="U18" s="668"/>
      <c r="V18" s="667"/>
      <c r="W18" s="668"/>
      <c r="X18" s="1263"/>
      <c r="Y18" s="3398"/>
      <c r="Z18" s="1262"/>
      <c r="AA18" s="1262">
        <v>1</v>
      </c>
      <c r="AB18" s="1262">
        <v>1</v>
      </c>
      <c r="AC18" s="1262">
        <v>1</v>
      </c>
    </row>
    <row r="19" spans="1:29" ht="370.5">
      <c r="A19" s="367"/>
      <c r="B19" s="390" t="s">
        <v>1778</v>
      </c>
      <c r="C19" s="1752" t="str">
        <f>估价对象房地状况!C7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5"/>
      <c r="Q19" s="1261" t="str">
        <f>B19</f>
        <v>公共配套设施</v>
      </c>
      <c r="R19" s="667" t="s">
        <v>14</v>
      </c>
      <c r="S19" s="668">
        <f>F19</f>
        <v>100</v>
      </c>
      <c r="T19" s="667" t="s">
        <v>14</v>
      </c>
      <c r="U19" s="668">
        <f>H19</f>
        <v>100</v>
      </c>
      <c r="V19" s="667" t="s">
        <v>14</v>
      </c>
      <c r="W19" s="668">
        <f>J19</f>
        <v>100</v>
      </c>
      <c r="X19" s="1263"/>
      <c r="Y19" s="3398"/>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2490"/>
      <c r="M20" s="2485"/>
      <c r="N20" s="2485"/>
      <c r="O20" s="2485"/>
      <c r="P20" s="3405"/>
      <c r="Q20" s="1261"/>
      <c r="R20" s="667"/>
      <c r="S20" s="668"/>
      <c r="T20" s="667"/>
      <c r="U20" s="668"/>
      <c r="V20" s="667"/>
      <c r="W20" s="668"/>
      <c r="X20" s="1263"/>
      <c r="Y20" s="3398"/>
      <c r="Z20" s="1262"/>
      <c r="AA20" s="1262">
        <v>1</v>
      </c>
      <c r="AB20" s="1262">
        <v>1</v>
      </c>
      <c r="AC20" s="1262">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5"/>
      <c r="Q21" s="1261" t="str">
        <f>B21</f>
        <v>基础设施水平</v>
      </c>
      <c r="R21" s="667" t="s">
        <v>14</v>
      </c>
      <c r="S21" s="668">
        <f>F21</f>
        <v>100</v>
      </c>
      <c r="T21" s="667" t="s">
        <v>14</v>
      </c>
      <c r="U21" s="668">
        <f>H21</f>
        <v>100</v>
      </c>
      <c r="V21" s="667" t="s">
        <v>14</v>
      </c>
      <c r="W21" s="668">
        <f>J21</f>
        <v>100</v>
      </c>
      <c r="X21" s="1263"/>
      <c r="Y21" s="3398"/>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2490"/>
      <c r="M22" s="2485"/>
      <c r="N22" s="2485"/>
      <c r="O22" s="2485"/>
      <c r="P22" s="3405"/>
      <c r="Q22" s="1261"/>
      <c r="R22" s="667"/>
      <c r="S22" s="668"/>
      <c r="T22" s="667"/>
      <c r="U22" s="668"/>
      <c r="V22" s="667"/>
      <c r="W22" s="668"/>
      <c r="X22" s="1263"/>
      <c r="Y22" s="3398"/>
      <c r="Z22" s="1262"/>
      <c r="AA22" s="1262">
        <v>1</v>
      </c>
      <c r="AB22" s="1262">
        <v>1</v>
      </c>
      <c r="AC22" s="1262">
        <v>1</v>
      </c>
    </row>
    <row r="23" spans="1:29" ht="114">
      <c r="A23" s="367"/>
      <c r="B23" s="390" t="s">
        <v>1261</v>
      </c>
      <c r="C23" s="1804" t="str">
        <f>估价对象房地状况!C9</f>
        <v>估价对象周边有北关清真寺、三教庙等人文景观，西海子公园、北运河水系等自然景观，综合评价环境状况较好。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5"/>
      <c r="Q23" s="1261" t="str">
        <f>B23</f>
        <v>自然及人文环境</v>
      </c>
      <c r="R23" s="667" t="s">
        <v>14</v>
      </c>
      <c r="S23" s="668">
        <f>F23</f>
        <v>100</v>
      </c>
      <c r="T23" s="667" t="s">
        <v>14</v>
      </c>
      <c r="U23" s="668">
        <f>H23</f>
        <v>100</v>
      </c>
      <c r="V23" s="667" t="s">
        <v>14</v>
      </c>
      <c r="W23" s="668">
        <f>J23</f>
        <v>100</v>
      </c>
      <c r="X23" s="1263"/>
      <c r="Y23" s="3398"/>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41"/>
      <c r="L24" s="2490"/>
      <c r="M24" s="2485"/>
      <c r="N24" s="2485"/>
      <c r="O24" s="2485"/>
      <c r="P24" s="3405"/>
      <c r="Q24" s="1261"/>
      <c r="R24" s="667"/>
      <c r="S24" s="668"/>
      <c r="T24" s="667"/>
      <c r="U24" s="668"/>
      <c r="V24" s="667"/>
      <c r="W24" s="668"/>
      <c r="X24" s="1263"/>
      <c r="Y24" s="3398"/>
      <c r="Z24" s="1262"/>
      <c r="AA24" s="1262">
        <v>1</v>
      </c>
      <c r="AB24" s="1262">
        <v>1</v>
      </c>
      <c r="AC24" s="1262">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5"/>
      <c r="Q25" s="1261" t="str">
        <f t="shared" ref="Q25:Q46" si="11">B25</f>
        <v>临街状况</v>
      </c>
      <c r="R25" s="667" t="s">
        <v>14</v>
      </c>
      <c r="S25" s="668">
        <f>F25</f>
        <v>100</v>
      </c>
      <c r="T25" s="667" t="s">
        <v>14</v>
      </c>
      <c r="U25" s="668">
        <f>H25</f>
        <v>100</v>
      </c>
      <c r="V25" s="667" t="s">
        <v>14</v>
      </c>
      <c r="W25" s="668">
        <f>J25</f>
        <v>100</v>
      </c>
      <c r="X25" s="1263"/>
      <c r="Y25" s="3398"/>
      <c r="Z25" s="1262" t="str">
        <f>Q25</f>
        <v>临街状况</v>
      </c>
      <c r="AA25" s="1262">
        <f t="shared" si="3"/>
        <v>1</v>
      </c>
      <c r="AB25" s="1262">
        <f t="shared" si="4"/>
        <v>1</v>
      </c>
      <c r="AC25" s="1262">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5"/>
      <c r="Q26" s="1261" t="str">
        <f t="shared" si="11"/>
        <v>平面位置/可视性</v>
      </c>
      <c r="R26" s="667" t="s">
        <v>14</v>
      </c>
      <c r="S26" s="668">
        <f>F26</f>
        <v>100</v>
      </c>
      <c r="T26" s="667" t="s">
        <v>14</v>
      </c>
      <c r="U26" s="668">
        <f>H26</f>
        <v>100</v>
      </c>
      <c r="V26" s="667" t="s">
        <v>14</v>
      </c>
      <c r="W26" s="668">
        <f>J26</f>
        <v>100</v>
      </c>
      <c r="X26" s="1263"/>
      <c r="Y26" s="3398"/>
      <c r="Z26" s="1262" t="str">
        <f>Q26</f>
        <v>平面位置/可视性</v>
      </c>
      <c r="AA26" s="1262">
        <f t="shared" si="3"/>
        <v>1</v>
      </c>
      <c r="AB26" s="1262">
        <f t="shared" si="4"/>
        <v>1</v>
      </c>
      <c r="AC26" s="1262">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05"/>
      <c r="Q27" s="530" t="str">
        <f t="shared" si="11"/>
        <v>人流量</v>
      </c>
      <c r="R27" s="664" t="s">
        <v>14</v>
      </c>
      <c r="S27" s="665">
        <f>F27</f>
        <v>100</v>
      </c>
      <c r="T27" s="664" t="s">
        <v>14</v>
      </c>
      <c r="U27" s="665">
        <f>H27</f>
        <v>100</v>
      </c>
      <c r="V27" s="664" t="s">
        <v>14</v>
      </c>
      <c r="W27" s="665">
        <f>J27</f>
        <v>100</v>
      </c>
      <c r="X27" s="666"/>
      <c r="Y27" s="3398"/>
      <c r="Z27" s="50" t="str">
        <f>Q27</f>
        <v>人流量</v>
      </c>
      <c r="AA27" s="1262">
        <f>D27/F27</f>
        <v>1</v>
      </c>
      <c r="AB27" s="1262">
        <f>D27/H27</f>
        <v>1</v>
      </c>
      <c r="AC27" s="1262">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5"/>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398"/>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5"/>
      <c r="Q29" s="1261">
        <f t="shared" si="11"/>
        <v>111</v>
      </c>
      <c r="R29" s="667" t="s">
        <v>14</v>
      </c>
      <c r="S29" s="668">
        <f t="shared" si="12"/>
        <v>100</v>
      </c>
      <c r="T29" s="667" t="s">
        <v>14</v>
      </c>
      <c r="U29" s="668">
        <f t="shared" si="13"/>
        <v>100</v>
      </c>
      <c r="V29" s="667" t="s">
        <v>14</v>
      </c>
      <c r="W29" s="668">
        <f t="shared" si="14"/>
        <v>100</v>
      </c>
      <c r="X29" s="1263"/>
      <c r="Y29" s="3398"/>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5"/>
      <c r="Q30" s="1261">
        <f t="shared" si="11"/>
        <v>111</v>
      </c>
      <c r="R30" s="667" t="s">
        <v>14</v>
      </c>
      <c r="S30" s="668">
        <f t="shared" si="12"/>
        <v>100</v>
      </c>
      <c r="T30" s="667" t="s">
        <v>14</v>
      </c>
      <c r="U30" s="668">
        <f t="shared" si="13"/>
        <v>100</v>
      </c>
      <c r="V30" s="667" t="s">
        <v>14</v>
      </c>
      <c r="W30" s="668">
        <f t="shared" si="14"/>
        <v>100</v>
      </c>
      <c r="X30" s="1263"/>
      <c r="Y30" s="3398"/>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5"/>
      <c r="Q31" s="1261">
        <f t="shared" si="11"/>
        <v>111</v>
      </c>
      <c r="R31" s="667" t="s">
        <v>14</v>
      </c>
      <c r="S31" s="668">
        <f t="shared" si="12"/>
        <v>100</v>
      </c>
      <c r="T31" s="667" t="s">
        <v>14</v>
      </c>
      <c r="U31" s="668">
        <f t="shared" si="13"/>
        <v>100</v>
      </c>
      <c r="V31" s="667" t="s">
        <v>14</v>
      </c>
      <c r="W31" s="668">
        <f t="shared" si="14"/>
        <v>100</v>
      </c>
      <c r="X31" s="1263"/>
      <c r="Y31" s="3398"/>
      <c r="Z31" s="1262">
        <f t="shared" si="15"/>
        <v>111</v>
      </c>
      <c r="AA31" s="1262">
        <f t="shared" si="3"/>
        <v>1</v>
      </c>
      <c r="AB31" s="1262">
        <f t="shared" si="4"/>
        <v>1</v>
      </c>
      <c r="AC31" s="1262">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0"/>
      <c r="M32" s="2485"/>
      <c r="N32" s="2485"/>
      <c r="O32" s="2485"/>
      <c r="P32" s="3399" t="s">
        <v>1696</v>
      </c>
      <c r="Q32" s="1261" t="str">
        <f t="shared" si="11"/>
        <v>商业类型</v>
      </c>
      <c r="R32" s="667" t="s">
        <v>14</v>
      </c>
      <c r="S32" s="668">
        <f t="shared" si="12"/>
        <v>100</v>
      </c>
      <c r="T32" s="667" t="s">
        <v>14</v>
      </c>
      <c r="U32" s="668">
        <f t="shared" si="13"/>
        <v>100</v>
      </c>
      <c r="V32" s="667" t="s">
        <v>14</v>
      </c>
      <c r="W32" s="668">
        <f t="shared" si="14"/>
        <v>100</v>
      </c>
      <c r="X32" s="1263"/>
      <c r="Y32" s="3402" t="s">
        <v>1696</v>
      </c>
      <c r="Z32" s="1262" t="str">
        <f t="shared" si="15"/>
        <v>商业类型</v>
      </c>
      <c r="AA32" s="1262">
        <f t="shared" si="3"/>
        <v>1</v>
      </c>
      <c r="AB32" s="1262">
        <f t="shared" si="4"/>
        <v>1</v>
      </c>
      <c r="AC32" s="1262">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0"/>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2" t="e">
        <f t="shared" si="3"/>
        <v>#N/A</v>
      </c>
      <c r="AB33" s="1262" t="e">
        <f t="shared" si="4"/>
        <v>#N/A</v>
      </c>
      <c r="AC33" s="1262"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0"/>
      <c r="Q34" s="1261" t="str">
        <f t="shared" si="11"/>
        <v>建筑结构</v>
      </c>
      <c r="R34" s="667" t="s">
        <v>14</v>
      </c>
      <c r="S34" s="668">
        <f t="shared" si="12"/>
        <v>100</v>
      </c>
      <c r="T34" s="667" t="s">
        <v>14</v>
      </c>
      <c r="U34" s="668">
        <f t="shared" si="13"/>
        <v>100</v>
      </c>
      <c r="V34" s="667" t="s">
        <v>14</v>
      </c>
      <c r="W34" s="668">
        <f t="shared" si="14"/>
        <v>100</v>
      </c>
      <c r="X34" s="1263"/>
      <c r="Y34" s="3402"/>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0"/>
      <c r="M35" s="2485"/>
      <c r="N35" s="2485"/>
      <c r="O35" s="2485"/>
      <c r="P35" s="3400"/>
      <c r="Q35" s="1261" t="str">
        <f t="shared" si="11"/>
        <v>公共部分装修</v>
      </c>
      <c r="R35" s="667" t="s">
        <v>14</v>
      </c>
      <c r="S35" s="668">
        <f t="shared" si="12"/>
        <v>100</v>
      </c>
      <c r="T35" s="667" t="s">
        <v>14</v>
      </c>
      <c r="U35" s="668">
        <f t="shared" si="13"/>
        <v>100</v>
      </c>
      <c r="V35" s="667" t="s">
        <v>14</v>
      </c>
      <c r="W35" s="668">
        <f t="shared" si="14"/>
        <v>100</v>
      </c>
      <c r="X35" s="1263"/>
      <c r="Y35" s="3402"/>
      <c r="Z35" s="1262" t="str">
        <f t="shared" si="15"/>
        <v>公共部分装修</v>
      </c>
      <c r="AA35" s="1262">
        <f t="shared" si="3"/>
        <v>1</v>
      </c>
      <c r="AB35" s="1262">
        <f t="shared" si="4"/>
        <v>1</v>
      </c>
      <c r="AC35" s="1262">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0"/>
      <c r="Q36" s="1261" t="str">
        <f t="shared" si="11"/>
        <v>成新度</v>
      </c>
      <c r="R36" s="667" t="s">
        <v>14</v>
      </c>
      <c r="S36" s="668" t="e">
        <f t="shared" si="12"/>
        <v>#N/A</v>
      </c>
      <c r="T36" s="667" t="s">
        <v>14</v>
      </c>
      <c r="U36" s="668" t="e">
        <f t="shared" si="13"/>
        <v>#N/A</v>
      </c>
      <c r="V36" s="667" t="s">
        <v>14</v>
      </c>
      <c r="W36" s="668" t="e">
        <f t="shared" si="14"/>
        <v>#N/A</v>
      </c>
      <c r="X36" s="1263"/>
      <c r="Y36" s="3402"/>
      <c r="Z36" s="1262" t="str">
        <f t="shared" si="15"/>
        <v>成新度</v>
      </c>
      <c r="AA36" s="1262" t="e">
        <f t="shared" si="3"/>
        <v>#N/A</v>
      </c>
      <c r="AB36" s="1262" t="e">
        <f t="shared" si="4"/>
        <v>#N/A</v>
      </c>
      <c r="AC36" s="1262"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6"/>
      <c r="M37" s="2437"/>
      <c r="N37" s="2437"/>
      <c r="O37" s="2437"/>
      <c r="P37" s="3400"/>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0"/>
      <c r="M38" s="2485"/>
      <c r="N38" s="2485"/>
      <c r="O38" s="2485"/>
      <c r="P38" s="3400" t="s">
        <v>1696</v>
      </c>
      <c r="Q38" s="1261" t="str">
        <f t="shared" si="11"/>
        <v>业态</v>
      </c>
      <c r="R38" s="667" t="s">
        <v>14</v>
      </c>
      <c r="S38" s="668">
        <f t="shared" si="12"/>
        <v>100</v>
      </c>
      <c r="T38" s="667" t="s">
        <v>14</v>
      </c>
      <c r="U38" s="668">
        <f t="shared" si="13"/>
        <v>100</v>
      </c>
      <c r="V38" s="667" t="s">
        <v>14</v>
      </c>
      <c r="W38" s="668">
        <f t="shared" si="14"/>
        <v>100</v>
      </c>
      <c r="X38" s="1263"/>
      <c r="Y38" s="3402" t="s">
        <v>1696</v>
      </c>
      <c r="Z38" s="1262" t="str">
        <f t="shared" si="15"/>
        <v>业态</v>
      </c>
      <c r="AA38" s="1262">
        <f t="shared" si="3"/>
        <v>1</v>
      </c>
      <c r="AB38" s="1262">
        <f t="shared" si="4"/>
        <v>1</v>
      </c>
      <c r="AC38" s="1262">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0"/>
      <c r="M39" s="2485"/>
      <c r="N39" s="2485"/>
      <c r="O39" s="2485"/>
      <c r="P39" s="3400"/>
      <c r="Q39" s="1261" t="str">
        <f t="shared" si="11"/>
        <v>层高</v>
      </c>
      <c r="R39" s="667" t="s">
        <v>14</v>
      </c>
      <c r="S39" s="668">
        <f t="shared" si="12"/>
        <v>100</v>
      </c>
      <c r="T39" s="667" t="s">
        <v>14</v>
      </c>
      <c r="U39" s="668">
        <f t="shared" si="13"/>
        <v>100</v>
      </c>
      <c r="V39" s="667" t="s">
        <v>14</v>
      </c>
      <c r="W39" s="668">
        <f t="shared" si="14"/>
        <v>100</v>
      </c>
      <c r="X39" s="1263"/>
      <c r="Y39" s="3402"/>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0"/>
      <c r="Q40" s="1261" t="str">
        <f t="shared" si="11"/>
        <v>单套建筑面积</v>
      </c>
      <c r="R40" s="667" t="s">
        <v>14</v>
      </c>
      <c r="S40" s="668">
        <f t="shared" si="12"/>
        <v>100</v>
      </c>
      <c r="T40" s="667" t="s">
        <v>14</v>
      </c>
      <c r="U40" s="668">
        <f t="shared" si="13"/>
        <v>100</v>
      </c>
      <c r="V40" s="667" t="s">
        <v>14</v>
      </c>
      <c r="W40" s="668">
        <f t="shared" si="14"/>
        <v>100</v>
      </c>
      <c r="X40" s="1263"/>
      <c r="Y40" s="3402"/>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0"/>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0"/>
      <c r="M42" s="2485"/>
      <c r="N42" s="2485"/>
      <c r="O42" s="2485"/>
      <c r="P42" s="3400"/>
      <c r="Q42" s="1261" t="str">
        <f t="shared" si="11"/>
        <v>内部装修</v>
      </c>
      <c r="R42" s="667" t="s">
        <v>14</v>
      </c>
      <c r="S42" s="668">
        <f t="shared" si="12"/>
        <v>100</v>
      </c>
      <c r="T42" s="667" t="s">
        <v>14</v>
      </c>
      <c r="U42" s="668">
        <f t="shared" si="13"/>
        <v>100</v>
      </c>
      <c r="V42" s="667" t="s">
        <v>14</v>
      </c>
      <c r="W42" s="668">
        <f t="shared" si="14"/>
        <v>100</v>
      </c>
      <c r="X42" s="1263"/>
      <c r="Y42" s="3402"/>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0"/>
      <c r="M43" s="2485"/>
      <c r="N43" s="2485"/>
      <c r="O43" s="2485"/>
      <c r="P43" s="3400"/>
      <c r="Q43" s="1261" t="str">
        <f t="shared" si="11"/>
        <v>内部装修维护情况</v>
      </c>
      <c r="R43" s="667" t="s">
        <v>14</v>
      </c>
      <c r="S43" s="668">
        <f t="shared" si="12"/>
        <v>100</v>
      </c>
      <c r="T43" s="667" t="s">
        <v>14</v>
      </c>
      <c r="U43" s="668">
        <f t="shared" si="13"/>
        <v>100</v>
      </c>
      <c r="V43" s="667" t="s">
        <v>14</v>
      </c>
      <c r="W43" s="668">
        <f t="shared" si="14"/>
        <v>100</v>
      </c>
      <c r="X43" s="1263"/>
      <c r="Y43" s="3402"/>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00"/>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0"/>
      <c r="Q45" s="1261">
        <f t="shared" si="11"/>
        <v>111</v>
      </c>
      <c r="R45" s="667" t="s">
        <v>14</v>
      </c>
      <c r="S45" s="668">
        <f t="shared" si="12"/>
        <v>100</v>
      </c>
      <c r="T45" s="667" t="s">
        <v>14</v>
      </c>
      <c r="U45" s="668">
        <f t="shared" si="13"/>
        <v>100</v>
      </c>
      <c r="V45" s="667" t="s">
        <v>14</v>
      </c>
      <c r="W45" s="668">
        <f t="shared" si="14"/>
        <v>100</v>
      </c>
      <c r="X45" s="1263"/>
      <c r="Y45" s="3402"/>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1"/>
      <c r="Q46" s="1261">
        <f t="shared" si="11"/>
        <v>111</v>
      </c>
      <c r="R46" s="667" t="s">
        <v>14</v>
      </c>
      <c r="S46" s="668">
        <f t="shared" si="12"/>
        <v>100</v>
      </c>
      <c r="T46" s="667" t="s">
        <v>14</v>
      </c>
      <c r="U46" s="668">
        <f t="shared" si="13"/>
        <v>100</v>
      </c>
      <c r="V46" s="667" t="s">
        <v>14</v>
      </c>
      <c r="W46" s="668">
        <f t="shared" si="14"/>
        <v>100</v>
      </c>
      <c r="X46" s="1263"/>
      <c r="Y46" s="3403"/>
      <c r="Z46" s="1262">
        <f t="shared" si="15"/>
        <v>111</v>
      </c>
      <c r="AA46" s="1262">
        <f t="shared" si="3"/>
        <v>1</v>
      </c>
      <c r="AB46" s="1262">
        <f t="shared" si="4"/>
        <v>1</v>
      </c>
      <c r="AC46" s="1262">
        <f t="shared" si="5"/>
        <v>1</v>
      </c>
    </row>
    <row r="47" spans="1:29" ht="15">
      <c r="A47" s="416" t="s">
        <v>1708</v>
      </c>
      <c r="B47" s="417"/>
      <c r="C47" s="1079" t="s">
        <v>0</v>
      </c>
      <c r="D47" s="418"/>
      <c r="E47" s="419"/>
      <c r="F47" s="420"/>
      <c r="G47" s="421"/>
      <c r="H47" s="422"/>
      <c r="I47" s="419"/>
      <c r="J47" s="422"/>
      <c r="K47" s="674"/>
      <c r="L47" s="2492"/>
      <c r="M47" s="2485"/>
      <c r="N47" s="2485"/>
      <c r="O47" s="2485"/>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75" thickBot="1">
      <c r="A48" s="423" t="s">
        <v>1793</v>
      </c>
      <c r="B48" s="424"/>
      <c r="C48" s="1080" t="e">
        <f>R49</f>
        <v>#DIV/0!</v>
      </c>
      <c r="D48" s="2139" t="s">
        <v>2138</v>
      </c>
      <c r="E48" s="1081" t="e">
        <f>R48</f>
        <v>#DIV/0!</v>
      </c>
      <c r="F48" s="2140"/>
      <c r="G48" s="1080" t="e">
        <f>T48</f>
        <v>#DIV/0!</v>
      </c>
      <c r="H48" s="2140"/>
      <c r="I48" s="1081" t="e">
        <f>V48</f>
        <v>#DIV/0!</v>
      </c>
      <c r="J48" s="2140"/>
      <c r="K48" s="2142">
        <f>F48+H48+J48</f>
        <v>0</v>
      </c>
      <c r="L48" s="2492"/>
      <c r="M48" s="2485"/>
      <c r="N48" s="2485"/>
      <c r="O48" s="2485"/>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6"/>
      <c r="M57" s="884"/>
      <c r="N57" s="884"/>
      <c r="O57" s="884"/>
      <c r="P57" s="2505"/>
      <c r="Q57" s="2506"/>
      <c r="R57" s="2485"/>
      <c r="S57" s="2485"/>
      <c r="T57" s="2485"/>
      <c r="U57" s="2485"/>
      <c r="V57" s="2485"/>
      <c r="W57" s="2485"/>
      <c r="X57" s="2485"/>
      <c r="Y57" s="2485"/>
      <c r="Z57" s="2485"/>
      <c r="AA57" s="2485"/>
      <c r="AB57" s="2485"/>
      <c r="AC57" s="2485"/>
    </row>
    <row r="58" spans="1:29" s="442" customFormat="1" ht="15">
      <c r="A58" s="440" t="s">
        <v>1679</v>
      </c>
      <c r="B58" s="441"/>
      <c r="C58" s="1101" t="str">
        <f>YEAR(C7)&amp;"-"&amp;MONTH(C7)</f>
        <v>2025-8</v>
      </c>
      <c r="D58" s="1102">
        <f>EDATE(C58,-1)</f>
        <v>45839</v>
      </c>
      <c r="E58" s="1102">
        <f t="shared" ref="E58:N58" si="16">EDATE(D58,-1)</f>
        <v>45809</v>
      </c>
      <c r="F58" s="1102">
        <f t="shared" si="16"/>
        <v>45778</v>
      </c>
      <c r="G58" s="1102">
        <f t="shared" si="16"/>
        <v>45748</v>
      </c>
      <c r="H58" s="1102">
        <f t="shared" si="16"/>
        <v>45717</v>
      </c>
      <c r="I58" s="1102">
        <f t="shared" si="16"/>
        <v>45689</v>
      </c>
      <c r="J58" s="1102">
        <f t="shared" si="16"/>
        <v>45658</v>
      </c>
      <c r="K58" s="1102">
        <f t="shared" si="16"/>
        <v>45627</v>
      </c>
      <c r="L58" s="1102">
        <f t="shared" si="16"/>
        <v>45597</v>
      </c>
      <c r="M58" s="1102">
        <f t="shared" si="16"/>
        <v>45566</v>
      </c>
      <c r="N58" s="1102">
        <f t="shared" si="16"/>
        <v>45536</v>
      </c>
      <c r="O58" s="1102">
        <f>EDATE(N58,-1)</f>
        <v>45505</v>
      </c>
      <c r="P58" s="2507"/>
      <c r="Q58" s="2508"/>
      <c r="R58" s="2508"/>
      <c r="S58" s="2508"/>
      <c r="T58" s="2508"/>
      <c r="U58" s="2508"/>
      <c r="V58" s="2508"/>
      <c r="W58" s="2508"/>
      <c r="X58" s="2508"/>
      <c r="Y58" s="2508"/>
      <c r="Z58" s="2508"/>
      <c r="AA58" s="2508"/>
      <c r="AB58" s="2508"/>
      <c r="AC58" s="2508"/>
    </row>
    <row r="59" spans="1:29" s="102" customFormat="1" ht="15">
      <c r="A59" s="443"/>
      <c r="B59" s="444"/>
      <c r="C59" s="1100">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1"/>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估价结果一览表（市场价值不需“结果表-1”）</v>
      </c>
      <c r="B3" s="3185"/>
      <c r="C3" s="3185"/>
      <c r="D3" s="3185"/>
      <c r="E3" s="3185"/>
    </row>
    <row r="4" spans="1:5" ht="19.5" thickBot="1">
      <c r="A4" s="1389"/>
      <c r="B4" s="3183" t="s">
        <v>917</v>
      </c>
      <c r="C4" s="3183"/>
      <c r="D4" s="3183"/>
      <c r="E4" s="1389"/>
    </row>
    <row r="5" spans="1:5" ht="16.5" thickTop="1">
      <c r="B5" s="3181" t="s">
        <v>909</v>
      </c>
      <c r="C5" s="1390" t="s">
        <v>910</v>
      </c>
      <c r="D5" s="795" t="e">
        <f ca="1">结果表!H101</f>
        <v>#REF!</v>
      </c>
    </row>
    <row r="6" spans="1:5" ht="15.75">
      <c r="B6" s="3181"/>
      <c r="C6" s="1390" t="s">
        <v>911</v>
      </c>
      <c r="D6" s="795" t="e">
        <f ca="1">NUMBERSTRING(INT(D5*10000),2)&amp;"元整"</f>
        <v>#REF!</v>
      </c>
    </row>
    <row r="7" spans="1:5" ht="15.75">
      <c r="B7" s="3186"/>
      <c r="C7" s="1391" t="s">
        <v>912</v>
      </c>
      <c r="D7" s="796" t="e">
        <f ca="1">结果表!H102</f>
        <v>#REF!</v>
      </c>
    </row>
    <row r="8" spans="1:5" ht="15.75">
      <c r="B8" s="3187" t="str">
        <f>结果表!E103</f>
        <v>2.估价师知悉的法定优先受偿款</v>
      </c>
      <c r="C8" s="1392" t="s">
        <v>913</v>
      </c>
      <c r="D8" s="796">
        <f>结果表!H103</f>
        <v>0</v>
      </c>
    </row>
    <row r="9" spans="1:5" ht="15.75">
      <c r="B9" s="3189"/>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180" t="str">
        <f>结果表!E107</f>
        <v>3.房地产抵押价值</v>
      </c>
      <c r="C13" s="1395" t="s">
        <v>910</v>
      </c>
      <c r="D13" s="798" t="e">
        <f ca="1">结果表!H107</f>
        <v>#REF!</v>
      </c>
    </row>
    <row r="14" spans="1:5" ht="15.75">
      <c r="B14" s="3181"/>
      <c r="C14" s="1390" t="s">
        <v>911</v>
      </c>
      <c r="D14" s="795" t="e">
        <f ca="1">NUMBERSTRING(INT(D13*10000),2)&amp;"元整"</f>
        <v>#REF!</v>
      </c>
    </row>
    <row r="15" spans="1:5" ht="15">
      <c r="B15" s="3186"/>
      <c r="C15" s="1391" t="s">
        <v>921</v>
      </c>
      <c r="D15" s="804" t="e">
        <f ca="1">结果表!H108</f>
        <v>#REF!</v>
      </c>
    </row>
    <row r="16" spans="1:5" ht="15">
      <c r="B16" s="3187" t="str">
        <f>结果表!E109</f>
        <v>——</v>
      </c>
      <c r="C16" s="1395" t="s">
        <v>922</v>
      </c>
      <c r="D16" s="1396" t="str">
        <f>结果表!H109</f>
        <v>——</v>
      </c>
    </row>
    <row r="17" spans="1:5" ht="15.75">
      <c r="B17" s="3188"/>
      <c r="C17" s="1390" t="s">
        <v>923</v>
      </c>
      <c r="D17" s="795" t="e">
        <f>NUMBERSTRING(INT(D16*10000),2)&amp;"元整"</f>
        <v>#VALUE!</v>
      </c>
    </row>
    <row r="18" spans="1:5" ht="15">
      <c r="B18" s="3189"/>
      <c r="C18" s="1391" t="s">
        <v>912</v>
      </c>
      <c r="D18" s="804" t="str">
        <f>结果表!H110</f>
        <v>——</v>
      </c>
    </row>
    <row r="19" spans="1:5" ht="15.75">
      <c r="B19" s="3180" t="str">
        <f>结果表!E111</f>
        <v>——</v>
      </c>
      <c r="C19" s="1395" t="s">
        <v>910</v>
      </c>
      <c r="D19" s="796" t="str">
        <f>结果表!H111</f>
        <v>——</v>
      </c>
    </row>
    <row r="20" spans="1:5" ht="15.75">
      <c r="B20" s="3181"/>
      <c r="C20" s="1390" t="s">
        <v>923</v>
      </c>
      <c r="D20" s="795" t="e">
        <f>NUMBERSTRING(INT(D19*10000),2)&amp;"元整"</f>
        <v>#VALUE!</v>
      </c>
    </row>
    <row r="21" spans="1:5" ht="15.75" thickBot="1">
      <c r="B21" s="3182"/>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1810</v>
      </c>
      <c r="C1" s="1139" t="s">
        <v>1662</v>
      </c>
      <c r="D1" s="1140"/>
      <c r="E1" s="3129"/>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41825.5</v>
      </c>
      <c r="E3" s="1803"/>
      <c r="F3" s="854"/>
      <c r="G3" s="853"/>
      <c r="H3" s="853"/>
      <c r="I3" s="853"/>
      <c r="J3" s="853"/>
      <c r="K3" s="855"/>
      <c r="L3" s="2501"/>
      <c r="M3" s="2502"/>
      <c r="N3" s="2502"/>
      <c r="O3" s="2502"/>
      <c r="P3" s="341"/>
      <c r="Q3" s="341"/>
      <c r="R3" s="341"/>
      <c r="S3" s="341"/>
      <c r="T3" s="341"/>
      <c r="U3" s="341"/>
      <c r="V3" s="341"/>
      <c r="W3" s="341"/>
      <c r="X3" s="341"/>
      <c r="Y3" s="341"/>
      <c r="Z3" s="341"/>
      <c r="AA3" s="341"/>
      <c r="AB3" s="341"/>
      <c r="AC3" s="66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43" t="s">
        <v>1775</v>
      </c>
      <c r="Q4" s="3444"/>
      <c r="R4" s="3447" t="s">
        <v>1771</v>
      </c>
      <c r="S4" s="3448"/>
      <c r="T4" s="3447" t="s">
        <v>1772</v>
      </c>
      <c r="U4" s="3448"/>
      <c r="V4" s="3449" t="s">
        <v>1773</v>
      </c>
      <c r="W4" s="3449"/>
      <c r="X4" s="1807"/>
      <c r="Y4" s="3447" t="s">
        <v>1775</v>
      </c>
      <c r="Z4" s="3448"/>
      <c r="AA4" s="3451" t="s">
        <v>1771</v>
      </c>
      <c r="AB4" s="3451" t="s">
        <v>1772</v>
      </c>
      <c r="AC4" s="3440" t="s">
        <v>1773</v>
      </c>
    </row>
    <row r="5" spans="1:29" ht="15">
      <c r="A5" s="348"/>
      <c r="B5" s="349"/>
      <c r="C5" s="3428" t="s">
        <v>1673</v>
      </c>
      <c r="D5" s="3429"/>
      <c r="E5" s="3435" t="s">
        <v>1674</v>
      </c>
      <c r="F5" s="3436"/>
      <c r="G5" s="3428" t="s">
        <v>1675</v>
      </c>
      <c r="H5" s="3429"/>
      <c r="I5" s="3428" t="s">
        <v>1676</v>
      </c>
      <c r="J5" s="3429"/>
      <c r="K5" s="537"/>
      <c r="L5" s="2484"/>
      <c r="M5" s="2485"/>
      <c r="N5" s="2485"/>
      <c r="O5" s="2485"/>
      <c r="P5" s="3445"/>
      <c r="Q5" s="3417"/>
      <c r="R5" s="3422"/>
      <c r="S5" s="3423"/>
      <c r="T5" s="3422"/>
      <c r="U5" s="3423"/>
      <c r="V5" s="3396"/>
      <c r="W5" s="3396"/>
      <c r="X5" s="1263"/>
      <c r="Y5" s="3422"/>
      <c r="Z5" s="3423"/>
      <c r="AA5" s="3408"/>
      <c r="AB5" s="3408"/>
      <c r="AC5" s="3441"/>
    </row>
    <row r="6" spans="1:29" ht="15.75" thickBot="1">
      <c r="A6" s="350"/>
      <c r="B6" s="351"/>
      <c r="C6" s="3426" t="s">
        <v>1677</v>
      </c>
      <c r="D6" s="3427"/>
      <c r="E6" s="3433" t="s">
        <v>1677</v>
      </c>
      <c r="F6" s="3434"/>
      <c r="G6" s="3426" t="s">
        <v>1677</v>
      </c>
      <c r="H6" s="3427"/>
      <c r="I6" s="3426" t="s">
        <v>1677</v>
      </c>
      <c r="J6" s="3427"/>
      <c r="K6" s="537" t="s">
        <v>1678</v>
      </c>
      <c r="L6" s="2484"/>
      <c r="M6" s="2485"/>
      <c r="N6" s="2485"/>
      <c r="O6" s="2485"/>
      <c r="P6" s="3446"/>
      <c r="Q6" s="3419"/>
      <c r="R6" s="3422"/>
      <c r="S6" s="3423"/>
      <c r="T6" s="3424"/>
      <c r="U6" s="3425"/>
      <c r="V6" s="3396"/>
      <c r="W6" s="3396"/>
      <c r="X6" s="1263"/>
      <c r="Y6" s="3424"/>
      <c r="Z6" s="3425"/>
      <c r="AA6" s="3409"/>
      <c r="AB6" s="3409"/>
      <c r="AC6" s="3442"/>
    </row>
    <row r="7" spans="1:29" s="102" customFormat="1" ht="15.75" thickBot="1">
      <c r="A7" s="352" t="s">
        <v>1679</v>
      </c>
      <c r="B7" s="353"/>
      <c r="C7" s="354">
        <f>'数据-取费表'!B2</f>
        <v>45884</v>
      </c>
      <c r="D7" s="355">
        <v>100</v>
      </c>
      <c r="E7" s="356"/>
      <c r="F7" s="357">
        <f>SUMIF(59:59,YEAR(E7)&amp;"-"&amp;MONTH(E7),60:60)</f>
        <v>0</v>
      </c>
      <c r="G7" s="356"/>
      <c r="H7" s="355">
        <f>SUMIF(59:59,YEAR(G7)&amp;"-"&amp;MONTH(G7),60:60)</f>
        <v>0</v>
      </c>
      <c r="I7" s="356"/>
      <c r="J7" s="355">
        <f>SUMIF(59:59,YEAR(I7)&amp;"-"&amp;MONTH(I7),60:60)</f>
        <v>0</v>
      </c>
      <c r="K7" s="38"/>
      <c r="L7" s="2486"/>
      <c r="M7" s="2437"/>
      <c r="N7" s="2437"/>
      <c r="O7" s="2437"/>
      <c r="P7" s="345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800"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50" t="s">
        <v>1683</v>
      </c>
      <c r="Q8" s="3431"/>
      <c r="R8" s="664" t="s">
        <v>14</v>
      </c>
      <c r="S8" s="665">
        <f t="shared" si="0"/>
        <v>100</v>
      </c>
      <c r="T8" s="664" t="s">
        <v>14</v>
      </c>
      <c r="U8" s="665">
        <f t="shared" si="1"/>
        <v>100</v>
      </c>
      <c r="V8" s="664" t="s">
        <v>14</v>
      </c>
      <c r="W8" s="665">
        <f t="shared" si="2"/>
        <v>100</v>
      </c>
      <c r="X8" s="666"/>
      <c r="Y8" s="3430" t="s">
        <v>1683</v>
      </c>
      <c r="Z8" s="3431"/>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6"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0">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6"/>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6"/>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06"/>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06"/>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0">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06"/>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0">
        <f t="shared" si="5"/>
        <v>1</v>
      </c>
    </row>
    <row r="15" spans="1:29" ht="85.5">
      <c r="A15" s="379" t="s">
        <v>1690</v>
      </c>
      <c r="B15" s="554" t="s">
        <v>1811</v>
      </c>
      <c r="C15" s="1809" t="str">
        <f>估价对象房地状况!C5</f>
        <v>估价对象位于北京城市副中心商务中心区，周边办公楼项目较多，入驻率较高，办公集聚程度较好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4" t="s">
        <v>1691</v>
      </c>
      <c r="Q15" s="1261" t="str">
        <f t="shared" si="6"/>
        <v>办公集聚程度</v>
      </c>
      <c r="R15" s="667" t="s">
        <v>14</v>
      </c>
      <c r="S15" s="668">
        <f t="shared" si="0"/>
        <v>100</v>
      </c>
      <c r="T15" s="667" t="s">
        <v>14</v>
      </c>
      <c r="U15" s="668">
        <f t="shared" si="1"/>
        <v>100</v>
      </c>
      <c r="V15" s="667" t="s">
        <v>14</v>
      </c>
      <c r="W15" s="668">
        <f t="shared" si="2"/>
        <v>100</v>
      </c>
      <c r="X15" s="1263"/>
      <c r="Y15" s="3397"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90"/>
      <c r="M16" s="2485"/>
      <c r="N16" s="2485"/>
      <c r="O16" s="2485"/>
      <c r="P16" s="3405"/>
      <c r="Q16" s="1261"/>
      <c r="R16" s="667"/>
      <c r="S16" s="668"/>
      <c r="T16" s="667"/>
      <c r="U16" s="668"/>
      <c r="V16" s="667"/>
      <c r="W16" s="668"/>
      <c r="X16" s="1263"/>
      <c r="Y16" s="3398"/>
      <c r="Z16" s="1262"/>
      <c r="AA16" s="1262">
        <v>1</v>
      </c>
      <c r="AB16" s="1262">
        <v>1</v>
      </c>
      <c r="AC16" s="1810">
        <v>1</v>
      </c>
    </row>
    <row r="17" spans="1:29" ht="99.75">
      <c r="A17" s="367"/>
      <c r="B17" s="556" t="s">
        <v>1259</v>
      </c>
      <c r="C17" s="1811" t="str">
        <f>估价对象房地状况!C6</f>
        <v>估价对象周边有316路、342路、582路、587路等多条公交线路及地铁6号线通州北关站，综合评价交通便捷度较好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5"/>
      <c r="Q17" s="1261" t="str">
        <f>B17</f>
        <v>交通便捷度</v>
      </c>
      <c r="R17" s="667" t="s">
        <v>14</v>
      </c>
      <c r="S17" s="668">
        <f>F17</f>
        <v>100</v>
      </c>
      <c r="T17" s="667" t="s">
        <v>14</v>
      </c>
      <c r="U17" s="668">
        <f>H17</f>
        <v>100</v>
      </c>
      <c r="V17" s="667" t="s">
        <v>14</v>
      </c>
      <c r="W17" s="668">
        <f>J17</f>
        <v>100</v>
      </c>
      <c r="X17" s="1263"/>
      <c r="Y17" s="3398"/>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90"/>
      <c r="M18" s="2485"/>
      <c r="N18" s="2485"/>
      <c r="O18" s="2485"/>
      <c r="P18" s="3405"/>
      <c r="Q18" s="1261"/>
      <c r="R18" s="667"/>
      <c r="S18" s="668"/>
      <c r="T18" s="667"/>
      <c r="U18" s="668"/>
      <c r="V18" s="667"/>
      <c r="W18" s="668"/>
      <c r="X18" s="1263"/>
      <c r="Y18" s="3398"/>
      <c r="Z18" s="1262"/>
      <c r="AA18" s="1262">
        <v>1</v>
      </c>
      <c r="AB18" s="1262">
        <v>1</v>
      </c>
      <c r="AC18" s="1810">
        <v>1</v>
      </c>
    </row>
    <row r="19" spans="1:29" ht="313.5">
      <c r="A19" s="367"/>
      <c r="B19" s="556" t="s">
        <v>1812</v>
      </c>
      <c r="C19" s="1811" t="str">
        <f>估价对象房地状况!C7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5"/>
      <c r="Q19" s="1261" t="str">
        <f>B19</f>
        <v>公共配套设施</v>
      </c>
      <c r="R19" s="667" t="s">
        <v>14</v>
      </c>
      <c r="S19" s="668">
        <f>F19</f>
        <v>100</v>
      </c>
      <c r="T19" s="667" t="s">
        <v>14</v>
      </c>
      <c r="U19" s="668">
        <f>H19</f>
        <v>100</v>
      </c>
      <c r="V19" s="667" t="s">
        <v>14</v>
      </c>
      <c r="W19" s="668">
        <f>J19</f>
        <v>100</v>
      </c>
      <c r="X19" s="1263"/>
      <c r="Y19" s="3398"/>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90"/>
      <c r="M20" s="2485"/>
      <c r="N20" s="2485"/>
      <c r="O20" s="2485"/>
      <c r="P20" s="3405"/>
      <c r="Q20" s="1261"/>
      <c r="R20" s="667"/>
      <c r="S20" s="668"/>
      <c r="T20" s="667"/>
      <c r="U20" s="668"/>
      <c r="V20" s="667"/>
      <c r="W20" s="668"/>
      <c r="X20" s="1263"/>
      <c r="Y20" s="3398"/>
      <c r="Z20" s="1262"/>
      <c r="AA20" s="1262">
        <v>1</v>
      </c>
      <c r="AB20" s="1262">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5"/>
      <c r="Q21" s="1261" t="str">
        <f>B21</f>
        <v>基础设施水平</v>
      </c>
      <c r="R21" s="667" t="s">
        <v>14</v>
      </c>
      <c r="S21" s="668">
        <f>F21</f>
        <v>100</v>
      </c>
      <c r="T21" s="667" t="s">
        <v>14</v>
      </c>
      <c r="U21" s="668">
        <f>H21</f>
        <v>100</v>
      </c>
      <c r="V21" s="667" t="s">
        <v>14</v>
      </c>
      <c r="W21" s="668">
        <f>J21</f>
        <v>100</v>
      </c>
      <c r="X21" s="1263"/>
      <c r="Y21" s="3398"/>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90"/>
      <c r="M22" s="2485"/>
      <c r="N22" s="2485"/>
      <c r="O22" s="2485"/>
      <c r="P22" s="3405"/>
      <c r="Q22" s="1261"/>
      <c r="R22" s="667"/>
      <c r="S22" s="668"/>
      <c r="T22" s="667"/>
      <c r="U22" s="668"/>
      <c r="V22" s="667"/>
      <c r="W22" s="668"/>
      <c r="X22" s="1263"/>
      <c r="Y22" s="3398"/>
      <c r="Z22" s="1262"/>
      <c r="AA22" s="1262">
        <v>1</v>
      </c>
      <c r="AB22" s="1262">
        <v>1</v>
      </c>
      <c r="AC22" s="1810">
        <v>1</v>
      </c>
    </row>
    <row r="23" spans="1:29" ht="99.75">
      <c r="A23" s="367"/>
      <c r="B23" s="556" t="s">
        <v>1814</v>
      </c>
      <c r="C23" s="1811" t="str">
        <f>估价对象房地状况!C9</f>
        <v>估价对象周边有北关清真寺、三教庙等人文景观，西海子公园、北运河水系等自然景观，综合评价环境状况较好。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5"/>
      <c r="Q23" s="1261" t="str">
        <f>B23</f>
        <v>环境质量</v>
      </c>
      <c r="R23" s="667" t="s">
        <v>14</v>
      </c>
      <c r="S23" s="668">
        <f>F23</f>
        <v>100</v>
      </c>
      <c r="T23" s="667" t="s">
        <v>14</v>
      </c>
      <c r="U23" s="668">
        <f>H23</f>
        <v>100</v>
      </c>
      <c r="V23" s="667" t="s">
        <v>14</v>
      </c>
      <c r="W23" s="668">
        <f>J23</f>
        <v>100</v>
      </c>
      <c r="X23" s="1263"/>
      <c r="Y23" s="3398"/>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90"/>
      <c r="M24" s="2485"/>
      <c r="N24" s="2485"/>
      <c r="O24" s="2485"/>
      <c r="P24" s="3405"/>
      <c r="Q24" s="1261"/>
      <c r="R24" s="667"/>
      <c r="S24" s="668"/>
      <c r="T24" s="667"/>
      <c r="U24" s="668"/>
      <c r="V24" s="667"/>
      <c r="W24" s="668"/>
      <c r="X24" s="1263"/>
      <c r="Y24" s="3398"/>
      <c r="Z24" s="1262"/>
      <c r="AA24" s="1262">
        <v>1</v>
      </c>
      <c r="AB24" s="1262">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0"/>
      <c r="M25" s="2485"/>
      <c r="N25" s="2485"/>
      <c r="O25" s="2485"/>
      <c r="P25" s="3405"/>
      <c r="Q25" s="1261" t="str">
        <f>B25</f>
        <v>毗邻道路的类型与等级</v>
      </c>
      <c r="R25" s="667" t="s">
        <v>14</v>
      </c>
      <c r="S25" s="668">
        <f>F25</f>
        <v>100</v>
      </c>
      <c r="T25" s="667" t="s">
        <v>14</v>
      </c>
      <c r="U25" s="668">
        <f>H25</f>
        <v>100</v>
      </c>
      <c r="V25" s="667" t="s">
        <v>14</v>
      </c>
      <c r="W25" s="668">
        <f>J25</f>
        <v>100</v>
      </c>
      <c r="X25" s="1263"/>
      <c r="Y25" s="3398"/>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90"/>
      <c r="M26" s="2485"/>
      <c r="N26" s="2485"/>
      <c r="O26" s="2485"/>
      <c r="P26" s="3405"/>
      <c r="Q26" s="1261"/>
      <c r="R26" s="667"/>
      <c r="S26" s="668"/>
      <c r="T26" s="667"/>
      <c r="U26" s="668"/>
      <c r="V26" s="667"/>
      <c r="W26" s="668"/>
      <c r="X26" s="1263"/>
      <c r="Y26" s="3398"/>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5"/>
      <c r="Q27" s="1261" t="str">
        <f t="shared" ref="Q27:Q47" si="11">B27</f>
        <v>楼层</v>
      </c>
      <c r="R27" s="667" t="s">
        <v>14</v>
      </c>
      <c r="S27" s="668">
        <f>F27</f>
        <v>100</v>
      </c>
      <c r="T27" s="667" t="s">
        <v>14</v>
      </c>
      <c r="U27" s="668">
        <f>H27</f>
        <v>100</v>
      </c>
      <c r="V27" s="667" t="s">
        <v>14</v>
      </c>
      <c r="W27" s="668">
        <f>J27</f>
        <v>100</v>
      </c>
      <c r="X27" s="1263"/>
      <c r="Y27" s="3398"/>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05"/>
      <c r="Q28" s="530" t="str">
        <f t="shared" si="11"/>
        <v>朝向</v>
      </c>
      <c r="R28" s="664" t="s">
        <v>14</v>
      </c>
      <c r="S28" s="665">
        <f>F28</f>
        <v>100</v>
      </c>
      <c r="T28" s="664" t="s">
        <v>14</v>
      </c>
      <c r="U28" s="665">
        <f>H28</f>
        <v>100</v>
      </c>
      <c r="V28" s="664" t="s">
        <v>14</v>
      </c>
      <c r="W28" s="665">
        <f>J28</f>
        <v>100</v>
      </c>
      <c r="X28" s="666"/>
      <c r="Y28" s="3398"/>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05"/>
      <c r="Q29" s="1261">
        <f t="shared" si="11"/>
        <v>111</v>
      </c>
      <c r="R29" s="667" t="s">
        <v>14</v>
      </c>
      <c r="S29" s="668">
        <f t="shared" ref="S29:S47" si="12">F29</f>
        <v>100</v>
      </c>
      <c r="T29" s="667" t="s">
        <v>14</v>
      </c>
      <c r="U29" s="668">
        <f t="shared" ref="U29:U47" si="13">H29</f>
        <v>100</v>
      </c>
      <c r="V29" s="667" t="s">
        <v>14</v>
      </c>
      <c r="W29" s="668">
        <f t="shared" ref="W29:W47" si="14">J29</f>
        <v>100</v>
      </c>
      <c r="X29" s="1263"/>
      <c r="Y29" s="3398"/>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05"/>
      <c r="Q30" s="1261">
        <f t="shared" si="11"/>
        <v>111</v>
      </c>
      <c r="R30" s="667" t="s">
        <v>14</v>
      </c>
      <c r="S30" s="668">
        <f t="shared" si="12"/>
        <v>100</v>
      </c>
      <c r="T30" s="667" t="s">
        <v>14</v>
      </c>
      <c r="U30" s="668">
        <f t="shared" si="13"/>
        <v>100</v>
      </c>
      <c r="V30" s="667" t="s">
        <v>14</v>
      </c>
      <c r="W30" s="668">
        <f t="shared" si="14"/>
        <v>100</v>
      </c>
      <c r="X30" s="1263"/>
      <c r="Y30" s="3398"/>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05"/>
      <c r="Q31" s="1261">
        <f t="shared" si="11"/>
        <v>111</v>
      </c>
      <c r="R31" s="667" t="s">
        <v>14</v>
      </c>
      <c r="S31" s="668">
        <f t="shared" si="12"/>
        <v>100</v>
      </c>
      <c r="T31" s="667" t="s">
        <v>14</v>
      </c>
      <c r="U31" s="668">
        <f t="shared" si="13"/>
        <v>100</v>
      </c>
      <c r="V31" s="667" t="s">
        <v>14</v>
      </c>
      <c r="W31" s="668">
        <f t="shared" si="14"/>
        <v>100</v>
      </c>
      <c r="X31" s="1263"/>
      <c r="Y31" s="3398"/>
      <c r="Z31" s="1262">
        <f t="shared" si="15"/>
        <v>111</v>
      </c>
      <c r="AA31" s="1262">
        <f t="shared" si="3"/>
        <v>1</v>
      </c>
      <c r="AB31" s="1262">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05"/>
      <c r="Q32" s="1261">
        <f t="shared" si="11"/>
        <v>111</v>
      </c>
      <c r="R32" s="667" t="s">
        <v>14</v>
      </c>
      <c r="S32" s="668">
        <f t="shared" si="12"/>
        <v>100</v>
      </c>
      <c r="T32" s="667" t="s">
        <v>14</v>
      </c>
      <c r="U32" s="668">
        <f t="shared" si="13"/>
        <v>100</v>
      </c>
      <c r="V32" s="667" t="s">
        <v>14</v>
      </c>
      <c r="W32" s="668">
        <f t="shared" si="14"/>
        <v>100</v>
      </c>
      <c r="X32" s="1263"/>
      <c r="Y32" s="3398"/>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0"/>
      <c r="M33" s="2485"/>
      <c r="N33" s="2485"/>
      <c r="O33" s="2485"/>
      <c r="P33" s="3399" t="s">
        <v>1696</v>
      </c>
      <c r="Q33" s="1261" t="str">
        <f t="shared" si="11"/>
        <v>建筑类型</v>
      </c>
      <c r="R33" s="667" t="s">
        <v>14</v>
      </c>
      <c r="S33" s="668">
        <f t="shared" si="12"/>
        <v>100</v>
      </c>
      <c r="T33" s="667" t="s">
        <v>14</v>
      </c>
      <c r="U33" s="668">
        <f t="shared" si="13"/>
        <v>100</v>
      </c>
      <c r="V33" s="667" t="s">
        <v>14</v>
      </c>
      <c r="W33" s="668">
        <f t="shared" si="14"/>
        <v>100</v>
      </c>
      <c r="X33" s="1263"/>
      <c r="Y33" s="3402"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0"/>
      <c r="Q34" s="531" t="str">
        <f t="shared" si="11"/>
        <v>项目建筑规模</v>
      </c>
      <c r="R34" s="669" t="s">
        <v>14</v>
      </c>
      <c r="S34" s="670" t="e">
        <f t="shared" si="12"/>
        <v>#N/A</v>
      </c>
      <c r="T34" s="669" t="s">
        <v>14</v>
      </c>
      <c r="U34" s="670" t="e">
        <f t="shared" si="13"/>
        <v>#N/A</v>
      </c>
      <c r="V34" s="669" t="s">
        <v>14</v>
      </c>
      <c r="W34" s="670" t="e">
        <f t="shared" si="14"/>
        <v>#N/A</v>
      </c>
      <c r="X34" s="671"/>
      <c r="Y34" s="3402"/>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0"/>
      <c r="Q35" s="1261" t="str">
        <f t="shared" si="11"/>
        <v>建筑结构</v>
      </c>
      <c r="R35" s="667" t="s">
        <v>14</v>
      </c>
      <c r="S35" s="668">
        <f t="shared" si="12"/>
        <v>100</v>
      </c>
      <c r="T35" s="667" t="s">
        <v>14</v>
      </c>
      <c r="U35" s="668">
        <f t="shared" si="13"/>
        <v>100</v>
      </c>
      <c r="V35" s="667" t="s">
        <v>14</v>
      </c>
      <c r="W35" s="668">
        <f t="shared" si="14"/>
        <v>100</v>
      </c>
      <c r="X35" s="1263"/>
      <c r="Y35" s="3402"/>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0"/>
      <c r="Q36" s="1261" t="str">
        <f t="shared" si="11"/>
        <v>公共部分装修</v>
      </c>
      <c r="R36" s="667" t="s">
        <v>14</v>
      </c>
      <c r="S36" s="668">
        <f t="shared" si="12"/>
        <v>100</v>
      </c>
      <c r="T36" s="667" t="s">
        <v>14</v>
      </c>
      <c r="U36" s="668">
        <f t="shared" si="13"/>
        <v>100</v>
      </c>
      <c r="V36" s="667" t="s">
        <v>14</v>
      </c>
      <c r="W36" s="668">
        <f t="shared" si="14"/>
        <v>100</v>
      </c>
      <c r="X36" s="1263"/>
      <c r="Y36" s="3402"/>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0"/>
      <c r="Q37" s="1261" t="str">
        <f t="shared" si="11"/>
        <v>成新度</v>
      </c>
      <c r="R37" s="667" t="s">
        <v>14</v>
      </c>
      <c r="S37" s="668" t="e">
        <f t="shared" si="12"/>
        <v>#N/A</v>
      </c>
      <c r="T37" s="667" t="s">
        <v>14</v>
      </c>
      <c r="U37" s="668" t="e">
        <f t="shared" si="13"/>
        <v>#N/A</v>
      </c>
      <c r="V37" s="667" t="s">
        <v>14</v>
      </c>
      <c r="W37" s="668" t="e">
        <f t="shared" si="14"/>
        <v>#N/A</v>
      </c>
      <c r="X37" s="1263"/>
      <c r="Y37" s="3402"/>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00"/>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0" t="s">
        <v>1696</v>
      </c>
      <c r="Q39" s="1261" t="str">
        <f t="shared" si="11"/>
        <v>物业管理</v>
      </c>
      <c r="R39" s="667" t="s">
        <v>14</v>
      </c>
      <c r="S39" s="668">
        <f t="shared" si="12"/>
        <v>100</v>
      </c>
      <c r="T39" s="667" t="s">
        <v>14</v>
      </c>
      <c r="U39" s="668">
        <f t="shared" si="13"/>
        <v>100</v>
      </c>
      <c r="V39" s="667" t="s">
        <v>14</v>
      </c>
      <c r="W39" s="668">
        <f t="shared" si="14"/>
        <v>100</v>
      </c>
      <c r="X39" s="1263"/>
      <c r="Y39" s="3402"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0"/>
      <c r="Q40" s="1261" t="str">
        <f t="shared" si="11"/>
        <v>市政基础设施</v>
      </c>
      <c r="R40" s="667" t="s">
        <v>14</v>
      </c>
      <c r="S40" s="668">
        <f t="shared" si="12"/>
        <v>100</v>
      </c>
      <c r="T40" s="667" t="s">
        <v>14</v>
      </c>
      <c r="U40" s="668">
        <f t="shared" si="13"/>
        <v>100</v>
      </c>
      <c r="V40" s="667" t="s">
        <v>14</v>
      </c>
      <c r="W40" s="668">
        <f t="shared" si="14"/>
        <v>100</v>
      </c>
      <c r="X40" s="1263"/>
      <c r="Y40" s="3402"/>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0"/>
      <c r="Q41" s="1261" t="str">
        <f t="shared" si="11"/>
        <v>层高</v>
      </c>
      <c r="R41" s="667" t="s">
        <v>14</v>
      </c>
      <c r="S41" s="668">
        <f t="shared" si="12"/>
        <v>100</v>
      </c>
      <c r="T41" s="667" t="s">
        <v>14</v>
      </c>
      <c r="U41" s="668">
        <f t="shared" si="13"/>
        <v>100</v>
      </c>
      <c r="V41" s="667" t="s">
        <v>14</v>
      </c>
      <c r="W41" s="668">
        <f t="shared" si="14"/>
        <v>100</v>
      </c>
      <c r="X41" s="1263"/>
      <c r="Y41" s="3402"/>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0"/>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0"/>
      <c r="Q43" s="1261" t="str">
        <f t="shared" si="11"/>
        <v>内部装修</v>
      </c>
      <c r="R43" s="667" t="s">
        <v>14</v>
      </c>
      <c r="S43" s="668">
        <f t="shared" si="12"/>
        <v>100</v>
      </c>
      <c r="T43" s="667" t="s">
        <v>14</v>
      </c>
      <c r="U43" s="668">
        <f t="shared" si="13"/>
        <v>100</v>
      </c>
      <c r="V43" s="667" t="s">
        <v>14</v>
      </c>
      <c r="W43" s="668">
        <f t="shared" si="14"/>
        <v>100</v>
      </c>
      <c r="X43" s="1263"/>
      <c r="Y43" s="3402"/>
      <c r="Z43" s="1262" t="str">
        <f t="shared" si="15"/>
        <v>内部装修</v>
      </c>
      <c r="AA43" s="1262">
        <f t="shared" si="3"/>
        <v>1</v>
      </c>
      <c r="AB43" s="1262">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0"/>
      <c r="M44" s="2485"/>
      <c r="N44" s="2485"/>
      <c r="O44" s="2485"/>
      <c r="P44" s="3400"/>
      <c r="Q44" s="1261" t="str">
        <f t="shared" si="11"/>
        <v>内部装修维护情况</v>
      </c>
      <c r="R44" s="667" t="s">
        <v>14</v>
      </c>
      <c r="S44" s="668">
        <f t="shared" si="12"/>
        <v>100</v>
      </c>
      <c r="T44" s="667" t="s">
        <v>14</v>
      </c>
      <c r="U44" s="668">
        <f t="shared" si="13"/>
        <v>100</v>
      </c>
      <c r="V44" s="667" t="s">
        <v>14</v>
      </c>
      <c r="W44" s="668">
        <f t="shared" si="14"/>
        <v>100</v>
      </c>
      <c r="X44" s="1263"/>
      <c r="Y44" s="3402"/>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00"/>
      <c r="Q45" s="530">
        <f t="shared" si="11"/>
        <v>111</v>
      </c>
      <c r="R45" s="664" t="s">
        <v>14</v>
      </c>
      <c r="S45" s="665">
        <f t="shared" si="12"/>
        <v>100</v>
      </c>
      <c r="T45" s="664" t="s">
        <v>14</v>
      </c>
      <c r="U45" s="665">
        <f t="shared" si="13"/>
        <v>100</v>
      </c>
      <c r="V45" s="664" t="s">
        <v>14</v>
      </c>
      <c r="W45" s="665">
        <f t="shared" si="14"/>
        <v>100</v>
      </c>
      <c r="X45" s="666"/>
      <c r="Y45" s="3402"/>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0"/>
      <c r="Q46" s="1261">
        <f t="shared" si="11"/>
        <v>111</v>
      </c>
      <c r="R46" s="667" t="s">
        <v>14</v>
      </c>
      <c r="S46" s="668">
        <f t="shared" si="12"/>
        <v>100</v>
      </c>
      <c r="T46" s="667" t="s">
        <v>14</v>
      </c>
      <c r="U46" s="668">
        <f t="shared" si="13"/>
        <v>100</v>
      </c>
      <c r="V46" s="667" t="s">
        <v>14</v>
      </c>
      <c r="W46" s="668">
        <f t="shared" si="14"/>
        <v>100</v>
      </c>
      <c r="X46" s="1263"/>
      <c r="Y46" s="3402"/>
      <c r="Z46" s="1262">
        <f t="shared" si="15"/>
        <v>111</v>
      </c>
      <c r="AA46" s="1262">
        <f t="shared" si="3"/>
        <v>1</v>
      </c>
      <c r="AB46" s="1262">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1"/>
      <c r="Q47" s="1261">
        <f t="shared" si="11"/>
        <v>111</v>
      </c>
      <c r="R47" s="667" t="s">
        <v>14</v>
      </c>
      <c r="S47" s="668">
        <f t="shared" si="12"/>
        <v>100</v>
      </c>
      <c r="T47" s="667" t="s">
        <v>14</v>
      </c>
      <c r="U47" s="668">
        <f t="shared" si="13"/>
        <v>100</v>
      </c>
      <c r="V47" s="667" t="s">
        <v>14</v>
      </c>
      <c r="W47" s="668">
        <f t="shared" si="14"/>
        <v>100</v>
      </c>
      <c r="X47" s="1263"/>
      <c r="Y47" s="3403"/>
      <c r="Z47" s="1262">
        <f t="shared" si="15"/>
        <v>111</v>
      </c>
      <c r="AA47" s="1262">
        <f t="shared" si="3"/>
        <v>1</v>
      </c>
      <c r="AB47" s="1262">
        <f t="shared" si="4"/>
        <v>1</v>
      </c>
      <c r="AC47" s="1810">
        <f t="shared" si="5"/>
        <v>1</v>
      </c>
    </row>
    <row r="48" spans="1:29" ht="15">
      <c r="A48" s="416" t="s">
        <v>1708</v>
      </c>
      <c r="B48" s="417"/>
      <c r="C48" s="1079" t="s">
        <v>0</v>
      </c>
      <c r="D48" s="418"/>
      <c r="E48" s="419"/>
      <c r="F48" s="420"/>
      <c r="G48" s="421"/>
      <c r="H48" s="422"/>
      <c r="I48" s="419"/>
      <c r="J48" s="422"/>
      <c r="K48" s="674"/>
      <c r="L48" s="2492"/>
      <c r="M48" s="2485"/>
      <c r="N48" s="2485"/>
      <c r="O48" s="2485"/>
      <c r="P48" s="3406" t="str">
        <f>A48</f>
        <v>成交单价（元/平方米）</v>
      </c>
      <c r="Q48" s="3395"/>
      <c r="R48" s="3396">
        <f>E48</f>
        <v>0</v>
      </c>
      <c r="S48" s="3396"/>
      <c r="T48" s="3396">
        <f>G48</f>
        <v>0</v>
      </c>
      <c r="U48" s="3396"/>
      <c r="V48" s="3396">
        <f>I48</f>
        <v>0</v>
      </c>
      <c r="W48" s="3396"/>
      <c r="X48" s="385"/>
      <c r="Y48" s="673"/>
      <c r="Z48" s="385"/>
      <c r="AA48" s="385"/>
      <c r="AB48" s="385"/>
      <c r="AC48" s="555"/>
    </row>
    <row r="49" spans="1:29" ht="15.75" thickBot="1">
      <c r="A49" s="423" t="s">
        <v>1793</v>
      </c>
      <c r="B49" s="424"/>
      <c r="C49" s="1080" t="e">
        <f>R50</f>
        <v>#DIV/0!</v>
      </c>
      <c r="D49" s="2139" t="s">
        <v>2138</v>
      </c>
      <c r="E49" s="1081" t="e">
        <f>R49</f>
        <v>#DIV/0!</v>
      </c>
      <c r="F49" s="2140"/>
      <c r="G49" s="1080" t="e">
        <f>T49</f>
        <v>#DIV/0!</v>
      </c>
      <c r="H49" s="2140"/>
      <c r="I49" s="1081" t="e">
        <f>V49</f>
        <v>#DIV/0!</v>
      </c>
      <c r="J49" s="2140"/>
      <c r="K49" s="2142">
        <f>F49+H49+J49</f>
        <v>0</v>
      </c>
      <c r="L49" s="2492"/>
      <c r="M49" s="2485"/>
      <c r="N49" s="2485"/>
      <c r="O49" s="2485"/>
      <c r="P49" s="3406" t="str">
        <f>A49</f>
        <v>比较价值（元/平方米）</v>
      </c>
      <c r="Q49" s="3395"/>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6"/>
      <c r="M58" s="884"/>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1" t="str">
        <f>YEAR(C7)&amp;"-"&amp;MONTH(C7)</f>
        <v>2025-8</v>
      </c>
      <c r="D59" s="1102">
        <f>EDATE(C59,-1)</f>
        <v>45839</v>
      </c>
      <c r="E59" s="1102">
        <f>EDATE(D59,-1)</f>
        <v>45809</v>
      </c>
      <c r="F59" s="1102">
        <f t="shared" ref="F59:O59" si="16">EDATE(E59,-1)</f>
        <v>45778</v>
      </c>
      <c r="G59" s="1102">
        <f t="shared" si="16"/>
        <v>45748</v>
      </c>
      <c r="H59" s="1102">
        <f t="shared" si="16"/>
        <v>45717</v>
      </c>
      <c r="I59" s="1102">
        <f t="shared" si="16"/>
        <v>45689</v>
      </c>
      <c r="J59" s="1102">
        <f t="shared" si="16"/>
        <v>45658</v>
      </c>
      <c r="K59" s="1102">
        <f t="shared" si="16"/>
        <v>45627</v>
      </c>
      <c r="L59" s="1102">
        <f t="shared" si="16"/>
        <v>45597</v>
      </c>
      <c r="M59" s="1102">
        <f t="shared" si="16"/>
        <v>45566</v>
      </c>
      <c r="N59" s="1102">
        <f t="shared" si="16"/>
        <v>45536</v>
      </c>
      <c r="O59" s="1102">
        <f t="shared" si="16"/>
        <v>45505</v>
      </c>
      <c r="P59" s="2525"/>
      <c r="Q59" s="2508"/>
      <c r="R59" s="2508"/>
      <c r="S59" s="2508"/>
      <c r="T59" s="2508"/>
      <c r="U59" s="2508"/>
      <c r="V59" s="2508"/>
      <c r="W59" s="2508"/>
      <c r="X59" s="2508"/>
      <c r="Y59" s="2508"/>
      <c r="Z59" s="2508"/>
      <c r="AA59" s="2508"/>
      <c r="AB59" s="2508"/>
      <c r="AC59" s="2508"/>
    </row>
    <row r="60" spans="1:29" s="102" customFormat="1" ht="15">
      <c r="A60" s="443"/>
      <c r="B60" s="444"/>
      <c r="C60" s="1100">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1"/>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c r="E1" s="3129"/>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41825.5</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858"/>
      <c r="M4" s="859"/>
      <c r="N4" s="859"/>
      <c r="O4" s="859"/>
      <c r="P4" s="3414" t="s">
        <v>1775</v>
      </c>
      <c r="Q4" s="3415"/>
      <c r="R4" s="3420" t="s">
        <v>1771</v>
      </c>
      <c r="S4" s="3421"/>
      <c r="T4" s="3420" t="s">
        <v>1772</v>
      </c>
      <c r="U4" s="3421"/>
      <c r="V4" s="3396" t="s">
        <v>1773</v>
      </c>
      <c r="W4" s="3396"/>
      <c r="X4" s="1263"/>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858"/>
      <c r="M5" s="859"/>
      <c r="N5" s="859"/>
      <c r="O5" s="859"/>
      <c r="P5" s="3416"/>
      <c r="Q5" s="3417"/>
      <c r="R5" s="3422"/>
      <c r="S5" s="3423"/>
      <c r="T5" s="3422"/>
      <c r="U5" s="3423"/>
      <c r="V5" s="3396"/>
      <c r="W5" s="3396"/>
      <c r="X5" s="1263"/>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858"/>
      <c r="M6" s="859"/>
      <c r="N6" s="859"/>
      <c r="O6" s="859"/>
      <c r="P6" s="3418"/>
      <c r="Q6" s="3419"/>
      <c r="R6" s="3422"/>
      <c r="S6" s="3423"/>
      <c r="T6" s="3424"/>
      <c r="U6" s="3425"/>
      <c r="V6" s="3396"/>
      <c r="W6" s="3396"/>
      <c r="X6" s="1263"/>
      <c r="Y6" s="3424"/>
      <c r="Z6" s="3425"/>
      <c r="AA6" s="3409"/>
      <c r="AB6" s="3409"/>
      <c r="AC6" s="3409"/>
    </row>
    <row r="7" spans="1:29" s="102" customFormat="1" ht="15.75" thickBot="1">
      <c r="A7" s="352" t="s">
        <v>1679</v>
      </c>
      <c r="B7" s="353"/>
      <c r="C7" s="354">
        <f>'数据-取费表'!B2</f>
        <v>45884</v>
      </c>
      <c r="D7" s="355">
        <v>100</v>
      </c>
      <c r="E7" s="356"/>
      <c r="F7" s="357">
        <f>SUMIF(52:52,YEAR(E7)&amp;"-"&amp;MONTH(E7),53:53)</f>
        <v>0</v>
      </c>
      <c r="G7" s="356"/>
      <c r="H7" s="355">
        <f>SUMIF(52:52,YEAR(G7)&amp;"-"&amp;MONTH(G7),53:53)</f>
        <v>0</v>
      </c>
      <c r="I7" s="356"/>
      <c r="J7" s="355">
        <f>SUMIF(52:52,YEAR(I7)&amp;"-"&amp;MONTH(I7),53:53)</f>
        <v>0</v>
      </c>
      <c r="K7" s="38"/>
      <c r="L7" s="860"/>
      <c r="M7" s="861"/>
      <c r="N7" s="861"/>
      <c r="O7" s="861"/>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30" t="s">
        <v>1683</v>
      </c>
      <c r="Q8" s="3431"/>
      <c r="R8" s="664" t="s">
        <v>14</v>
      </c>
      <c r="S8" s="665">
        <f t="shared" si="0"/>
        <v>100</v>
      </c>
      <c r="T8" s="664" t="s">
        <v>14</v>
      </c>
      <c r="U8" s="665">
        <f t="shared" si="1"/>
        <v>100</v>
      </c>
      <c r="V8" s="664" t="s">
        <v>14</v>
      </c>
      <c r="W8" s="665">
        <f t="shared" si="2"/>
        <v>100</v>
      </c>
      <c r="X8" s="666"/>
      <c r="Y8" s="3430" t="s">
        <v>1683</v>
      </c>
      <c r="Z8" s="343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95"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3"/>
      <c r="M10" s="864"/>
      <c r="N10" s="864"/>
      <c r="O10" s="865"/>
      <c r="P10" s="3395"/>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95"/>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395"/>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395"/>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395"/>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97" t="s">
        <v>1691</v>
      </c>
      <c r="Q15" s="1261" t="str">
        <f t="shared" si="6"/>
        <v>产业集聚程度</v>
      </c>
      <c r="R15" s="667" t="s">
        <v>14</v>
      </c>
      <c r="S15" s="668">
        <f t="shared" si="0"/>
        <v>100</v>
      </c>
      <c r="T15" s="667" t="s">
        <v>14</v>
      </c>
      <c r="U15" s="668">
        <f t="shared" si="1"/>
        <v>100</v>
      </c>
      <c r="V15" s="667" t="s">
        <v>14</v>
      </c>
      <c r="W15" s="668">
        <f t="shared" si="2"/>
        <v>100</v>
      </c>
      <c r="X15" s="1263"/>
      <c r="Y15" s="3397"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398"/>
      <c r="Q16" s="1261"/>
      <c r="R16" s="667"/>
      <c r="S16" s="668"/>
      <c r="T16" s="667"/>
      <c r="U16" s="668"/>
      <c r="V16" s="667"/>
      <c r="W16" s="668"/>
      <c r="X16" s="1263"/>
      <c r="Y16" s="3398"/>
      <c r="Z16" s="1262"/>
      <c r="AA16" s="1262">
        <v>1</v>
      </c>
      <c r="AB16" s="1262">
        <v>1</v>
      </c>
      <c r="AC16" s="1262">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98"/>
      <c r="Q17" s="1261" t="str">
        <f>B17</f>
        <v>交通便捷度</v>
      </c>
      <c r="R17" s="667" t="s">
        <v>14</v>
      </c>
      <c r="S17" s="668">
        <f>F17</f>
        <v>100</v>
      </c>
      <c r="T17" s="667" t="s">
        <v>14</v>
      </c>
      <c r="U17" s="668">
        <f>H17</f>
        <v>100</v>
      </c>
      <c r="V17" s="667" t="s">
        <v>14</v>
      </c>
      <c r="W17" s="668">
        <f>J17</f>
        <v>100</v>
      </c>
      <c r="X17" s="1263"/>
      <c r="Y17" s="3398"/>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398"/>
      <c r="Q18" s="1261"/>
      <c r="R18" s="667"/>
      <c r="S18" s="668"/>
      <c r="T18" s="667"/>
      <c r="U18" s="668"/>
      <c r="V18" s="667"/>
      <c r="W18" s="668"/>
      <c r="X18" s="1263"/>
      <c r="Y18" s="3398"/>
      <c r="Z18" s="1262"/>
      <c r="AA18" s="1262">
        <v>1</v>
      </c>
      <c r="AB18" s="1262">
        <v>1</v>
      </c>
      <c r="AC18" s="1262">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98"/>
      <c r="Q19" s="1261" t="str">
        <f>B19</f>
        <v>公共配套设施</v>
      </c>
      <c r="R19" s="667" t="s">
        <v>14</v>
      </c>
      <c r="S19" s="668">
        <f>F19</f>
        <v>100</v>
      </c>
      <c r="T19" s="667" t="s">
        <v>14</v>
      </c>
      <c r="U19" s="668">
        <f>H19</f>
        <v>100</v>
      </c>
      <c r="V19" s="667" t="s">
        <v>14</v>
      </c>
      <c r="W19" s="668">
        <f>J19</f>
        <v>100</v>
      </c>
      <c r="X19" s="1263"/>
      <c r="Y19" s="3398"/>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398"/>
      <c r="Q20" s="1261"/>
      <c r="R20" s="667"/>
      <c r="S20" s="668"/>
      <c r="T20" s="667"/>
      <c r="U20" s="668"/>
      <c r="V20" s="667"/>
      <c r="W20" s="668"/>
      <c r="X20" s="1263"/>
      <c r="Y20" s="3398"/>
      <c r="Z20" s="1262"/>
      <c r="AA20" s="1262">
        <v>1</v>
      </c>
      <c r="AB20" s="1262">
        <v>1</v>
      </c>
      <c r="AC20" s="1262">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98"/>
      <c r="Q21" s="1261" t="str">
        <f>B21</f>
        <v>基础设施水平</v>
      </c>
      <c r="R21" s="667" t="s">
        <v>14</v>
      </c>
      <c r="S21" s="668">
        <f>F21</f>
        <v>100</v>
      </c>
      <c r="T21" s="667" t="s">
        <v>14</v>
      </c>
      <c r="U21" s="668">
        <f>H21</f>
        <v>100</v>
      </c>
      <c r="V21" s="667" t="s">
        <v>14</v>
      </c>
      <c r="W21" s="668">
        <f>J21</f>
        <v>100</v>
      </c>
      <c r="X21" s="1263"/>
      <c r="Y21" s="3398"/>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398"/>
      <c r="Q22" s="1261"/>
      <c r="R22" s="667"/>
      <c r="S22" s="668"/>
      <c r="T22" s="667"/>
      <c r="U22" s="668"/>
      <c r="V22" s="667"/>
      <c r="W22" s="668"/>
      <c r="X22" s="1263"/>
      <c r="Y22" s="3398"/>
      <c r="Z22" s="1262"/>
      <c r="AA22" s="1262">
        <v>1</v>
      </c>
      <c r="AB22" s="1262">
        <v>1</v>
      </c>
      <c r="AC22" s="1262">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98"/>
      <c r="Q23" s="1261" t="str">
        <f>B23</f>
        <v>环境质量</v>
      </c>
      <c r="R23" s="667" t="s">
        <v>14</v>
      </c>
      <c r="S23" s="668">
        <f>F23</f>
        <v>100</v>
      </c>
      <c r="T23" s="667" t="s">
        <v>14</v>
      </c>
      <c r="U23" s="668">
        <f>H23</f>
        <v>100</v>
      </c>
      <c r="V23" s="667" t="s">
        <v>14</v>
      </c>
      <c r="W23" s="668">
        <f>J23</f>
        <v>100</v>
      </c>
      <c r="X23" s="1263"/>
      <c r="Y23" s="3398"/>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398"/>
      <c r="Q24" s="1261"/>
      <c r="R24" s="667"/>
      <c r="S24" s="668"/>
      <c r="T24" s="667"/>
      <c r="U24" s="668"/>
      <c r="V24" s="667"/>
      <c r="W24" s="668"/>
      <c r="X24" s="1263"/>
      <c r="Y24" s="3398"/>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98"/>
      <c r="Q25" s="1261">
        <f>B25</f>
        <v>111</v>
      </c>
      <c r="R25" s="667" t="s">
        <v>14</v>
      </c>
      <c r="S25" s="668">
        <f>F25</f>
        <v>100</v>
      </c>
      <c r="T25" s="667" t="s">
        <v>14</v>
      </c>
      <c r="U25" s="668">
        <f>H25</f>
        <v>100</v>
      </c>
      <c r="V25" s="667" t="s">
        <v>14</v>
      </c>
      <c r="W25" s="668">
        <f>J25</f>
        <v>100</v>
      </c>
      <c r="X25" s="1263"/>
      <c r="Y25" s="3398"/>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98"/>
      <c r="Q26" s="1261">
        <f t="shared" ref="Q26:Q40" si="11">B26</f>
        <v>111</v>
      </c>
      <c r="R26" s="667" t="s">
        <v>14</v>
      </c>
      <c r="S26" s="668">
        <f>F26</f>
        <v>100</v>
      </c>
      <c r="T26" s="667" t="s">
        <v>14</v>
      </c>
      <c r="U26" s="668">
        <f>H26</f>
        <v>100</v>
      </c>
      <c r="V26" s="667" t="s">
        <v>14</v>
      </c>
      <c r="W26" s="668">
        <f>J26</f>
        <v>100</v>
      </c>
      <c r="X26" s="1263"/>
      <c r="Y26" s="3398"/>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98"/>
      <c r="Q27" s="530">
        <f t="shared" si="11"/>
        <v>111</v>
      </c>
      <c r="R27" s="664" t="s">
        <v>14</v>
      </c>
      <c r="S27" s="665">
        <f>F27</f>
        <v>100</v>
      </c>
      <c r="T27" s="664" t="s">
        <v>14</v>
      </c>
      <c r="U27" s="665">
        <f>H27</f>
        <v>100</v>
      </c>
      <c r="V27" s="664" t="s">
        <v>14</v>
      </c>
      <c r="W27" s="665">
        <f>J27</f>
        <v>100</v>
      </c>
      <c r="X27" s="666"/>
      <c r="Y27" s="3398"/>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98"/>
      <c r="Q28" s="1261">
        <f t="shared" si="11"/>
        <v>111</v>
      </c>
      <c r="R28" s="667" t="s">
        <v>14</v>
      </c>
      <c r="S28" s="668">
        <f t="shared" ref="S28:S40" si="12">F28</f>
        <v>100</v>
      </c>
      <c r="T28" s="667" t="s">
        <v>14</v>
      </c>
      <c r="U28" s="668">
        <f t="shared" ref="U28:U40" si="13">H28</f>
        <v>100</v>
      </c>
      <c r="V28" s="667" t="s">
        <v>14</v>
      </c>
      <c r="W28" s="668">
        <f t="shared" ref="W28:W40" si="14">J28</f>
        <v>100</v>
      </c>
      <c r="X28" s="1263"/>
      <c r="Y28" s="3398"/>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52" t="s">
        <v>1696</v>
      </c>
      <c r="Q29" s="1261" t="str">
        <f t="shared" si="11"/>
        <v>建筑类型</v>
      </c>
      <c r="R29" s="667" t="s">
        <v>14</v>
      </c>
      <c r="S29" s="668">
        <f t="shared" si="12"/>
        <v>100</v>
      </c>
      <c r="T29" s="667" t="s">
        <v>14</v>
      </c>
      <c r="U29" s="668">
        <f t="shared" si="13"/>
        <v>100</v>
      </c>
      <c r="V29" s="667" t="s">
        <v>14</v>
      </c>
      <c r="W29" s="668">
        <f t="shared" si="14"/>
        <v>100</v>
      </c>
      <c r="X29" s="1263"/>
      <c r="Y29" s="3402"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02"/>
      <c r="Q31" s="1261" t="str">
        <f t="shared" si="11"/>
        <v>建筑结构</v>
      </c>
      <c r="R31" s="667" t="s">
        <v>14</v>
      </c>
      <c r="S31" s="668">
        <f t="shared" si="12"/>
        <v>100</v>
      </c>
      <c r="T31" s="667" t="s">
        <v>14</v>
      </c>
      <c r="U31" s="668">
        <f t="shared" si="13"/>
        <v>100</v>
      </c>
      <c r="V31" s="667" t="s">
        <v>14</v>
      </c>
      <c r="W31" s="668">
        <f t="shared" si="14"/>
        <v>100</v>
      </c>
      <c r="X31" s="1263"/>
      <c r="Y31" s="3402"/>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02"/>
      <c r="Q32" s="1261" t="str">
        <f t="shared" si="11"/>
        <v>公共部分装修</v>
      </c>
      <c r="R32" s="667" t="s">
        <v>14</v>
      </c>
      <c r="S32" s="668">
        <f t="shared" si="12"/>
        <v>100</v>
      </c>
      <c r="T32" s="667" t="s">
        <v>14</v>
      </c>
      <c r="U32" s="668">
        <f t="shared" si="13"/>
        <v>100</v>
      </c>
      <c r="V32" s="667" t="s">
        <v>14</v>
      </c>
      <c r="W32" s="668">
        <f t="shared" si="14"/>
        <v>100</v>
      </c>
      <c r="X32" s="1263"/>
      <c r="Y32" s="3402"/>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02"/>
      <c r="Q33" s="1261" t="str">
        <f t="shared" si="11"/>
        <v>成新度</v>
      </c>
      <c r="R33" s="667" t="s">
        <v>14</v>
      </c>
      <c r="S33" s="668" t="e">
        <f t="shared" si="12"/>
        <v>#N/A</v>
      </c>
      <c r="T33" s="667" t="s">
        <v>14</v>
      </c>
      <c r="U33" s="668" t="e">
        <f t="shared" si="13"/>
        <v>#N/A</v>
      </c>
      <c r="V33" s="667" t="s">
        <v>14</v>
      </c>
      <c r="W33" s="668" t="e">
        <f t="shared" si="14"/>
        <v>#N/A</v>
      </c>
      <c r="X33" s="1263"/>
      <c r="Y33" s="3402"/>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02" t="s">
        <v>1696</v>
      </c>
      <c r="Q35" s="1261" t="str">
        <f t="shared" si="11"/>
        <v>市政基础设施</v>
      </c>
      <c r="R35" s="667" t="s">
        <v>14</v>
      </c>
      <c r="S35" s="668">
        <f t="shared" si="12"/>
        <v>100</v>
      </c>
      <c r="T35" s="667" t="s">
        <v>14</v>
      </c>
      <c r="U35" s="668">
        <f t="shared" si="13"/>
        <v>100</v>
      </c>
      <c r="V35" s="667" t="s">
        <v>14</v>
      </c>
      <c r="W35" s="668">
        <f t="shared" si="14"/>
        <v>100</v>
      </c>
      <c r="X35" s="1263"/>
      <c r="Y35" s="3402"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02"/>
      <c r="Q36" s="1261" t="str">
        <f t="shared" si="11"/>
        <v>内部装修</v>
      </c>
      <c r="R36" s="667" t="s">
        <v>14</v>
      </c>
      <c r="S36" s="668">
        <f t="shared" si="12"/>
        <v>100</v>
      </c>
      <c r="T36" s="667" t="s">
        <v>14</v>
      </c>
      <c r="U36" s="668">
        <f t="shared" si="13"/>
        <v>100</v>
      </c>
      <c r="V36" s="667" t="s">
        <v>14</v>
      </c>
      <c r="W36" s="668">
        <f t="shared" si="14"/>
        <v>100</v>
      </c>
      <c r="X36" s="1263"/>
      <c r="Y36" s="3402"/>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02"/>
      <c r="Q37" s="1261" t="str">
        <f t="shared" si="11"/>
        <v>内部装修状况</v>
      </c>
      <c r="R37" s="667" t="s">
        <v>14</v>
      </c>
      <c r="S37" s="668">
        <f t="shared" si="12"/>
        <v>100</v>
      </c>
      <c r="T37" s="667" t="s">
        <v>14</v>
      </c>
      <c r="U37" s="668">
        <f t="shared" si="13"/>
        <v>100</v>
      </c>
      <c r="V37" s="667" t="s">
        <v>14</v>
      </c>
      <c r="W37" s="668">
        <f t="shared" si="14"/>
        <v>100</v>
      </c>
      <c r="X37" s="1263"/>
      <c r="Y37" s="3402"/>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02"/>
      <c r="Q39" s="1261">
        <f t="shared" si="11"/>
        <v>111</v>
      </c>
      <c r="R39" s="667" t="s">
        <v>14</v>
      </c>
      <c r="S39" s="668">
        <f t="shared" si="12"/>
        <v>100</v>
      </c>
      <c r="T39" s="667" t="s">
        <v>14</v>
      </c>
      <c r="U39" s="668">
        <f t="shared" si="13"/>
        <v>100</v>
      </c>
      <c r="V39" s="667" t="s">
        <v>14</v>
      </c>
      <c r="W39" s="668">
        <f t="shared" si="14"/>
        <v>100</v>
      </c>
      <c r="X39" s="1263"/>
      <c r="Y39" s="3402"/>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03"/>
      <c r="Q40" s="1261">
        <f t="shared" si="11"/>
        <v>111</v>
      </c>
      <c r="R40" s="667" t="s">
        <v>14</v>
      </c>
      <c r="S40" s="668">
        <f t="shared" si="12"/>
        <v>100</v>
      </c>
      <c r="T40" s="667" t="s">
        <v>14</v>
      </c>
      <c r="U40" s="668">
        <f t="shared" si="13"/>
        <v>100</v>
      </c>
      <c r="V40" s="667" t="s">
        <v>14</v>
      </c>
      <c r="W40" s="668">
        <f t="shared" si="14"/>
        <v>100</v>
      </c>
      <c r="X40" s="1263"/>
      <c r="Y40" s="3403"/>
      <c r="Z40" s="1262">
        <f t="shared" si="15"/>
        <v>111</v>
      </c>
      <c r="AA40" s="1262">
        <f t="shared" si="3"/>
        <v>1</v>
      </c>
      <c r="AB40" s="1262">
        <f t="shared" si="4"/>
        <v>1</v>
      </c>
      <c r="AC40" s="1262">
        <f t="shared" si="5"/>
        <v>1</v>
      </c>
    </row>
    <row r="41" spans="1:29" ht="15">
      <c r="A41" s="416" t="s">
        <v>1708</v>
      </c>
      <c r="B41" s="417"/>
      <c r="C41" s="1079" t="s">
        <v>0</v>
      </c>
      <c r="D41" s="418"/>
      <c r="E41" s="419"/>
      <c r="F41" s="420"/>
      <c r="G41" s="421"/>
      <c r="H41" s="422"/>
      <c r="I41" s="419"/>
      <c r="J41" s="422"/>
      <c r="K41" s="674"/>
      <c r="L41" s="871"/>
      <c r="M41" s="859"/>
      <c r="N41" s="859"/>
      <c r="O41" s="859"/>
      <c r="P41" s="3395" t="str">
        <f>A41</f>
        <v>成交单价（元/平方米）</v>
      </c>
      <c r="Q41" s="3395"/>
      <c r="R41" s="3396">
        <f>E41</f>
        <v>0</v>
      </c>
      <c r="S41" s="3396"/>
      <c r="T41" s="3396">
        <f>G41</f>
        <v>0</v>
      </c>
      <c r="U41" s="3396"/>
      <c r="V41" s="3396">
        <f>I41</f>
        <v>0</v>
      </c>
      <c r="W41" s="3396"/>
      <c r="X41" s="385"/>
      <c r="Y41" s="673"/>
      <c r="Z41" s="385"/>
      <c r="AA41" s="385"/>
      <c r="AB41" s="385"/>
      <c r="AC41" s="385"/>
    </row>
    <row r="42" spans="1:29" ht="15.75" thickBot="1">
      <c r="A42" s="423" t="s">
        <v>1793</v>
      </c>
      <c r="B42" s="424"/>
      <c r="C42" s="1080" t="e">
        <f>R43</f>
        <v>#DIV/0!</v>
      </c>
      <c r="D42" s="2139" t="s">
        <v>2138</v>
      </c>
      <c r="E42" s="1081" t="e">
        <f>R42</f>
        <v>#DIV/0!</v>
      </c>
      <c r="F42" s="2140"/>
      <c r="G42" s="1080" t="e">
        <f>T42</f>
        <v>#DIV/0!</v>
      </c>
      <c r="H42" s="2140"/>
      <c r="I42" s="1081" t="e">
        <f>V42</f>
        <v>#DIV/0!</v>
      </c>
      <c r="J42" s="2140"/>
      <c r="K42" s="2142">
        <f>F42+H42+J42</f>
        <v>0</v>
      </c>
      <c r="L42" s="871"/>
      <c r="M42" s="859"/>
      <c r="N42" s="859"/>
      <c r="O42" s="859"/>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1"/>
      <c r="M43" s="859"/>
      <c r="N43" s="859"/>
      <c r="O43" s="859"/>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4"/>
      <c r="M46" s="859"/>
      <c r="N46" s="859"/>
      <c r="O46" s="859"/>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4"/>
      <c r="M47" s="859"/>
      <c r="N47" s="859"/>
      <c r="O47" s="859"/>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4"/>
      <c r="M48" s="872"/>
      <c r="N48" s="872"/>
      <c r="O48" s="872"/>
    </row>
    <row r="49" spans="1:17" s="437"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8" t="s">
        <v>1798</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1" t="str">
        <f>YEAR(C7)&amp;"-"&amp;MONTH(C7)</f>
        <v>2025-8</v>
      </c>
      <c r="D52" s="1102">
        <f>EDATE(C52,-1)</f>
        <v>45839</v>
      </c>
      <c r="E52" s="1102">
        <f t="shared" ref="E52:O52" si="16">EDATE(D52,-1)</f>
        <v>45809</v>
      </c>
      <c r="F52" s="1102">
        <f t="shared" si="16"/>
        <v>45778</v>
      </c>
      <c r="G52" s="1102">
        <f t="shared" si="16"/>
        <v>45748</v>
      </c>
      <c r="H52" s="1102">
        <f t="shared" si="16"/>
        <v>45717</v>
      </c>
      <c r="I52" s="1102">
        <f t="shared" si="16"/>
        <v>45689</v>
      </c>
      <c r="J52" s="1102">
        <f t="shared" si="16"/>
        <v>45658</v>
      </c>
      <c r="K52" s="1102">
        <f t="shared" si="16"/>
        <v>45627</v>
      </c>
      <c r="L52" s="1102">
        <f t="shared" si="16"/>
        <v>45597</v>
      </c>
      <c r="M52" s="1102">
        <f t="shared" si="16"/>
        <v>45566</v>
      </c>
      <c r="N52" s="1102">
        <f t="shared" si="16"/>
        <v>45536</v>
      </c>
      <c r="O52" s="1102">
        <f t="shared" si="16"/>
        <v>45505</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3">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3330</v>
      </c>
      <c r="C1" s="1139" t="s">
        <v>1662</v>
      </c>
      <c r="D1" s="1140"/>
      <c r="E1" s="3129"/>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1"/>
      <c r="M2" s="2502"/>
      <c r="N2" s="2502"/>
      <c r="O2" s="2502"/>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14" t="s">
        <v>1775</v>
      </c>
      <c r="Q4" s="3415"/>
      <c r="R4" s="3420" t="s">
        <v>1771</v>
      </c>
      <c r="S4" s="3421"/>
      <c r="T4" s="3420" t="s">
        <v>1772</v>
      </c>
      <c r="U4" s="3421"/>
      <c r="V4" s="3396" t="s">
        <v>1773</v>
      </c>
      <c r="W4" s="3396"/>
      <c r="X4" s="1263"/>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4"/>
      <c r="M5" s="2485"/>
      <c r="N5" s="2485"/>
      <c r="O5" s="2485"/>
      <c r="P5" s="3416"/>
      <c r="Q5" s="3417"/>
      <c r="R5" s="3422"/>
      <c r="S5" s="3423"/>
      <c r="T5" s="3422"/>
      <c r="U5" s="3423"/>
      <c r="V5" s="3396"/>
      <c r="W5" s="3396"/>
      <c r="X5" s="1263"/>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4"/>
      <c r="M6" s="2485"/>
      <c r="N6" s="2485"/>
      <c r="O6" s="2485"/>
      <c r="P6" s="3418"/>
      <c r="Q6" s="3419"/>
      <c r="R6" s="3422"/>
      <c r="S6" s="3423"/>
      <c r="T6" s="3424"/>
      <c r="U6" s="3425"/>
      <c r="V6" s="3396"/>
      <c r="W6" s="3396"/>
      <c r="X6" s="1263"/>
      <c r="Y6" s="3424"/>
      <c r="Z6" s="3425"/>
      <c r="AA6" s="3409"/>
      <c r="AB6" s="3409"/>
      <c r="AC6" s="3409"/>
    </row>
    <row r="7" spans="1:29" s="102" customFormat="1" ht="15.75" thickBot="1">
      <c r="A7" s="352" t="s">
        <v>1679</v>
      </c>
      <c r="B7" s="353"/>
      <c r="C7" s="354">
        <f>'数据-取费表'!B2</f>
        <v>45884</v>
      </c>
      <c r="D7" s="355">
        <v>100</v>
      </c>
      <c r="E7" s="356"/>
      <c r="F7" s="357">
        <f>SUMIF(48:48,YEAR(E7)&amp;"-"&amp;MONTH(E7),49:49)</f>
        <v>0</v>
      </c>
      <c r="G7" s="356"/>
      <c r="H7" s="355">
        <f>SUMIF(48:48,YEAR(G7)&amp;"-"&amp;MONTH(G7),49:49)</f>
        <v>0</v>
      </c>
      <c r="I7" s="356"/>
      <c r="J7" s="355">
        <f>SUMIF(48:48,YEAR(I7)&amp;"-"&amp;MONTH(I7),49:49)</f>
        <v>0</v>
      </c>
      <c r="K7" s="38"/>
      <c r="L7" s="2486"/>
      <c r="M7" s="2437"/>
      <c r="N7" s="2437"/>
      <c r="O7" s="2437"/>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30" t="s">
        <v>1683</v>
      </c>
      <c r="Q8" s="3431"/>
      <c r="R8" s="664" t="s">
        <v>14</v>
      </c>
      <c r="S8" s="665">
        <f t="shared" si="0"/>
        <v>100</v>
      </c>
      <c r="T8" s="664" t="s">
        <v>14</v>
      </c>
      <c r="U8" s="665">
        <f t="shared" si="1"/>
        <v>100</v>
      </c>
      <c r="V8" s="664" t="s">
        <v>14</v>
      </c>
      <c r="W8" s="665">
        <f t="shared" si="2"/>
        <v>100</v>
      </c>
      <c r="X8" s="666"/>
      <c r="Y8" s="3430" t="s">
        <v>1683</v>
      </c>
      <c r="Z8" s="343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95"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95"/>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95"/>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95"/>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95"/>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14">
      <c r="A14" s="345" t="s">
        <v>1690</v>
      </c>
      <c r="B14" s="554" t="s">
        <v>1833</v>
      </c>
      <c r="C14" s="1817" t="str">
        <f>IF(B1="工业",估价对象房地状况!G4,估价对象房地状况!C6)</f>
        <v>估价对象周边有316路、342路、582路、587路等多条公交线路及地铁6号线通州北关站，综合评价交通便捷度较好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7" t="s">
        <v>1691</v>
      </c>
      <c r="Q14" s="1261" t="str">
        <f t="shared" si="6"/>
        <v>交通便捷度</v>
      </c>
      <c r="R14" s="667" t="s">
        <v>14</v>
      </c>
      <c r="S14" s="668">
        <f t="shared" si="0"/>
        <v>100</v>
      </c>
      <c r="T14" s="667" t="s">
        <v>14</v>
      </c>
      <c r="U14" s="668">
        <f t="shared" si="1"/>
        <v>100</v>
      </c>
      <c r="V14" s="667" t="s">
        <v>14</v>
      </c>
      <c r="W14" s="668">
        <f t="shared" si="2"/>
        <v>100</v>
      </c>
      <c r="X14" s="1263"/>
      <c r="Y14" s="3397"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0"/>
      <c r="M15" s="2485"/>
      <c r="N15" s="2485"/>
      <c r="O15" s="2485"/>
      <c r="P15" s="3398"/>
      <c r="Q15" s="1261"/>
      <c r="R15" s="667"/>
      <c r="S15" s="668"/>
      <c r="T15" s="667"/>
      <c r="U15" s="668"/>
      <c r="V15" s="667"/>
      <c r="W15" s="668"/>
      <c r="X15" s="1263"/>
      <c r="Y15" s="3398"/>
      <c r="Z15" s="1262"/>
      <c r="AA15" s="1262">
        <v>1</v>
      </c>
      <c r="AB15" s="1262">
        <v>1</v>
      </c>
      <c r="AC15" s="1262">
        <v>1</v>
      </c>
    </row>
    <row r="16" spans="1:29" ht="370.5">
      <c r="A16" s="348"/>
      <c r="B16" s="556" t="s">
        <v>1812</v>
      </c>
      <c r="C16" s="1752" t="str">
        <f>IF(B1="工业",估价对象房地状况!G5,估价对象房地状况!C7)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8"/>
      <c r="Q16" s="1261" t="str">
        <f>B16</f>
        <v>公共配套设施</v>
      </c>
      <c r="R16" s="667" t="s">
        <v>14</v>
      </c>
      <c r="S16" s="668">
        <f>F16</f>
        <v>100</v>
      </c>
      <c r="T16" s="667" t="s">
        <v>14</v>
      </c>
      <c r="U16" s="668">
        <f>H16</f>
        <v>100</v>
      </c>
      <c r="V16" s="667" t="s">
        <v>14</v>
      </c>
      <c r="W16" s="668">
        <f>J16</f>
        <v>100</v>
      </c>
      <c r="X16" s="1263"/>
      <c r="Y16" s="3398"/>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0"/>
      <c r="M17" s="2485"/>
      <c r="N17" s="2485"/>
      <c r="O17" s="2485"/>
      <c r="P17" s="3398"/>
      <c r="Q17" s="1261"/>
      <c r="R17" s="667"/>
      <c r="S17" s="668"/>
      <c r="T17" s="667"/>
      <c r="U17" s="668"/>
      <c r="V17" s="667"/>
      <c r="W17" s="668"/>
      <c r="X17" s="1263"/>
      <c r="Y17" s="3398"/>
      <c r="Z17" s="1262"/>
      <c r="AA17" s="1262">
        <v>1</v>
      </c>
      <c r="AB17" s="1262">
        <v>1</v>
      </c>
      <c r="AC17" s="1262">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8"/>
      <c r="Q18" s="1261" t="str">
        <f>B18</f>
        <v>基础设施水平</v>
      </c>
      <c r="R18" s="667" t="s">
        <v>14</v>
      </c>
      <c r="S18" s="668">
        <f>F18</f>
        <v>100</v>
      </c>
      <c r="T18" s="667" t="s">
        <v>14</v>
      </c>
      <c r="U18" s="668">
        <f>H18</f>
        <v>100</v>
      </c>
      <c r="V18" s="667" t="s">
        <v>14</v>
      </c>
      <c r="W18" s="668">
        <f>J18</f>
        <v>100</v>
      </c>
      <c r="X18" s="1263"/>
      <c r="Y18" s="3398"/>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90"/>
      <c r="M19" s="2485"/>
      <c r="N19" s="2485"/>
      <c r="O19" s="2485"/>
      <c r="P19" s="3398"/>
      <c r="Q19" s="1261"/>
      <c r="R19" s="667"/>
      <c r="S19" s="668"/>
      <c r="T19" s="667"/>
      <c r="U19" s="668"/>
      <c r="V19" s="667"/>
      <c r="W19" s="668"/>
      <c r="X19" s="1263"/>
      <c r="Y19" s="3398"/>
      <c r="Z19" s="1262"/>
      <c r="AA19" s="1262">
        <v>1</v>
      </c>
      <c r="AB19" s="1262">
        <v>1</v>
      </c>
      <c r="AC19" s="1262">
        <v>1</v>
      </c>
    </row>
    <row r="20" spans="1:29" ht="114">
      <c r="A20" s="348"/>
      <c r="B20" s="556" t="s">
        <v>1834</v>
      </c>
      <c r="C20" s="1752" t="str">
        <f>IF(B1="工业",估价对象房地状况!G7,估价对象房地状况!C9)</f>
        <v>估价对象周边有北关清真寺、三教庙等人文景观，西海子公园、北运河水系等自然景观，综合评价环境状况较好。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8"/>
      <c r="Q20" s="1261" t="str">
        <f>B20</f>
        <v>自然及人文环境</v>
      </c>
      <c r="R20" s="667" t="s">
        <v>14</v>
      </c>
      <c r="S20" s="668">
        <f>F20</f>
        <v>100</v>
      </c>
      <c r="T20" s="667" t="s">
        <v>14</v>
      </c>
      <c r="U20" s="668">
        <f>H20</f>
        <v>100</v>
      </c>
      <c r="V20" s="667" t="s">
        <v>14</v>
      </c>
      <c r="W20" s="668">
        <f>J20</f>
        <v>100</v>
      </c>
      <c r="X20" s="1263"/>
      <c r="Y20" s="3398"/>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0"/>
      <c r="M21" s="2485"/>
      <c r="N21" s="2485"/>
      <c r="O21" s="2485"/>
      <c r="P21" s="3398"/>
      <c r="Q21" s="1261"/>
      <c r="R21" s="667"/>
      <c r="S21" s="668"/>
      <c r="T21" s="667"/>
      <c r="U21" s="668"/>
      <c r="V21" s="667"/>
      <c r="W21" s="668"/>
      <c r="X21" s="1263"/>
      <c r="Y21" s="3398"/>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8"/>
      <c r="Q22" s="1261" t="str">
        <f>B22</f>
        <v>楼层</v>
      </c>
      <c r="R22" s="667" t="s">
        <v>14</v>
      </c>
      <c r="S22" s="668">
        <f>F22</f>
        <v>100</v>
      </c>
      <c r="T22" s="667" t="s">
        <v>14</v>
      </c>
      <c r="U22" s="668">
        <f>H22</f>
        <v>100</v>
      </c>
      <c r="V22" s="667" t="s">
        <v>14</v>
      </c>
      <c r="W22" s="668">
        <f>J22</f>
        <v>100</v>
      </c>
      <c r="X22" s="1263"/>
      <c r="Y22" s="3398"/>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8"/>
      <c r="Q23" s="1261">
        <f>B23</f>
        <v>111</v>
      </c>
      <c r="R23" s="667" t="s">
        <v>14</v>
      </c>
      <c r="S23" s="668">
        <f>F23</f>
        <v>100</v>
      </c>
      <c r="T23" s="667" t="s">
        <v>14</v>
      </c>
      <c r="U23" s="668">
        <f>H23</f>
        <v>100</v>
      </c>
      <c r="V23" s="667" t="s">
        <v>14</v>
      </c>
      <c r="W23" s="668">
        <f>J23</f>
        <v>100</v>
      </c>
      <c r="X23" s="1263"/>
      <c r="Y23" s="3398"/>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8"/>
      <c r="Q24" s="1261">
        <f t="shared" ref="Q24:Q36" si="11">B24</f>
        <v>111</v>
      </c>
      <c r="R24" s="667" t="s">
        <v>14</v>
      </c>
      <c r="S24" s="668">
        <f>F24</f>
        <v>100</v>
      </c>
      <c r="T24" s="667" t="s">
        <v>14</v>
      </c>
      <c r="U24" s="668">
        <f>H24</f>
        <v>100</v>
      </c>
      <c r="V24" s="667" t="s">
        <v>14</v>
      </c>
      <c r="W24" s="668">
        <f>J24</f>
        <v>100</v>
      </c>
      <c r="X24" s="1263"/>
      <c r="Y24" s="3398"/>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98"/>
      <c r="Q25" s="530">
        <f t="shared" si="11"/>
        <v>111</v>
      </c>
      <c r="R25" s="664" t="s">
        <v>14</v>
      </c>
      <c r="S25" s="665">
        <f>F25</f>
        <v>100</v>
      </c>
      <c r="T25" s="664" t="s">
        <v>14</v>
      </c>
      <c r="U25" s="665">
        <f>H25</f>
        <v>100</v>
      </c>
      <c r="V25" s="664" t="s">
        <v>14</v>
      </c>
      <c r="W25" s="665">
        <f>J25</f>
        <v>100</v>
      </c>
      <c r="X25" s="666"/>
      <c r="Y25" s="3398"/>
      <c r="Z25" s="50">
        <f>Q25</f>
        <v>111</v>
      </c>
      <c r="AA25" s="1262">
        <f>D25/F25</f>
        <v>1</v>
      </c>
      <c r="AB25" s="1262">
        <f>D25/H25</f>
        <v>1</v>
      </c>
      <c r="AC25" s="1262">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2"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02"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2"/>
      <c r="Q28" s="1261" t="str">
        <f t="shared" si="11"/>
        <v>公共部分装修</v>
      </c>
      <c r="R28" s="667" t="s">
        <v>14</v>
      </c>
      <c r="S28" s="668">
        <f t="shared" si="12"/>
        <v>100</v>
      </c>
      <c r="T28" s="667" t="s">
        <v>14</v>
      </c>
      <c r="U28" s="668">
        <f t="shared" si="13"/>
        <v>100</v>
      </c>
      <c r="V28" s="667" t="s">
        <v>14</v>
      </c>
      <c r="W28" s="668">
        <f t="shared" si="14"/>
        <v>100</v>
      </c>
      <c r="X28" s="1263"/>
      <c r="Y28" s="3402"/>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2"/>
      <c r="Q29" s="1261" t="str">
        <f t="shared" si="11"/>
        <v>成新率</v>
      </c>
      <c r="R29" s="667" t="s">
        <v>14</v>
      </c>
      <c r="S29" s="668" t="e">
        <f t="shared" si="12"/>
        <v>#N/A</v>
      </c>
      <c r="T29" s="667" t="s">
        <v>14</v>
      </c>
      <c r="U29" s="668" t="e">
        <f t="shared" si="13"/>
        <v>#N/A</v>
      </c>
      <c r="V29" s="667" t="s">
        <v>14</v>
      </c>
      <c r="W29" s="668" t="e">
        <f t="shared" si="14"/>
        <v>#N/A</v>
      </c>
      <c r="X29" s="1263"/>
      <c r="Y29" s="3402"/>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2"/>
      <c r="Q30" s="1261" t="str">
        <f t="shared" si="11"/>
        <v>物业等级</v>
      </c>
      <c r="R30" s="667" t="s">
        <v>14</v>
      </c>
      <c r="S30" s="668">
        <f t="shared" si="12"/>
        <v>100</v>
      </c>
      <c r="T30" s="667" t="s">
        <v>14</v>
      </c>
      <c r="U30" s="668">
        <f t="shared" si="13"/>
        <v>100</v>
      </c>
      <c r="V30" s="667" t="s">
        <v>14</v>
      </c>
      <c r="W30" s="668">
        <f t="shared" si="14"/>
        <v>100</v>
      </c>
      <c r="X30" s="1263"/>
      <c r="Y30" s="3402"/>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02"/>
      <c r="Q31" s="530" t="str">
        <f t="shared" si="11"/>
        <v>停车位面积</v>
      </c>
      <c r="R31" s="664" t="s">
        <v>14</v>
      </c>
      <c r="S31" s="665" t="e">
        <f t="shared" si="12"/>
        <v>#N/A</v>
      </c>
      <c r="T31" s="664" t="s">
        <v>14</v>
      </c>
      <c r="U31" s="665" t="e">
        <f t="shared" si="13"/>
        <v>#N/A</v>
      </c>
      <c r="V31" s="664" t="s">
        <v>14</v>
      </c>
      <c r="W31" s="665" t="e">
        <f t="shared" si="14"/>
        <v>#N/A</v>
      </c>
      <c r="X31" s="666"/>
      <c r="Y31" s="340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2" t="s">
        <v>1696</v>
      </c>
      <c r="Q32" s="1261" t="str">
        <f t="shared" si="11"/>
        <v>车位类型</v>
      </c>
      <c r="R32" s="667" t="s">
        <v>14</v>
      </c>
      <c r="S32" s="668">
        <f t="shared" si="12"/>
        <v>100</v>
      </c>
      <c r="T32" s="667" t="s">
        <v>14</v>
      </c>
      <c r="U32" s="668">
        <f t="shared" si="13"/>
        <v>100</v>
      </c>
      <c r="V32" s="667" t="s">
        <v>14</v>
      </c>
      <c r="W32" s="668">
        <f t="shared" si="14"/>
        <v>100</v>
      </c>
      <c r="X32" s="1263"/>
      <c r="Y32" s="3402"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2"/>
      <c r="Q33" s="1261" t="str">
        <f t="shared" si="11"/>
        <v>是否直接入户</v>
      </c>
      <c r="R33" s="667" t="s">
        <v>14</v>
      </c>
      <c r="S33" s="668">
        <f t="shared" si="12"/>
        <v>100</v>
      </c>
      <c r="T33" s="667" t="s">
        <v>14</v>
      </c>
      <c r="U33" s="668">
        <f t="shared" si="13"/>
        <v>100</v>
      </c>
      <c r="V33" s="667" t="s">
        <v>14</v>
      </c>
      <c r="W33" s="668">
        <f t="shared" si="14"/>
        <v>100</v>
      </c>
      <c r="X33" s="1263"/>
      <c r="Y33" s="3402"/>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2"/>
      <c r="Q34" s="1261">
        <f t="shared" si="11"/>
        <v>111</v>
      </c>
      <c r="R34" s="667" t="s">
        <v>14</v>
      </c>
      <c r="S34" s="668">
        <f t="shared" si="12"/>
        <v>100</v>
      </c>
      <c r="T34" s="667" t="s">
        <v>14</v>
      </c>
      <c r="U34" s="668">
        <f t="shared" si="13"/>
        <v>100</v>
      </c>
      <c r="V34" s="667" t="s">
        <v>14</v>
      </c>
      <c r="W34" s="668">
        <f t="shared" si="14"/>
        <v>100</v>
      </c>
      <c r="X34" s="1263"/>
      <c r="Y34" s="3402"/>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2"/>
      <c r="Q36" s="1261">
        <f t="shared" si="11"/>
        <v>111</v>
      </c>
      <c r="R36" s="667" t="s">
        <v>14</v>
      </c>
      <c r="S36" s="668">
        <f t="shared" si="12"/>
        <v>100</v>
      </c>
      <c r="T36" s="667" t="s">
        <v>14</v>
      </c>
      <c r="U36" s="668">
        <f t="shared" si="13"/>
        <v>100</v>
      </c>
      <c r="V36" s="667" t="s">
        <v>14</v>
      </c>
      <c r="W36" s="668">
        <f t="shared" si="14"/>
        <v>100</v>
      </c>
      <c r="X36" s="1263"/>
      <c r="Y36" s="3402"/>
      <c r="Z36" s="1262">
        <f t="shared" si="15"/>
        <v>111</v>
      </c>
      <c r="AA36" s="1262">
        <f t="shared" si="3"/>
        <v>1</v>
      </c>
      <c r="AB36" s="1262">
        <f t="shared" si="4"/>
        <v>1</v>
      </c>
      <c r="AC36" s="1262">
        <f t="shared" si="5"/>
        <v>1</v>
      </c>
    </row>
    <row r="37" spans="1:29" ht="15">
      <c r="A37" s="416" t="s">
        <v>1844</v>
      </c>
      <c r="B37" s="1819" t="s">
        <v>3351</v>
      </c>
      <c r="C37" s="1079" t="s">
        <v>0</v>
      </c>
      <c r="D37" s="418"/>
      <c r="E37" s="419"/>
      <c r="F37" s="420"/>
      <c r="G37" s="421"/>
      <c r="H37" s="422"/>
      <c r="I37" s="419"/>
      <c r="J37" s="422"/>
      <c r="K37" s="545"/>
      <c r="L37" s="2492"/>
      <c r="M37" s="2485"/>
      <c r="N37" s="2485"/>
      <c r="O37" s="2485"/>
      <c r="P37" s="3395" t="str">
        <f>A37</f>
        <v>成交单价</v>
      </c>
      <c r="Q37" s="3395"/>
      <c r="R37" s="3396">
        <f>E37</f>
        <v>0</v>
      </c>
      <c r="S37" s="3396"/>
      <c r="T37" s="3396">
        <f>G37</f>
        <v>0</v>
      </c>
      <c r="U37" s="3396"/>
      <c r="V37" s="3396">
        <f>I37</f>
        <v>0</v>
      </c>
      <c r="W37" s="3396"/>
      <c r="X37" s="385"/>
      <c r="Y37" s="673"/>
      <c r="Z37" s="385"/>
      <c r="AA37" s="385"/>
      <c r="AB37" s="385"/>
      <c r="AC37" s="385"/>
    </row>
    <row r="38" spans="1:29" ht="15.75" thickBot="1">
      <c r="A38" s="423" t="s">
        <v>1845</v>
      </c>
      <c r="B38" s="424" t="str">
        <f>B37</f>
        <v>元/平方米</v>
      </c>
      <c r="C38" s="1080" t="e">
        <f>R39</f>
        <v>#DIV/0!</v>
      </c>
      <c r="D38" s="2139" t="s">
        <v>2138</v>
      </c>
      <c r="E38" s="1081" t="e">
        <f>R38</f>
        <v>#DIV/0!</v>
      </c>
      <c r="F38" s="2140"/>
      <c r="G38" s="1080" t="e">
        <f>T38</f>
        <v>#DIV/0!</v>
      </c>
      <c r="H38" s="2140"/>
      <c r="I38" s="1081" t="e">
        <f>V38</f>
        <v>#DIV/0!</v>
      </c>
      <c r="J38" s="2140"/>
      <c r="K38" s="2142">
        <f>F38+H38+J38</f>
        <v>0</v>
      </c>
      <c r="L38" s="2492"/>
      <c r="M38" s="2485"/>
      <c r="N38" s="2485"/>
      <c r="O38" s="2485"/>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92" t="str">
        <f>A39</f>
        <v>估价对象XX用房的比较价值（楼面单价，元/平方米）</v>
      </c>
      <c r="Q39" s="3393"/>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1850</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1" t="str">
        <f>YEAR(C7)&amp;"-"&amp;MONTH(C7)</f>
        <v>2025-8</v>
      </c>
      <c r="D48" s="1102">
        <f>EDATE(C48,-1)</f>
        <v>45839</v>
      </c>
      <c r="E48" s="1102">
        <f t="shared" ref="E48:O48" si="16">EDATE(D48,-1)</f>
        <v>45809</v>
      </c>
      <c r="F48" s="1102">
        <f t="shared" si="16"/>
        <v>45778</v>
      </c>
      <c r="G48" s="1102">
        <f t="shared" si="16"/>
        <v>45748</v>
      </c>
      <c r="H48" s="1102">
        <f t="shared" si="16"/>
        <v>45717</v>
      </c>
      <c r="I48" s="1102">
        <f t="shared" si="16"/>
        <v>45689</v>
      </c>
      <c r="J48" s="1102">
        <f t="shared" si="16"/>
        <v>45658</v>
      </c>
      <c r="K48" s="1102">
        <f t="shared" si="16"/>
        <v>45627</v>
      </c>
      <c r="L48" s="1102">
        <f t="shared" si="16"/>
        <v>45597</v>
      </c>
      <c r="M48" s="1102">
        <f t="shared" si="16"/>
        <v>45566</v>
      </c>
      <c r="N48" s="1102">
        <f t="shared" si="16"/>
        <v>45536</v>
      </c>
      <c r="O48" s="1102">
        <f t="shared" si="16"/>
        <v>45505</v>
      </c>
      <c r="P48" s="2525"/>
      <c r="Q48" s="2508"/>
      <c r="R48" s="2508"/>
      <c r="S48" s="2508"/>
      <c r="T48" s="2508"/>
      <c r="U48" s="2508"/>
      <c r="V48" s="2508"/>
      <c r="W48" s="2508"/>
      <c r="X48" s="2508"/>
      <c r="Y48" s="2508"/>
      <c r="Z48" s="2508"/>
      <c r="AA48" s="2508"/>
      <c r="AB48" s="2508"/>
      <c r="AC48" s="2508"/>
    </row>
    <row r="49" spans="1:29" s="102" customFormat="1" ht="15">
      <c r="A49" s="443"/>
      <c r="B49" s="444"/>
      <c r="C49" s="1095">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1"/>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3331</v>
      </c>
      <c r="C1" s="1139" t="s">
        <v>1662</v>
      </c>
      <c r="D1" s="1140"/>
      <c r="E1" s="3129"/>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14" t="s">
        <v>1775</v>
      </c>
      <c r="Q4" s="3415"/>
      <c r="R4" s="3420" t="s">
        <v>1771</v>
      </c>
      <c r="S4" s="3421"/>
      <c r="T4" s="3420" t="s">
        <v>1772</v>
      </c>
      <c r="U4" s="3421"/>
      <c r="V4" s="3396" t="s">
        <v>1773</v>
      </c>
      <c r="W4" s="3396"/>
      <c r="X4" s="1263"/>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4"/>
      <c r="M5" s="2485"/>
      <c r="N5" s="2485"/>
      <c r="O5" s="2485"/>
      <c r="P5" s="3416"/>
      <c r="Q5" s="3417"/>
      <c r="R5" s="3422"/>
      <c r="S5" s="3423"/>
      <c r="T5" s="3422"/>
      <c r="U5" s="3423"/>
      <c r="V5" s="3396"/>
      <c r="W5" s="3396"/>
      <c r="X5" s="1263"/>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4"/>
      <c r="M6" s="2485"/>
      <c r="N6" s="2485"/>
      <c r="O6" s="2485"/>
      <c r="P6" s="3418"/>
      <c r="Q6" s="3419"/>
      <c r="R6" s="3422"/>
      <c r="S6" s="3423"/>
      <c r="T6" s="3424"/>
      <c r="U6" s="3425"/>
      <c r="V6" s="3396"/>
      <c r="W6" s="3396"/>
      <c r="X6" s="1263"/>
      <c r="Y6" s="3424"/>
      <c r="Z6" s="3425"/>
      <c r="AA6" s="3409"/>
      <c r="AB6" s="3409"/>
      <c r="AC6" s="3409"/>
    </row>
    <row r="7" spans="1:29" s="102" customFormat="1" ht="15.75" thickBot="1">
      <c r="A7" s="352" t="s">
        <v>1679</v>
      </c>
      <c r="B7" s="353"/>
      <c r="C7" s="354">
        <f>'数据-取费表'!B2</f>
        <v>45884</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30" t="s">
        <v>1683</v>
      </c>
      <c r="Q8" s="3431"/>
      <c r="R8" s="664" t="s">
        <v>14</v>
      </c>
      <c r="S8" s="665">
        <f t="shared" si="0"/>
        <v>100</v>
      </c>
      <c r="T8" s="664" t="s">
        <v>14</v>
      </c>
      <c r="U8" s="665">
        <f t="shared" si="1"/>
        <v>100</v>
      </c>
      <c r="V8" s="664" t="s">
        <v>14</v>
      </c>
      <c r="W8" s="665">
        <f t="shared" si="2"/>
        <v>100</v>
      </c>
      <c r="X8" s="666"/>
      <c r="Y8" s="3430" t="s">
        <v>1683</v>
      </c>
      <c r="Z8" s="343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95"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95"/>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95"/>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95"/>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95"/>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14">
      <c r="A14" s="379" t="s">
        <v>1690</v>
      </c>
      <c r="B14" s="58" t="s">
        <v>1833</v>
      </c>
      <c r="C14" s="1817" t="str">
        <f>IF(B1="工业",估价对象房地状况!G4,估价对象房地状况!C6)</f>
        <v>估价对象周边有316路、342路、582路、587路等多条公交线路及地铁6号线通州北关站，综合评价交通便捷度较好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7" t="s">
        <v>1691</v>
      </c>
      <c r="Q14" s="1261" t="str">
        <f t="shared" si="6"/>
        <v>交通便捷度</v>
      </c>
      <c r="R14" s="667" t="s">
        <v>14</v>
      </c>
      <c r="S14" s="668">
        <f t="shared" si="0"/>
        <v>100</v>
      </c>
      <c r="T14" s="667" t="s">
        <v>14</v>
      </c>
      <c r="U14" s="668">
        <f t="shared" si="1"/>
        <v>100</v>
      </c>
      <c r="V14" s="667" t="s">
        <v>14</v>
      </c>
      <c r="W14" s="668">
        <f t="shared" si="2"/>
        <v>100</v>
      </c>
      <c r="X14" s="1263"/>
      <c r="Y14" s="3397"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0"/>
      <c r="M15" s="2485"/>
      <c r="N15" s="2485"/>
      <c r="O15" s="2540"/>
      <c r="P15" s="3398"/>
      <c r="Q15" s="1261"/>
      <c r="R15" s="667"/>
      <c r="S15" s="668"/>
      <c r="T15" s="667"/>
      <c r="U15" s="668"/>
      <c r="V15" s="667"/>
      <c r="W15" s="668"/>
      <c r="X15" s="1263"/>
      <c r="Y15" s="3398"/>
      <c r="Z15" s="1262"/>
      <c r="AA15" s="1262">
        <v>1</v>
      </c>
      <c r="AB15" s="1262">
        <v>1</v>
      </c>
      <c r="AC15" s="1262">
        <v>1</v>
      </c>
    </row>
    <row r="16" spans="1:29" ht="370.5">
      <c r="A16" s="367"/>
      <c r="B16" s="390" t="s">
        <v>1812</v>
      </c>
      <c r="C16" s="1752" t="str">
        <f>IF(B1="工业",估价对象房地状况!G5,估价对象房地状况!C7)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8"/>
      <c r="Q16" s="1261" t="str">
        <f>B16</f>
        <v>公共配套设施</v>
      </c>
      <c r="R16" s="667" t="s">
        <v>14</v>
      </c>
      <c r="S16" s="668">
        <f>F16</f>
        <v>100</v>
      </c>
      <c r="T16" s="667" t="s">
        <v>14</v>
      </c>
      <c r="U16" s="668">
        <f>H16</f>
        <v>100</v>
      </c>
      <c r="V16" s="667" t="s">
        <v>14</v>
      </c>
      <c r="W16" s="668">
        <f>J16</f>
        <v>100</v>
      </c>
      <c r="X16" s="1263"/>
      <c r="Y16" s="3398"/>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0"/>
      <c r="M17" s="2485"/>
      <c r="N17" s="2485"/>
      <c r="O17" s="2540"/>
      <c r="P17" s="3398"/>
      <c r="Q17" s="1261"/>
      <c r="R17" s="667"/>
      <c r="S17" s="668"/>
      <c r="T17" s="667"/>
      <c r="U17" s="668"/>
      <c r="V17" s="667"/>
      <c r="W17" s="668"/>
      <c r="X17" s="1263"/>
      <c r="Y17" s="3398"/>
      <c r="Z17" s="1262"/>
      <c r="AA17" s="1262">
        <v>1</v>
      </c>
      <c r="AB17" s="1262">
        <v>1</v>
      </c>
      <c r="AC17" s="1262">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8"/>
      <c r="Q18" s="1261" t="str">
        <f>B18</f>
        <v>基础设施水平</v>
      </c>
      <c r="R18" s="667" t="s">
        <v>14</v>
      </c>
      <c r="S18" s="668">
        <f>F18</f>
        <v>100</v>
      </c>
      <c r="T18" s="667" t="s">
        <v>14</v>
      </c>
      <c r="U18" s="668">
        <f>H18</f>
        <v>100</v>
      </c>
      <c r="V18" s="667" t="s">
        <v>14</v>
      </c>
      <c r="W18" s="668">
        <f>J18</f>
        <v>100</v>
      </c>
      <c r="X18" s="1263"/>
      <c r="Y18" s="3398"/>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90"/>
      <c r="M19" s="2485"/>
      <c r="N19" s="2485"/>
      <c r="O19" s="2540"/>
      <c r="P19" s="3398"/>
      <c r="Q19" s="1261"/>
      <c r="R19" s="667"/>
      <c r="S19" s="668"/>
      <c r="T19" s="667"/>
      <c r="U19" s="668"/>
      <c r="V19" s="667"/>
      <c r="W19" s="668"/>
      <c r="X19" s="1263"/>
      <c r="Y19" s="3398"/>
      <c r="Z19" s="1262"/>
      <c r="AA19" s="1262">
        <v>1</v>
      </c>
      <c r="AB19" s="1262">
        <v>1</v>
      </c>
      <c r="AC19" s="1262">
        <v>1</v>
      </c>
    </row>
    <row r="20" spans="1:29" ht="114">
      <c r="A20" s="367"/>
      <c r="B20" s="390" t="s">
        <v>1834</v>
      </c>
      <c r="C20" s="1752" t="str">
        <f>IF(B1="工业",估价对象房地状况!G7,估价对象房地状况!C9)</f>
        <v>估价对象周边有北关清真寺、三教庙等人文景观，西海子公园、北运河水系等自然景观，综合评价环境状况较好。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8"/>
      <c r="Q20" s="1261" t="str">
        <f>B20</f>
        <v>自然及人文环境</v>
      </c>
      <c r="R20" s="667" t="s">
        <v>14</v>
      </c>
      <c r="S20" s="668">
        <f>F20</f>
        <v>100</v>
      </c>
      <c r="T20" s="667" t="s">
        <v>14</v>
      </c>
      <c r="U20" s="668">
        <f>H20</f>
        <v>100</v>
      </c>
      <c r="V20" s="667" t="s">
        <v>14</v>
      </c>
      <c r="W20" s="668">
        <f>J20</f>
        <v>100</v>
      </c>
      <c r="X20" s="1263"/>
      <c r="Y20" s="3398"/>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0"/>
      <c r="M21" s="2485"/>
      <c r="N21" s="2485"/>
      <c r="O21" s="2540"/>
      <c r="P21" s="3398"/>
      <c r="Q21" s="1261"/>
      <c r="R21" s="667"/>
      <c r="S21" s="668"/>
      <c r="T21" s="667"/>
      <c r="U21" s="668"/>
      <c r="V21" s="667"/>
      <c r="W21" s="668"/>
      <c r="X21" s="1263"/>
      <c r="Y21" s="3398"/>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8"/>
      <c r="Q22" s="1261" t="str">
        <f>B22</f>
        <v>楼层</v>
      </c>
      <c r="R22" s="667" t="s">
        <v>14</v>
      </c>
      <c r="S22" s="668">
        <f>F22</f>
        <v>100</v>
      </c>
      <c r="T22" s="667" t="s">
        <v>14</v>
      </c>
      <c r="U22" s="668">
        <f>H22</f>
        <v>100</v>
      </c>
      <c r="V22" s="667" t="s">
        <v>14</v>
      </c>
      <c r="W22" s="668">
        <f>J22</f>
        <v>100</v>
      </c>
      <c r="X22" s="1263"/>
      <c r="Y22" s="3398"/>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8"/>
      <c r="Q23" s="1261">
        <f>B23</f>
        <v>111</v>
      </c>
      <c r="R23" s="667" t="s">
        <v>14</v>
      </c>
      <c r="S23" s="668">
        <f>F23</f>
        <v>100</v>
      </c>
      <c r="T23" s="667" t="s">
        <v>14</v>
      </c>
      <c r="U23" s="668">
        <f>H23</f>
        <v>100</v>
      </c>
      <c r="V23" s="667" t="s">
        <v>14</v>
      </c>
      <c r="W23" s="668">
        <f>J23</f>
        <v>100</v>
      </c>
      <c r="X23" s="1263"/>
      <c r="Y23" s="3398"/>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8"/>
      <c r="Q24" s="1261">
        <f t="shared" ref="Q24:Q34" si="11">B24</f>
        <v>111</v>
      </c>
      <c r="R24" s="667" t="s">
        <v>14</v>
      </c>
      <c r="S24" s="668">
        <f>F24</f>
        <v>100</v>
      </c>
      <c r="T24" s="667" t="s">
        <v>14</v>
      </c>
      <c r="U24" s="668">
        <f>H24</f>
        <v>100</v>
      </c>
      <c r="V24" s="667" t="s">
        <v>14</v>
      </c>
      <c r="W24" s="668">
        <f>J24</f>
        <v>100</v>
      </c>
      <c r="X24" s="1263"/>
      <c r="Y24" s="3398"/>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98"/>
      <c r="Q25" s="530">
        <f t="shared" si="11"/>
        <v>111</v>
      </c>
      <c r="R25" s="664" t="s">
        <v>14</v>
      </c>
      <c r="S25" s="665">
        <f>F25</f>
        <v>100</v>
      </c>
      <c r="T25" s="664" t="s">
        <v>14</v>
      </c>
      <c r="U25" s="665">
        <f>H25</f>
        <v>100</v>
      </c>
      <c r="V25" s="664" t="s">
        <v>14</v>
      </c>
      <c r="W25" s="665">
        <f>J25</f>
        <v>100</v>
      </c>
      <c r="X25" s="666"/>
      <c r="Y25" s="3398"/>
      <c r="Z25" s="50">
        <f>Q25</f>
        <v>111</v>
      </c>
      <c r="AA25" s="1262">
        <f>D25/F25</f>
        <v>1</v>
      </c>
      <c r="AB25" s="1262">
        <f>D25/H25</f>
        <v>1</v>
      </c>
      <c r="AC25" s="1262">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0"/>
      <c r="M26" s="2485"/>
      <c r="N26" s="2485"/>
      <c r="O26" s="2540"/>
      <c r="P26" s="3452"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02"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2"/>
      <c r="Q28" s="1261" t="str">
        <f t="shared" si="11"/>
        <v>物业等级</v>
      </c>
      <c r="R28" s="667" t="s">
        <v>14</v>
      </c>
      <c r="S28" s="668">
        <f t="shared" si="12"/>
        <v>100</v>
      </c>
      <c r="T28" s="667" t="s">
        <v>14</v>
      </c>
      <c r="U28" s="668">
        <f t="shared" si="13"/>
        <v>100</v>
      </c>
      <c r="V28" s="667" t="s">
        <v>14</v>
      </c>
      <c r="W28" s="668">
        <f t="shared" si="14"/>
        <v>100</v>
      </c>
      <c r="X28" s="1263"/>
      <c r="Y28" s="3402"/>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2"/>
      <c r="Q29" s="1261" t="str">
        <f t="shared" si="11"/>
        <v>有无电梯</v>
      </c>
      <c r="R29" s="667" t="s">
        <v>14</v>
      </c>
      <c r="S29" s="668">
        <f t="shared" si="12"/>
        <v>100</v>
      </c>
      <c r="T29" s="667" t="s">
        <v>14</v>
      </c>
      <c r="U29" s="668">
        <f t="shared" si="13"/>
        <v>100</v>
      </c>
      <c r="V29" s="667" t="s">
        <v>14</v>
      </c>
      <c r="W29" s="668">
        <f t="shared" si="14"/>
        <v>100</v>
      </c>
      <c r="X29" s="1263"/>
      <c r="Y29" s="3402"/>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2"/>
      <c r="Q30" s="1261" t="str">
        <f t="shared" si="11"/>
        <v>建筑面积</v>
      </c>
      <c r="R30" s="667" t="s">
        <v>14</v>
      </c>
      <c r="S30" s="668" t="e">
        <f t="shared" si="12"/>
        <v>#N/A</v>
      </c>
      <c r="T30" s="667" t="s">
        <v>14</v>
      </c>
      <c r="U30" s="668" t="e">
        <f t="shared" si="13"/>
        <v>#N/A</v>
      </c>
      <c r="V30" s="667" t="s">
        <v>14</v>
      </c>
      <c r="W30" s="668" t="e">
        <f t="shared" si="14"/>
        <v>#N/A</v>
      </c>
      <c r="X30" s="1263"/>
      <c r="Y30" s="3402"/>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2" t="s">
        <v>1696</v>
      </c>
      <c r="Q32" s="1261">
        <f t="shared" si="11"/>
        <v>111</v>
      </c>
      <c r="R32" s="667" t="s">
        <v>14</v>
      </c>
      <c r="S32" s="668">
        <f t="shared" si="12"/>
        <v>100</v>
      </c>
      <c r="T32" s="667" t="s">
        <v>14</v>
      </c>
      <c r="U32" s="668">
        <f t="shared" si="13"/>
        <v>100</v>
      </c>
      <c r="V32" s="667" t="s">
        <v>14</v>
      </c>
      <c r="W32" s="668">
        <f t="shared" si="14"/>
        <v>100</v>
      </c>
      <c r="X32" s="1263"/>
      <c r="Y32" s="3402"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2"/>
      <c r="Q33" s="1261">
        <f t="shared" si="11"/>
        <v>111</v>
      </c>
      <c r="R33" s="667" t="s">
        <v>14</v>
      </c>
      <c r="S33" s="668">
        <f t="shared" si="12"/>
        <v>100</v>
      </c>
      <c r="T33" s="667" t="s">
        <v>14</v>
      </c>
      <c r="U33" s="668">
        <f t="shared" si="13"/>
        <v>100</v>
      </c>
      <c r="V33" s="667" t="s">
        <v>14</v>
      </c>
      <c r="W33" s="668">
        <f t="shared" si="14"/>
        <v>100</v>
      </c>
      <c r="X33" s="1263"/>
      <c r="Y33" s="3402"/>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02"/>
      <c r="Q34" s="1261">
        <f t="shared" si="11"/>
        <v>111</v>
      </c>
      <c r="R34" s="667" t="s">
        <v>14</v>
      </c>
      <c r="S34" s="668">
        <f t="shared" si="12"/>
        <v>100</v>
      </c>
      <c r="T34" s="667" t="s">
        <v>14</v>
      </c>
      <c r="U34" s="668">
        <f t="shared" si="13"/>
        <v>100</v>
      </c>
      <c r="V34" s="667" t="s">
        <v>14</v>
      </c>
      <c r="W34" s="668">
        <f t="shared" si="14"/>
        <v>100</v>
      </c>
      <c r="X34" s="1263"/>
      <c r="Y34" s="3402"/>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4"/>
      <c r="L35" s="2492"/>
      <c r="M35" s="2485"/>
      <c r="N35" s="2485"/>
      <c r="O35" s="2485"/>
      <c r="P35" s="3395" t="str">
        <f>A35</f>
        <v>成交单价（元/平方米）</v>
      </c>
      <c r="Q35" s="3395"/>
      <c r="R35" s="3396">
        <f>E35</f>
        <v>0</v>
      </c>
      <c r="S35" s="3396"/>
      <c r="T35" s="3396">
        <f>G35</f>
        <v>0</v>
      </c>
      <c r="U35" s="3396"/>
      <c r="V35" s="3396">
        <f>I35</f>
        <v>0</v>
      </c>
      <c r="W35" s="3396"/>
      <c r="X35" s="385"/>
      <c r="Y35" s="673"/>
      <c r="Z35" s="385"/>
      <c r="AA35" s="385"/>
      <c r="AB35" s="385"/>
      <c r="AC35" s="385"/>
    </row>
    <row r="36" spans="1:30" ht="15.75" thickBot="1">
      <c r="A36" s="423" t="s">
        <v>1793</v>
      </c>
      <c r="B36" s="424"/>
      <c r="C36" s="1080" t="e">
        <f>R37</f>
        <v>#DIV/0!</v>
      </c>
      <c r="D36" s="2139" t="s">
        <v>2138</v>
      </c>
      <c r="E36" s="1081" t="e">
        <f>R36</f>
        <v>#DIV/0!</v>
      </c>
      <c r="F36" s="2140"/>
      <c r="G36" s="1080" t="e">
        <f>T36</f>
        <v>#DIV/0!</v>
      </c>
      <c r="H36" s="2140"/>
      <c r="I36" s="1081" t="e">
        <f>V36</f>
        <v>#DIV/0!</v>
      </c>
      <c r="J36" s="2140"/>
      <c r="K36" s="2142">
        <f>F36+H36+J36</f>
        <v>0</v>
      </c>
      <c r="L36" s="2492"/>
      <c r="M36" s="2485"/>
      <c r="N36" s="2485"/>
      <c r="O36" s="2485"/>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92" t="str">
        <f>A37</f>
        <v>估价对象XX用房的比较价值（楼面单价，元/平方米）</v>
      </c>
      <c r="Q37" s="3393"/>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1" t="str">
        <f>YEAR(C7)&amp;"-"&amp;MONTH(C7)</f>
        <v>2025-8</v>
      </c>
      <c r="D46" s="1102">
        <f>EDATE(C46,-1)</f>
        <v>45839</v>
      </c>
      <c r="E46" s="1102">
        <f t="shared" ref="E46:O46" si="16">EDATE(D46,-1)</f>
        <v>45809</v>
      </c>
      <c r="F46" s="1102">
        <f t="shared" si="16"/>
        <v>45778</v>
      </c>
      <c r="G46" s="1102">
        <f t="shared" si="16"/>
        <v>45748</v>
      </c>
      <c r="H46" s="1102">
        <f t="shared" si="16"/>
        <v>45717</v>
      </c>
      <c r="I46" s="1102">
        <f t="shared" si="16"/>
        <v>45689</v>
      </c>
      <c r="J46" s="1102">
        <f t="shared" si="16"/>
        <v>45658</v>
      </c>
      <c r="K46" s="1102">
        <f t="shared" si="16"/>
        <v>45627</v>
      </c>
      <c r="L46" s="1102">
        <f t="shared" si="16"/>
        <v>45597</v>
      </c>
      <c r="M46" s="1102">
        <f t="shared" si="16"/>
        <v>45566</v>
      </c>
      <c r="N46" s="1102">
        <f t="shared" si="16"/>
        <v>45536</v>
      </c>
      <c r="O46" s="1102">
        <f t="shared" si="16"/>
        <v>45505</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0">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14" t="s">
        <v>1775</v>
      </c>
      <c r="Q4" s="3415"/>
      <c r="R4" s="3420" t="s">
        <v>1771</v>
      </c>
      <c r="S4" s="3421"/>
      <c r="T4" s="3420" t="s">
        <v>1772</v>
      </c>
      <c r="U4" s="3421"/>
      <c r="V4" s="3396" t="s">
        <v>1773</v>
      </c>
      <c r="W4" s="3396"/>
      <c r="X4" s="1263"/>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4"/>
      <c r="M5" s="2485"/>
      <c r="N5" s="2485"/>
      <c r="O5" s="2485"/>
      <c r="P5" s="3416"/>
      <c r="Q5" s="3417"/>
      <c r="R5" s="3422"/>
      <c r="S5" s="3423"/>
      <c r="T5" s="3422"/>
      <c r="U5" s="3423"/>
      <c r="V5" s="3396"/>
      <c r="W5" s="3396"/>
      <c r="X5" s="1263"/>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4"/>
      <c r="M6" s="2485"/>
      <c r="N6" s="2485"/>
      <c r="O6" s="2485"/>
      <c r="P6" s="3418"/>
      <c r="Q6" s="3419"/>
      <c r="R6" s="3422"/>
      <c r="S6" s="3423"/>
      <c r="T6" s="3424"/>
      <c r="U6" s="3425"/>
      <c r="V6" s="3396"/>
      <c r="W6" s="3396"/>
      <c r="X6" s="1263"/>
      <c r="Y6" s="3424"/>
      <c r="Z6" s="3425"/>
      <c r="AA6" s="3409"/>
      <c r="AB6" s="3409"/>
      <c r="AC6" s="3409"/>
    </row>
    <row r="7" spans="1:29" s="102" customFormat="1" ht="15.75" thickBot="1">
      <c r="A7" s="352" t="s">
        <v>1679</v>
      </c>
      <c r="B7" s="353"/>
      <c r="C7" s="354">
        <f>'数据-取费表'!B2</f>
        <v>45884</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30" t="s">
        <v>1683</v>
      </c>
      <c r="Q8" s="3431"/>
      <c r="R8" s="664" t="s">
        <v>14</v>
      </c>
      <c r="S8" s="665">
        <f t="shared" si="0"/>
        <v>0</v>
      </c>
      <c r="T8" s="664" t="s">
        <v>14</v>
      </c>
      <c r="U8" s="665">
        <f t="shared" si="1"/>
        <v>0</v>
      </c>
      <c r="V8" s="664" t="s">
        <v>14</v>
      </c>
      <c r="W8" s="665">
        <f t="shared" si="2"/>
        <v>0</v>
      </c>
      <c r="X8" s="666"/>
      <c r="Y8" s="3430" t="s">
        <v>1683</v>
      </c>
      <c r="Z8" s="3431"/>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95"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395"/>
      <c r="Q10" s="530" t="str">
        <f t="shared" si="6"/>
        <v>土地使用年限（年）</v>
      </c>
      <c r="R10" s="664" t="s">
        <v>14</v>
      </c>
      <c r="S10" s="665">
        <f t="shared" si="0"/>
        <v>115</v>
      </c>
      <c r="T10" s="664" t="s">
        <v>14</v>
      </c>
      <c r="U10" s="665">
        <f t="shared" si="1"/>
        <v>115</v>
      </c>
      <c r="V10" s="664" t="s">
        <v>14</v>
      </c>
      <c r="W10" s="665">
        <f t="shared" si="2"/>
        <v>115</v>
      </c>
      <c r="X10" s="666"/>
      <c r="Y10" s="3268"/>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95"/>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95"/>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95"/>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95"/>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7" t="s">
        <v>1691</v>
      </c>
      <c r="Q15" s="1261" t="str">
        <f t="shared" si="6"/>
        <v>居住社区成熟度</v>
      </c>
      <c r="R15" s="667" t="s">
        <v>14</v>
      </c>
      <c r="S15" s="668">
        <f t="shared" si="0"/>
        <v>100</v>
      </c>
      <c r="T15" s="667" t="s">
        <v>14</v>
      </c>
      <c r="U15" s="668">
        <f t="shared" si="1"/>
        <v>100</v>
      </c>
      <c r="V15" s="667" t="s">
        <v>14</v>
      </c>
      <c r="W15" s="668">
        <f t="shared" si="2"/>
        <v>100</v>
      </c>
      <c r="X15" s="1263"/>
      <c r="Y15" s="3397"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0"/>
      <c r="M16" s="2485"/>
      <c r="N16" s="2485"/>
      <c r="O16" s="2540"/>
      <c r="P16" s="3398"/>
      <c r="Q16" s="1261"/>
      <c r="R16" s="667"/>
      <c r="S16" s="668"/>
      <c r="T16" s="667"/>
      <c r="U16" s="668"/>
      <c r="V16" s="667"/>
      <c r="W16" s="668"/>
      <c r="X16" s="1263"/>
      <c r="Y16" s="3398"/>
      <c r="Z16" s="1262"/>
      <c r="AA16" s="1262">
        <v>1</v>
      </c>
      <c r="AB16" s="1262">
        <v>1</v>
      </c>
      <c r="AC16" s="1262">
        <v>1</v>
      </c>
    </row>
    <row r="17" spans="1:29" ht="99.75">
      <c r="A17" s="367"/>
      <c r="B17" s="390" t="s">
        <v>1777</v>
      </c>
      <c r="C17" s="1804" t="str">
        <f>估价对象房地状况!C16</f>
        <v>估价对象位于北京城市副中心商务中心区，周边商业氛围较成熟，人流量较大，商业繁华度较好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8"/>
      <c r="Q17" s="1261" t="str">
        <f>B17</f>
        <v>商业繁华度</v>
      </c>
      <c r="R17" s="667" t="s">
        <v>14</v>
      </c>
      <c r="S17" s="668">
        <f>F17</f>
        <v>100</v>
      </c>
      <c r="T17" s="667" t="s">
        <v>14</v>
      </c>
      <c r="U17" s="668">
        <f>H17</f>
        <v>100</v>
      </c>
      <c r="V17" s="667" t="s">
        <v>14</v>
      </c>
      <c r="W17" s="668">
        <f>J17</f>
        <v>100</v>
      </c>
      <c r="X17" s="1263"/>
      <c r="Y17" s="3398"/>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0"/>
      <c r="M18" s="2485"/>
      <c r="N18" s="2485"/>
      <c r="O18" s="2540"/>
      <c r="P18" s="3398"/>
      <c r="Q18" s="1261"/>
      <c r="R18" s="667"/>
      <c r="S18" s="668"/>
      <c r="T18" s="667"/>
      <c r="U18" s="668"/>
      <c r="V18" s="667"/>
      <c r="W18" s="668"/>
      <c r="X18" s="1263"/>
      <c r="Y18" s="3398"/>
      <c r="Z18" s="1262"/>
      <c r="AA18" s="1262">
        <v>1</v>
      </c>
      <c r="AB18" s="1262">
        <v>1</v>
      </c>
      <c r="AC18" s="1262">
        <v>1</v>
      </c>
    </row>
    <row r="19" spans="1:29" ht="99.75">
      <c r="A19" s="367"/>
      <c r="B19" s="390" t="s">
        <v>1811</v>
      </c>
      <c r="C19" s="1804" t="str">
        <f>估价对象房地状况!C17</f>
        <v>估价对象位于北京城市副中心商务中心区，周边办公楼项目较多，入驻率较高，办公集聚程度较好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8"/>
      <c r="Q19" s="1261" t="str">
        <f>B19</f>
        <v>办公集聚程度</v>
      </c>
      <c r="R19" s="667" t="s">
        <v>14</v>
      </c>
      <c r="S19" s="668">
        <f>F19</f>
        <v>100</v>
      </c>
      <c r="T19" s="667" t="s">
        <v>14</v>
      </c>
      <c r="U19" s="668">
        <f>H19</f>
        <v>100</v>
      </c>
      <c r="V19" s="667" t="s">
        <v>14</v>
      </c>
      <c r="W19" s="668">
        <f>J19</f>
        <v>100</v>
      </c>
      <c r="X19" s="1263"/>
      <c r="Y19" s="3398"/>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0"/>
      <c r="M20" s="2485"/>
      <c r="N20" s="2485"/>
      <c r="O20" s="2540"/>
      <c r="P20" s="3398"/>
      <c r="Q20" s="1261"/>
      <c r="R20" s="667"/>
      <c r="S20" s="668"/>
      <c r="T20" s="667"/>
      <c r="U20" s="668"/>
      <c r="V20" s="667"/>
      <c r="W20" s="668"/>
      <c r="X20" s="1263"/>
      <c r="Y20" s="3398"/>
      <c r="Z20" s="1262"/>
      <c r="AA20" s="1262">
        <v>1</v>
      </c>
      <c r="AB20" s="1262">
        <v>1</v>
      </c>
      <c r="AC20" s="1262">
        <v>1</v>
      </c>
    </row>
    <row r="21" spans="1:29" ht="114">
      <c r="A21" s="367"/>
      <c r="B21" s="390" t="s">
        <v>1833</v>
      </c>
      <c r="C21" s="1752" t="str">
        <f>估价对象房地状况!C18</f>
        <v>估价对象周边有316路、342路、582路、587路等多条公交线路及地铁6号线通州北关站，综合评价交通便捷度较好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8"/>
      <c r="Q21" s="1261" t="str">
        <f>B21</f>
        <v>交通便捷度</v>
      </c>
      <c r="R21" s="667" t="s">
        <v>14</v>
      </c>
      <c r="S21" s="668">
        <f>F21</f>
        <v>100</v>
      </c>
      <c r="T21" s="667" t="s">
        <v>14</v>
      </c>
      <c r="U21" s="668">
        <f>H21</f>
        <v>100</v>
      </c>
      <c r="V21" s="667" t="s">
        <v>14</v>
      </c>
      <c r="W21" s="668">
        <f>J21</f>
        <v>100</v>
      </c>
      <c r="X21" s="1263"/>
      <c r="Y21" s="3398"/>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0"/>
      <c r="M22" s="2485"/>
      <c r="N22" s="2485"/>
      <c r="O22" s="2540"/>
      <c r="P22" s="3398"/>
      <c r="Q22" s="1261"/>
      <c r="R22" s="667"/>
      <c r="S22" s="668"/>
      <c r="T22" s="667"/>
      <c r="U22" s="668"/>
      <c r="V22" s="667"/>
      <c r="W22" s="668"/>
      <c r="X22" s="1263"/>
      <c r="Y22" s="3398"/>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8"/>
      <c r="Q23" s="1261" t="str">
        <f t="shared" ref="Q23:Q37" si="8">B23</f>
        <v>区域土地利用方向</v>
      </c>
      <c r="R23" s="667" t="s">
        <v>14</v>
      </c>
      <c r="S23" s="668">
        <f>F23</f>
        <v>100</v>
      </c>
      <c r="T23" s="667" t="s">
        <v>14</v>
      </c>
      <c r="U23" s="668">
        <f>H23</f>
        <v>100</v>
      </c>
      <c r="V23" s="667" t="s">
        <v>14</v>
      </c>
      <c r="W23" s="668">
        <f>J23</f>
        <v>100</v>
      </c>
      <c r="X23" s="1263"/>
      <c r="Y23" s="3398"/>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6"/>
      <c r="L24" s="2490"/>
      <c r="M24" s="2485"/>
      <c r="N24" s="2485"/>
      <c r="O24" s="2540"/>
      <c r="P24" s="3398"/>
      <c r="Q24" s="1261"/>
      <c r="R24" s="667"/>
      <c r="S24" s="668"/>
      <c r="T24" s="667"/>
      <c r="U24" s="668"/>
      <c r="V24" s="667"/>
      <c r="W24" s="668"/>
      <c r="X24" s="1263"/>
      <c r="Y24" s="3398"/>
      <c r="Z24" s="1262"/>
      <c r="AA24" s="1262"/>
      <c r="AB24" s="1262"/>
      <c r="AC24" s="1262"/>
    </row>
    <row r="25" spans="1:29" ht="114">
      <c r="A25" s="348"/>
      <c r="B25" s="586" t="s">
        <v>1872</v>
      </c>
      <c r="C25" s="1804" t="str">
        <f>估价对象房地状况!C20</f>
        <v>估价对象周边有北关清真寺、三教庙等人文景观，西海子公园、北运河水系等自然景观，综合评价环境状况较好。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8"/>
      <c r="Q25" s="1261" t="str">
        <f t="shared" si="8"/>
        <v>自然及人文环境状况</v>
      </c>
      <c r="R25" s="667" t="s">
        <v>14</v>
      </c>
      <c r="S25" s="668">
        <f>F25</f>
        <v>100</v>
      </c>
      <c r="T25" s="667" t="s">
        <v>14</v>
      </c>
      <c r="U25" s="668">
        <f>H25</f>
        <v>100</v>
      </c>
      <c r="V25" s="667" t="s">
        <v>14</v>
      </c>
      <c r="W25" s="668">
        <f>J25</f>
        <v>100</v>
      </c>
      <c r="X25" s="1263"/>
      <c r="Y25" s="3398"/>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0"/>
      <c r="M26" s="2485"/>
      <c r="N26" s="2485"/>
      <c r="O26" s="2540"/>
      <c r="P26" s="3398"/>
      <c r="Q26" s="1261"/>
      <c r="R26" s="667"/>
      <c r="S26" s="668"/>
      <c r="T26" s="667"/>
      <c r="U26" s="668"/>
      <c r="V26" s="667"/>
      <c r="W26" s="668"/>
      <c r="X26" s="1263"/>
      <c r="Y26" s="3398"/>
      <c r="Z26" s="1262"/>
      <c r="AA26" s="1262">
        <v>1</v>
      </c>
      <c r="AB26" s="1262">
        <v>1</v>
      </c>
      <c r="AC26" s="1262">
        <v>1</v>
      </c>
    </row>
    <row r="27" spans="1:29" s="102" customFormat="1" ht="370.5">
      <c r="A27" s="443"/>
      <c r="B27" s="586" t="s">
        <v>1778</v>
      </c>
      <c r="C27" s="1752"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6"/>
      <c r="M28" s="2437"/>
      <c r="N28" s="2437"/>
      <c r="O28" s="2538"/>
      <c r="P28" s="3398"/>
      <c r="Q28" s="530"/>
      <c r="R28" s="664"/>
      <c r="S28" s="665"/>
      <c r="T28" s="664"/>
      <c r="U28" s="665"/>
      <c r="V28" s="664"/>
      <c r="W28" s="665"/>
      <c r="X28" s="666"/>
      <c r="Y28" s="3398"/>
      <c r="Z28" s="50"/>
      <c r="AA28" s="1262">
        <v>1</v>
      </c>
      <c r="AB28" s="1262">
        <v>1</v>
      </c>
      <c r="AC28" s="1262">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98"/>
      <c r="Q29" s="530" t="str">
        <f t="shared" ref="Q29" si="9">B29</f>
        <v>基础设施水平</v>
      </c>
      <c r="R29" s="664" t="s">
        <v>14</v>
      </c>
      <c r="S29" s="665">
        <f>F29</f>
        <v>100</v>
      </c>
      <c r="T29" s="664" t="s">
        <v>14</v>
      </c>
      <c r="U29" s="665">
        <f>H29</f>
        <v>100</v>
      </c>
      <c r="V29" s="664" t="s">
        <v>14</v>
      </c>
      <c r="W29" s="665">
        <f>J29</f>
        <v>100</v>
      </c>
      <c r="X29" s="666"/>
      <c r="Y29" s="3398"/>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6"/>
      <c r="M30" s="2437"/>
      <c r="N30" s="2437"/>
      <c r="O30" s="2538"/>
      <c r="P30" s="3398"/>
      <c r="Q30" s="530"/>
      <c r="R30" s="664"/>
      <c r="S30" s="665"/>
      <c r="T30" s="664"/>
      <c r="U30" s="665"/>
      <c r="V30" s="664"/>
      <c r="W30" s="665"/>
      <c r="X30" s="666"/>
      <c r="Y30" s="3398"/>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8"/>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398"/>
      <c r="Z31" s="1262" t="str">
        <f t="shared" ref="Z31:Z45" si="13">Q31</f>
        <v>临街状况</v>
      </c>
      <c r="AA31" s="1262">
        <f t="shared" si="3"/>
        <v>1</v>
      </c>
      <c r="AB31" s="1262">
        <f t="shared" si="4"/>
        <v>1</v>
      </c>
      <c r="AC31" s="1262">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8"/>
      <c r="Q32" s="1261" t="str">
        <f t="shared" si="8"/>
        <v>毗邻道路的类型与等级</v>
      </c>
      <c r="R32" s="667" t="s">
        <v>14</v>
      </c>
      <c r="S32" s="668">
        <f t="shared" si="10"/>
        <v>100</v>
      </c>
      <c r="T32" s="667" t="s">
        <v>14</v>
      </c>
      <c r="U32" s="668">
        <f t="shared" si="11"/>
        <v>100</v>
      </c>
      <c r="V32" s="667" t="s">
        <v>14</v>
      </c>
      <c r="W32" s="668">
        <f t="shared" si="12"/>
        <v>100</v>
      </c>
      <c r="X32" s="1263"/>
      <c r="Y32" s="3398"/>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0"/>
      <c r="M33" s="2485"/>
      <c r="N33" s="2485"/>
      <c r="O33" s="2540"/>
      <c r="P33" s="3398"/>
      <c r="Q33" s="1261"/>
      <c r="R33" s="667"/>
      <c r="S33" s="668"/>
      <c r="T33" s="667"/>
      <c r="U33" s="668"/>
      <c r="V33" s="667"/>
      <c r="W33" s="668"/>
      <c r="X33" s="1263"/>
      <c r="Y33" s="3398"/>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8"/>
      <c r="Q34" s="1261" t="str">
        <f t="shared" si="8"/>
        <v>土地级别</v>
      </c>
      <c r="R34" s="667" t="s">
        <v>14</v>
      </c>
      <c r="S34" s="668">
        <f t="shared" si="10"/>
        <v>100</v>
      </c>
      <c r="T34" s="667" t="s">
        <v>14</v>
      </c>
      <c r="U34" s="668">
        <f t="shared" si="11"/>
        <v>100</v>
      </c>
      <c r="V34" s="667" t="s">
        <v>14</v>
      </c>
      <c r="W34" s="668">
        <f t="shared" si="12"/>
        <v>100</v>
      </c>
      <c r="X34" s="1263"/>
      <c r="Y34" s="3398"/>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8"/>
      <c r="Q35" s="1261">
        <f t="shared" si="8"/>
        <v>111</v>
      </c>
      <c r="R35" s="667" t="s">
        <v>14</v>
      </c>
      <c r="S35" s="668">
        <f t="shared" si="10"/>
        <v>100</v>
      </c>
      <c r="T35" s="667" t="s">
        <v>14</v>
      </c>
      <c r="U35" s="668">
        <f t="shared" si="11"/>
        <v>100</v>
      </c>
      <c r="V35" s="667" t="s">
        <v>14</v>
      </c>
      <c r="W35" s="668">
        <f t="shared" si="12"/>
        <v>100</v>
      </c>
      <c r="X35" s="1263"/>
      <c r="Y35" s="3398"/>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2" t="s">
        <v>1696</v>
      </c>
      <c r="Q36" s="1261">
        <f t="shared" si="8"/>
        <v>111</v>
      </c>
      <c r="R36" s="667" t="s">
        <v>14</v>
      </c>
      <c r="S36" s="668">
        <f t="shared" si="10"/>
        <v>100</v>
      </c>
      <c r="T36" s="667" t="s">
        <v>14</v>
      </c>
      <c r="U36" s="668">
        <f t="shared" si="11"/>
        <v>100</v>
      </c>
      <c r="V36" s="667" t="s">
        <v>14</v>
      </c>
      <c r="W36" s="668">
        <f t="shared" si="12"/>
        <v>100</v>
      </c>
      <c r="X36" s="1263"/>
      <c r="Y36" s="3402" t="s">
        <v>1696</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2"/>
      <c r="Q37" s="1261">
        <f t="shared" si="8"/>
        <v>111</v>
      </c>
      <c r="R37" s="669" t="s">
        <v>14</v>
      </c>
      <c r="S37" s="670">
        <f t="shared" si="10"/>
        <v>100</v>
      </c>
      <c r="T37" s="669" t="s">
        <v>14</v>
      </c>
      <c r="U37" s="670">
        <f t="shared" si="11"/>
        <v>100</v>
      </c>
      <c r="V37" s="669" t="s">
        <v>14</v>
      </c>
      <c r="W37" s="670">
        <f t="shared" si="12"/>
        <v>100</v>
      </c>
      <c r="X37" s="671"/>
      <c r="Y37" s="3402"/>
      <c r="Z37" s="672">
        <f t="shared" si="13"/>
        <v>111</v>
      </c>
      <c r="AA37" s="1262">
        <f t="shared" si="3"/>
        <v>1</v>
      </c>
      <c r="AB37" s="1262">
        <f t="shared" si="4"/>
        <v>1</v>
      </c>
      <c r="AC37" s="1262">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2"/>
      <c r="Q38" s="1261" t="str">
        <f>B38</f>
        <v>宗地面积</v>
      </c>
      <c r="R38" s="667" t="s">
        <v>14</v>
      </c>
      <c r="S38" s="668" t="e">
        <f t="shared" si="10"/>
        <v>#N/A</v>
      </c>
      <c r="T38" s="667" t="s">
        <v>14</v>
      </c>
      <c r="U38" s="668" t="e">
        <f t="shared" si="11"/>
        <v>#N/A</v>
      </c>
      <c r="V38" s="667" t="s">
        <v>14</v>
      </c>
      <c r="W38" s="668" t="e">
        <f t="shared" si="12"/>
        <v>#N/A</v>
      </c>
      <c r="X38" s="1263"/>
      <c r="Y38" s="3402"/>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0"/>
      <c r="M39" s="2485"/>
      <c r="N39" s="2485"/>
      <c r="O39" s="2540"/>
      <c r="P39" s="3402"/>
      <c r="Q39" s="1261" t="str">
        <f t="shared" ref="Q39:Q45" si="14">B39</f>
        <v>宗地形状</v>
      </c>
      <c r="R39" s="667" t="s">
        <v>14</v>
      </c>
      <c r="S39" s="668">
        <f t="shared" si="10"/>
        <v>100</v>
      </c>
      <c r="T39" s="667" t="s">
        <v>14</v>
      </c>
      <c r="U39" s="668">
        <f t="shared" si="11"/>
        <v>100</v>
      </c>
      <c r="V39" s="667" t="s">
        <v>14</v>
      </c>
      <c r="W39" s="668">
        <f t="shared" si="12"/>
        <v>100</v>
      </c>
      <c r="X39" s="1263"/>
      <c r="Y39" s="3402"/>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0"/>
      <c r="M40" s="2485"/>
      <c r="N40" s="2485"/>
      <c r="O40" s="2540"/>
      <c r="P40" s="3402"/>
      <c r="Q40" s="1261" t="str">
        <f t="shared" si="14"/>
        <v>临街宽度及深度</v>
      </c>
      <c r="R40" s="667" t="s">
        <v>14</v>
      </c>
      <c r="S40" s="668">
        <f t="shared" si="10"/>
        <v>100</v>
      </c>
      <c r="T40" s="667" t="s">
        <v>14</v>
      </c>
      <c r="U40" s="668">
        <f t="shared" si="11"/>
        <v>100</v>
      </c>
      <c r="V40" s="667" t="s">
        <v>14</v>
      </c>
      <c r="W40" s="668">
        <f t="shared" si="12"/>
        <v>100</v>
      </c>
      <c r="X40" s="1263"/>
      <c r="Y40" s="3402"/>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02"/>
      <c r="Q41" s="1261"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0"/>
      <c r="M42" s="2485"/>
      <c r="N42" s="2485"/>
      <c r="O42" s="2540"/>
      <c r="P42" s="3402" t="s">
        <v>1696</v>
      </c>
      <c r="Q42" s="1261" t="str">
        <f t="shared" si="14"/>
        <v>工程地质条件</v>
      </c>
      <c r="R42" s="667" t="s">
        <v>14</v>
      </c>
      <c r="S42" s="668">
        <f t="shared" si="10"/>
        <v>100</v>
      </c>
      <c r="T42" s="667" t="s">
        <v>14</v>
      </c>
      <c r="U42" s="668">
        <f t="shared" si="11"/>
        <v>100</v>
      </c>
      <c r="V42" s="667" t="s">
        <v>14</v>
      </c>
      <c r="W42" s="668">
        <f t="shared" si="12"/>
        <v>100</v>
      </c>
      <c r="X42" s="1263"/>
      <c r="Y42" s="3402"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2"/>
      <c r="Q43" s="1261">
        <f t="shared" si="14"/>
        <v>111</v>
      </c>
      <c r="R43" s="667" t="s">
        <v>14</v>
      </c>
      <c r="S43" s="668">
        <f t="shared" si="10"/>
        <v>100</v>
      </c>
      <c r="T43" s="667" t="s">
        <v>14</v>
      </c>
      <c r="U43" s="668">
        <f t="shared" si="11"/>
        <v>100</v>
      </c>
      <c r="V43" s="667" t="s">
        <v>14</v>
      </c>
      <c r="W43" s="668">
        <f t="shared" si="12"/>
        <v>100</v>
      </c>
      <c r="X43" s="1263"/>
      <c r="Y43" s="3402"/>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2"/>
      <c r="Q44" s="1261">
        <f t="shared" si="14"/>
        <v>111</v>
      </c>
      <c r="R44" s="667" t="s">
        <v>14</v>
      </c>
      <c r="S44" s="668">
        <f t="shared" si="10"/>
        <v>100</v>
      </c>
      <c r="T44" s="667" t="s">
        <v>14</v>
      </c>
      <c r="U44" s="668">
        <f t="shared" si="11"/>
        <v>100</v>
      </c>
      <c r="V44" s="667" t="s">
        <v>14</v>
      </c>
      <c r="W44" s="668">
        <f t="shared" si="12"/>
        <v>100</v>
      </c>
      <c r="X44" s="1263"/>
      <c r="Y44" s="3402"/>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2"/>
      <c r="Q45" s="1261">
        <f t="shared" si="14"/>
        <v>111</v>
      </c>
      <c r="R45" s="669" t="s">
        <v>14</v>
      </c>
      <c r="S45" s="670">
        <f t="shared" si="10"/>
        <v>100</v>
      </c>
      <c r="T45" s="669" t="s">
        <v>14</v>
      </c>
      <c r="U45" s="670">
        <f t="shared" si="11"/>
        <v>100</v>
      </c>
      <c r="V45" s="669" t="s">
        <v>14</v>
      </c>
      <c r="W45" s="670">
        <f t="shared" si="12"/>
        <v>100</v>
      </c>
      <c r="X45" s="671"/>
      <c r="Y45" s="3402"/>
      <c r="Z45" s="672">
        <f t="shared" si="13"/>
        <v>111</v>
      </c>
      <c r="AA45" s="1262">
        <f t="shared" si="3"/>
        <v>1</v>
      </c>
      <c r="AB45" s="1262">
        <f t="shared" si="4"/>
        <v>1</v>
      </c>
      <c r="AC45" s="1262">
        <f t="shared" si="5"/>
        <v>1</v>
      </c>
    </row>
    <row r="46" spans="1:29" ht="15">
      <c r="A46" s="416" t="s">
        <v>1844</v>
      </c>
      <c r="B46" s="1828" t="s">
        <v>1879</v>
      </c>
      <c r="C46" s="602" t="s">
        <v>0</v>
      </c>
      <c r="D46" s="418"/>
      <c r="E46" s="419"/>
      <c r="F46" s="420"/>
      <c r="G46" s="421"/>
      <c r="H46" s="422"/>
      <c r="I46" s="419"/>
      <c r="J46" s="422"/>
      <c r="K46" s="674"/>
      <c r="L46" s="2492"/>
      <c r="M46" s="2485"/>
      <c r="N46" s="2485"/>
      <c r="O46" s="2485"/>
      <c r="P46" s="3395" t="str">
        <f>A46</f>
        <v>成交单价</v>
      </c>
      <c r="Q46" s="3395"/>
      <c r="R46" s="3396">
        <f>E46</f>
        <v>0</v>
      </c>
      <c r="S46" s="3396"/>
      <c r="T46" s="3396">
        <f>G46</f>
        <v>0</v>
      </c>
      <c r="U46" s="3396"/>
      <c r="V46" s="3396">
        <f>I46</f>
        <v>0</v>
      </c>
      <c r="W46" s="3396"/>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395" t="str">
        <f>A47</f>
        <v>比较价值（元/平方米）</v>
      </c>
      <c r="Q47" s="339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92" t="str">
        <f>A48</f>
        <v>估价对象XX用房的比较价值（楼面单价，元/平方米）</v>
      </c>
      <c r="Q48" s="3393"/>
      <c r="R48" s="3455" t="e">
        <f>ROUND(IF(D47="简单平均",AVERAGE(R47:W47),R47*F47+T47*H47+V47*J47),0)</f>
        <v>#DIV/0!</v>
      </c>
      <c r="S48" s="3455"/>
      <c r="T48" s="3455"/>
      <c r="U48" s="3455"/>
      <c r="V48" s="3455"/>
      <c r="W48" s="345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5" t="s">
        <v>1886</v>
      </c>
      <c r="G55" s="3410" t="s">
        <v>1887</v>
      </c>
      <c r="H55" s="3456"/>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8">
        <v>1</v>
      </c>
      <c r="E56" s="610">
        <f>'数据-汇总表'!E8+'数据-汇总表'!E9</f>
        <v>11124.33</v>
      </c>
      <c r="F56" s="831" t="e">
        <f t="shared" ref="F56:F64" si="15">ROUND(B56*E56/10000,0)</f>
        <v>#DIV/0!</v>
      </c>
      <c r="G56" s="3406"/>
      <c r="H56" s="3395"/>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89">
        <v>0.25</v>
      </c>
      <c r="E57" s="614"/>
      <c r="F57" s="831" t="e">
        <f t="shared" si="15"/>
        <v>#DIV/0!</v>
      </c>
      <c r="G57" s="2748" t="s">
        <v>1892</v>
      </c>
      <c r="H57" s="832" t="str">
        <f>项目基本情况!B37</f>
        <v>四级</v>
      </c>
      <c r="I57" s="836">
        <f>SUMIF(修正!A59:A70,H57,修正!B59:B70)</f>
        <v>0.6</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89">
        <v>0.25</v>
      </c>
      <c r="E58" s="614"/>
      <c r="F58" s="831" t="e">
        <f t="shared" si="15"/>
        <v>#DIV/0!</v>
      </c>
      <c r="G58" s="2749"/>
      <c r="H58" s="832" t="str">
        <f>项目基本情况!B37</f>
        <v>四级</v>
      </c>
      <c r="I58" s="836">
        <f>SUMIF(修正!A59:A70,H58,修正!C59:C70)</f>
        <v>0.3</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89">
        <v>0.25</v>
      </c>
      <c r="E59" s="614"/>
      <c r="F59" s="831" t="e">
        <f t="shared" si="15"/>
        <v>#DIV/0!</v>
      </c>
      <c r="G59" s="2749"/>
      <c r="H59" s="832" t="str">
        <f>项目基本情况!B37</f>
        <v>四级</v>
      </c>
      <c r="I59" s="836">
        <f>SUMIF(修正!A59:A70,H59,修正!D59:D70)</f>
        <v>0.25</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89">
        <v>0.25</v>
      </c>
      <c r="E60" s="209">
        <f>'数据-汇总表'!E11</f>
        <v>682.17</v>
      </c>
      <c r="F60" s="831" t="e">
        <f t="shared" si="15"/>
        <v>#DIV/0!</v>
      </c>
      <c r="G60" s="1833" t="s">
        <v>1896</v>
      </c>
      <c r="H60" s="832" t="str">
        <f>项目基本情况!C37</f>
        <v>四级</v>
      </c>
      <c r="I60" s="836">
        <f>SUMIF(修正!A59:A70,H60,修正!E59:E70)</f>
        <v>0.25</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89">
        <v>0.25</v>
      </c>
      <c r="E61" s="209">
        <f>'数据-汇总表'!E12</f>
        <v>3434.37</v>
      </c>
      <c r="F61" s="831" t="e">
        <f t="shared" si="15"/>
        <v>#DIV/0!</v>
      </c>
      <c r="G61" s="837" t="s">
        <v>1898</v>
      </c>
      <c r="H61" s="832" t="str">
        <f>IF(G61="商业",项目基本情况!B37,IF(G61="办公",项目基本情况!C37,IF(G61="住宅",项目基本情况!D37,项目基本情况!E37)))</f>
        <v>四级</v>
      </c>
      <c r="I61" s="836">
        <f>SUMIF(修正!A59:A70,H61,修正!F59:F70)</f>
        <v>0.25</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89">
        <v>0.25</v>
      </c>
      <c r="E62" s="209">
        <f>'数据-汇总表'!E13</f>
        <v>17387.98</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89">
        <v>0.25</v>
      </c>
      <c r="E63" s="209">
        <f>'数据-汇总表'!E14</f>
        <v>0</v>
      </c>
      <c r="F63" s="831" t="e">
        <f t="shared" si="15"/>
        <v>#DIV/0!</v>
      </c>
      <c r="G63" s="1833" t="s">
        <v>1892</v>
      </c>
      <c r="H63" s="832" t="str">
        <f>项目基本情况!B37</f>
        <v>四级</v>
      </c>
      <c r="I63" s="836">
        <f>SUMIF(修正!A59:A70,H63,修正!G59:G70)</f>
        <v>0.15</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0.15</v>
      </c>
      <c r="D64" s="889">
        <v>0.25</v>
      </c>
      <c r="E64" s="209">
        <f>'数据-汇总表'!E15</f>
        <v>3518.8</v>
      </c>
      <c r="F64" s="831" t="e">
        <f t="shared" si="15"/>
        <v>#DIV/0!</v>
      </c>
      <c r="G64" s="1834" t="s">
        <v>1896</v>
      </c>
      <c r="H64" s="842" t="str">
        <f>项目基本情况!C37</f>
        <v>四级</v>
      </c>
      <c r="I64" s="838">
        <f>SUMIF(修正!A59:A70,H64,修正!G59:G70)</f>
        <v>0.15</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36147.65</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2" customFormat="1" ht="15">
      <c r="A69" s="1628" t="s">
        <v>1904</v>
      </c>
      <c r="B69" s="1044"/>
      <c r="C69" s="1099" t="str">
        <f>YEAR(C67)&amp;"-"&amp;ROUNDUP(MONTH(C67)/3,0)</f>
        <v>2025-3</v>
      </c>
      <c r="D69" s="1099" t="str">
        <f>YEAR(D67)&amp;"-"&amp;ROUNDUP(MONTH(D67)/3,0)</f>
        <v>2025-2</v>
      </c>
      <c r="E69" s="1099" t="str">
        <f t="shared" ref="E69:O69" si="19">YEAR(E67)&amp;"-"&amp;ROUNDUP(MONTH(E67)/3,0)</f>
        <v>2025-1</v>
      </c>
      <c r="F69" s="1099" t="str">
        <f t="shared" si="19"/>
        <v>2024-4</v>
      </c>
      <c r="G69" s="1099" t="str">
        <f t="shared" si="19"/>
        <v>2024-3</v>
      </c>
      <c r="H69" s="1099" t="str">
        <f t="shared" si="19"/>
        <v>2024-2</v>
      </c>
      <c r="I69" s="1099" t="str">
        <f t="shared" si="19"/>
        <v>2024-1</v>
      </c>
      <c r="J69" s="1099" t="str">
        <f t="shared" si="19"/>
        <v>2023-4</v>
      </c>
      <c r="K69" s="1099" t="str">
        <f t="shared" si="19"/>
        <v>2023-3</v>
      </c>
      <c r="L69" s="1099" t="str">
        <f t="shared" si="19"/>
        <v>2023-2</v>
      </c>
      <c r="M69" s="1099" t="str">
        <f t="shared" si="19"/>
        <v>2023-1</v>
      </c>
      <c r="N69" s="1099" t="str">
        <f t="shared" si="19"/>
        <v>2022-4</v>
      </c>
      <c r="O69" s="1099"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4"/>
      <c r="N70" s="6"/>
      <c r="O70" s="1096"/>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7"/>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14" t="s">
        <v>1775</v>
      </c>
      <c r="Q4" s="3415"/>
      <c r="R4" s="3420" t="s">
        <v>1771</v>
      </c>
      <c r="S4" s="3421"/>
      <c r="T4" s="3420" t="s">
        <v>1772</v>
      </c>
      <c r="U4" s="3421"/>
      <c r="V4" s="3396" t="s">
        <v>1773</v>
      </c>
      <c r="W4" s="3396"/>
      <c r="X4" s="1263"/>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4"/>
      <c r="M5" s="2485"/>
      <c r="N5" s="2485"/>
      <c r="O5" s="2485"/>
      <c r="P5" s="3416"/>
      <c r="Q5" s="3417"/>
      <c r="R5" s="3422"/>
      <c r="S5" s="3423"/>
      <c r="T5" s="3422"/>
      <c r="U5" s="3423"/>
      <c r="V5" s="3396"/>
      <c r="W5" s="3396"/>
      <c r="X5" s="1263"/>
      <c r="Y5" s="3422"/>
      <c r="Z5" s="3423"/>
      <c r="AA5" s="3408"/>
      <c r="AB5" s="3408"/>
      <c r="AC5" s="3408"/>
    </row>
    <row r="6" spans="1:29" ht="15.75" thickBot="1">
      <c r="A6" s="350"/>
      <c r="B6" s="351"/>
      <c r="C6" s="3457" t="s">
        <v>1919</v>
      </c>
      <c r="D6" s="3458"/>
      <c r="E6" s="3459" t="s">
        <v>1919</v>
      </c>
      <c r="F6" s="3460"/>
      <c r="G6" s="3457" t="s">
        <v>1919</v>
      </c>
      <c r="H6" s="3458"/>
      <c r="I6" s="3457" t="s">
        <v>1919</v>
      </c>
      <c r="J6" s="3458"/>
      <c r="K6" s="537" t="s">
        <v>1678</v>
      </c>
      <c r="L6" s="2484"/>
      <c r="M6" s="2485"/>
      <c r="N6" s="2485"/>
      <c r="O6" s="2485"/>
      <c r="P6" s="3418"/>
      <c r="Q6" s="3419"/>
      <c r="R6" s="3422"/>
      <c r="S6" s="3423"/>
      <c r="T6" s="3424"/>
      <c r="U6" s="3425"/>
      <c r="V6" s="3396"/>
      <c r="W6" s="3396"/>
      <c r="X6" s="1263"/>
      <c r="Y6" s="3424"/>
      <c r="Z6" s="3425"/>
      <c r="AA6" s="3409"/>
      <c r="AB6" s="3409"/>
      <c r="AC6" s="3409"/>
    </row>
    <row r="7" spans="1:29" s="102" customFormat="1" ht="15.75" thickBot="1">
      <c r="A7" s="352" t="s">
        <v>1679</v>
      </c>
      <c r="B7" s="353"/>
      <c r="C7" s="354">
        <f>'数据-取费表'!B2</f>
        <v>45884</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30" t="s">
        <v>1683</v>
      </c>
      <c r="Q8" s="3431"/>
      <c r="R8" s="664" t="s">
        <v>14</v>
      </c>
      <c r="S8" s="665">
        <f t="shared" si="0"/>
        <v>0</v>
      </c>
      <c r="T8" s="664" t="s">
        <v>14</v>
      </c>
      <c r="U8" s="665">
        <f t="shared" si="1"/>
        <v>0</v>
      </c>
      <c r="V8" s="664" t="s">
        <v>14</v>
      </c>
      <c r="W8" s="665">
        <f t="shared" si="2"/>
        <v>0</v>
      </c>
      <c r="X8" s="666"/>
      <c r="Y8" s="3430" t="s">
        <v>1683</v>
      </c>
      <c r="Z8" s="3431"/>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95"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395"/>
      <c r="Q10" s="530" t="str">
        <f t="shared" si="6"/>
        <v>土地使用年限（年）</v>
      </c>
      <c r="R10" s="664" t="s">
        <v>14</v>
      </c>
      <c r="S10" s="665">
        <f t="shared" si="0"/>
        <v>115</v>
      </c>
      <c r="T10" s="664" t="s">
        <v>14</v>
      </c>
      <c r="U10" s="665">
        <f t="shared" si="1"/>
        <v>115</v>
      </c>
      <c r="V10" s="664" t="s">
        <v>14</v>
      </c>
      <c r="W10" s="665">
        <f t="shared" si="2"/>
        <v>115</v>
      </c>
      <c r="X10" s="666"/>
      <c r="Y10" s="3268"/>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95"/>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95"/>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95"/>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95"/>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7" t="s">
        <v>1691</v>
      </c>
      <c r="Q15" s="1261" t="str">
        <f t="shared" si="6"/>
        <v>产业集聚程度</v>
      </c>
      <c r="R15" s="667" t="s">
        <v>14</v>
      </c>
      <c r="S15" s="668">
        <f t="shared" si="0"/>
        <v>100</v>
      </c>
      <c r="T15" s="667" t="s">
        <v>14</v>
      </c>
      <c r="U15" s="668">
        <f t="shared" si="1"/>
        <v>100</v>
      </c>
      <c r="V15" s="667" t="s">
        <v>14</v>
      </c>
      <c r="W15" s="668">
        <f t="shared" si="2"/>
        <v>100</v>
      </c>
      <c r="X15" s="1263"/>
      <c r="Y15" s="3397"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90"/>
      <c r="M16" s="2485"/>
      <c r="N16" s="2485"/>
      <c r="O16" s="2540"/>
      <c r="P16" s="3398"/>
      <c r="Q16" s="1261"/>
      <c r="R16" s="667"/>
      <c r="S16" s="668"/>
      <c r="T16" s="667"/>
      <c r="U16" s="668"/>
      <c r="V16" s="667"/>
      <c r="W16" s="668"/>
      <c r="X16" s="1263"/>
      <c r="Y16" s="3398"/>
      <c r="Z16" s="1262"/>
      <c r="AA16" s="1262">
        <v>1</v>
      </c>
      <c r="AB16" s="1262">
        <v>1</v>
      </c>
      <c r="AC16" s="1262">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8"/>
      <c r="Q17" s="1261" t="str">
        <f>B17</f>
        <v>交通便捷度</v>
      </c>
      <c r="R17" s="667" t="s">
        <v>14</v>
      </c>
      <c r="S17" s="668">
        <f>F17</f>
        <v>100</v>
      </c>
      <c r="T17" s="667" t="s">
        <v>14</v>
      </c>
      <c r="U17" s="668">
        <f>H17</f>
        <v>100</v>
      </c>
      <c r="V17" s="667" t="s">
        <v>14</v>
      </c>
      <c r="W17" s="668">
        <f>J17</f>
        <v>100</v>
      </c>
      <c r="X17" s="1263"/>
      <c r="Y17" s="3398"/>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90"/>
      <c r="M18" s="2485"/>
      <c r="N18" s="2485"/>
      <c r="O18" s="2540"/>
      <c r="P18" s="3398"/>
      <c r="Q18" s="1261"/>
      <c r="R18" s="667"/>
      <c r="S18" s="668"/>
      <c r="T18" s="667"/>
      <c r="U18" s="668"/>
      <c r="V18" s="667"/>
      <c r="W18" s="668"/>
      <c r="X18" s="1263"/>
      <c r="Y18" s="3398"/>
      <c r="Z18" s="1262"/>
      <c r="AA18" s="1262">
        <v>1</v>
      </c>
      <c r="AB18" s="1262">
        <v>1</v>
      </c>
      <c r="AC18" s="1262">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8"/>
      <c r="Q19" s="1261" t="str">
        <f t="shared" ref="Q19:Q33" si="8">B19</f>
        <v>区域土地利用方向</v>
      </c>
      <c r="R19" s="667" t="s">
        <v>14</v>
      </c>
      <c r="S19" s="668">
        <f>F19</f>
        <v>100</v>
      </c>
      <c r="T19" s="667" t="s">
        <v>14</v>
      </c>
      <c r="U19" s="668">
        <f>H19</f>
        <v>100</v>
      </c>
      <c r="V19" s="667" t="s">
        <v>14</v>
      </c>
      <c r="W19" s="668">
        <f>J19</f>
        <v>100</v>
      </c>
      <c r="X19" s="1263"/>
      <c r="Y19" s="3398"/>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90"/>
      <c r="M20" s="2485"/>
      <c r="N20" s="2485"/>
      <c r="O20" s="2540"/>
      <c r="P20" s="3398"/>
      <c r="Q20" s="1261"/>
      <c r="R20" s="667"/>
      <c r="S20" s="668"/>
      <c r="T20" s="667"/>
      <c r="U20" s="668"/>
      <c r="V20" s="667"/>
      <c r="W20" s="668"/>
      <c r="X20" s="1263"/>
      <c r="Y20" s="3398"/>
      <c r="Z20" s="1262"/>
      <c r="AA20" s="1262"/>
      <c r="AB20" s="1262"/>
      <c r="AC20" s="1262"/>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8"/>
      <c r="Q21" s="1261" t="str">
        <f t="shared" si="8"/>
        <v>环境状况</v>
      </c>
      <c r="R21" s="667" t="s">
        <v>14</v>
      </c>
      <c r="S21" s="668">
        <f>F21</f>
        <v>100</v>
      </c>
      <c r="T21" s="667" t="s">
        <v>14</v>
      </c>
      <c r="U21" s="668">
        <f>H21</f>
        <v>100</v>
      </c>
      <c r="V21" s="667" t="s">
        <v>14</v>
      </c>
      <c r="W21" s="668">
        <f>J21</f>
        <v>100</v>
      </c>
      <c r="X21" s="1263"/>
      <c r="Y21" s="3398"/>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90"/>
      <c r="M22" s="2485"/>
      <c r="N22" s="2485"/>
      <c r="O22" s="2540"/>
      <c r="P22" s="3398"/>
      <c r="Q22" s="1261"/>
      <c r="R22" s="667"/>
      <c r="S22" s="668"/>
      <c r="T22" s="667"/>
      <c r="U22" s="668"/>
      <c r="V22" s="667"/>
      <c r="W22" s="668"/>
      <c r="X22" s="1263"/>
      <c r="Y22" s="3398"/>
      <c r="Z22" s="1262"/>
      <c r="AA22" s="1262">
        <v>1</v>
      </c>
      <c r="AB22" s="1262">
        <v>1</v>
      </c>
      <c r="AC22" s="1262">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6"/>
      <c r="M24" s="2437"/>
      <c r="N24" s="2437"/>
      <c r="O24" s="2538"/>
      <c r="P24" s="3398"/>
      <c r="Q24" s="530"/>
      <c r="R24" s="664"/>
      <c r="S24" s="665"/>
      <c r="T24" s="664"/>
      <c r="U24" s="665"/>
      <c r="V24" s="664"/>
      <c r="W24" s="665"/>
      <c r="X24" s="666"/>
      <c r="Y24" s="3398"/>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98"/>
      <c r="Q25" s="530" t="str">
        <f t="shared" ref="Q25" si="9">B25</f>
        <v>基础设施水平</v>
      </c>
      <c r="R25" s="664" t="s">
        <v>14</v>
      </c>
      <c r="S25" s="665">
        <f>F25</f>
        <v>100</v>
      </c>
      <c r="T25" s="664" t="s">
        <v>14</v>
      </c>
      <c r="U25" s="665">
        <f>H25</f>
        <v>100</v>
      </c>
      <c r="V25" s="664" t="s">
        <v>14</v>
      </c>
      <c r="W25" s="665">
        <f>J25</f>
        <v>100</v>
      </c>
      <c r="X25" s="666"/>
      <c r="Y25" s="3398"/>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6"/>
      <c r="M26" s="2437"/>
      <c r="N26" s="2437"/>
      <c r="O26" s="2538"/>
      <c r="P26" s="3398"/>
      <c r="Q26" s="530"/>
      <c r="R26" s="664"/>
      <c r="S26" s="665"/>
      <c r="T26" s="664"/>
      <c r="U26" s="665"/>
      <c r="V26" s="664"/>
      <c r="W26" s="665"/>
      <c r="X26" s="666"/>
      <c r="Y26" s="339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8"/>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398"/>
      <c r="Z27" s="1262" t="str">
        <f t="shared" ref="Z27:Z40" si="13">Q27</f>
        <v>临街状况</v>
      </c>
      <c r="AA27" s="1262">
        <f t="shared" si="3"/>
        <v>1</v>
      </c>
      <c r="AB27" s="1262">
        <f t="shared" si="4"/>
        <v>1</v>
      </c>
      <c r="AC27" s="1262">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8"/>
      <c r="Q28" s="1261" t="str">
        <f t="shared" si="8"/>
        <v>毗邻道路的类型与等级</v>
      </c>
      <c r="R28" s="667" t="s">
        <v>14</v>
      </c>
      <c r="S28" s="668">
        <f t="shared" si="10"/>
        <v>100</v>
      </c>
      <c r="T28" s="667" t="s">
        <v>14</v>
      </c>
      <c r="U28" s="668">
        <f t="shared" si="11"/>
        <v>100</v>
      </c>
      <c r="V28" s="667" t="s">
        <v>14</v>
      </c>
      <c r="W28" s="668">
        <f t="shared" si="12"/>
        <v>100</v>
      </c>
      <c r="X28" s="1263"/>
      <c r="Y28" s="3398"/>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0"/>
      <c r="M29" s="2485"/>
      <c r="N29" s="2485"/>
      <c r="O29" s="2540"/>
      <c r="P29" s="3398"/>
      <c r="Q29" s="1261"/>
      <c r="R29" s="667"/>
      <c r="S29" s="668"/>
      <c r="T29" s="667"/>
      <c r="U29" s="668"/>
      <c r="V29" s="667"/>
      <c r="W29" s="668"/>
      <c r="X29" s="1263"/>
      <c r="Y29" s="3398"/>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8"/>
      <c r="Q30" s="1261" t="str">
        <f t="shared" si="8"/>
        <v>土地级别</v>
      </c>
      <c r="R30" s="667" t="s">
        <v>14</v>
      </c>
      <c r="S30" s="668">
        <f t="shared" si="10"/>
        <v>100</v>
      </c>
      <c r="T30" s="667" t="s">
        <v>14</v>
      </c>
      <c r="U30" s="668">
        <f t="shared" si="11"/>
        <v>100</v>
      </c>
      <c r="V30" s="667" t="s">
        <v>14</v>
      </c>
      <c r="W30" s="668">
        <f t="shared" si="12"/>
        <v>100</v>
      </c>
      <c r="X30" s="1263"/>
      <c r="Y30" s="3398"/>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8"/>
      <c r="Q31" s="1261">
        <f t="shared" si="8"/>
        <v>111</v>
      </c>
      <c r="R31" s="667" t="s">
        <v>14</v>
      </c>
      <c r="S31" s="668">
        <f t="shared" si="10"/>
        <v>100</v>
      </c>
      <c r="T31" s="667" t="s">
        <v>14</v>
      </c>
      <c r="U31" s="668">
        <f t="shared" si="11"/>
        <v>100</v>
      </c>
      <c r="V31" s="667" t="s">
        <v>14</v>
      </c>
      <c r="W31" s="668">
        <f t="shared" si="12"/>
        <v>100</v>
      </c>
      <c r="X31" s="1263"/>
      <c r="Y31" s="3398"/>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2" t="s">
        <v>1696</v>
      </c>
      <c r="Q32" s="1261">
        <f t="shared" si="8"/>
        <v>111</v>
      </c>
      <c r="R32" s="667" t="s">
        <v>14</v>
      </c>
      <c r="S32" s="668">
        <f t="shared" si="10"/>
        <v>100</v>
      </c>
      <c r="T32" s="667" t="s">
        <v>14</v>
      </c>
      <c r="U32" s="668">
        <f t="shared" si="11"/>
        <v>100</v>
      </c>
      <c r="V32" s="667" t="s">
        <v>14</v>
      </c>
      <c r="W32" s="668">
        <f t="shared" si="12"/>
        <v>100</v>
      </c>
      <c r="X32" s="1263"/>
      <c r="Y32" s="3402" t="s">
        <v>1696</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2"/>
      <c r="Q33" s="1261">
        <f t="shared" si="8"/>
        <v>111</v>
      </c>
      <c r="R33" s="669" t="s">
        <v>14</v>
      </c>
      <c r="S33" s="670">
        <f t="shared" si="10"/>
        <v>100</v>
      </c>
      <c r="T33" s="669" t="s">
        <v>14</v>
      </c>
      <c r="U33" s="670">
        <f t="shared" si="11"/>
        <v>100</v>
      </c>
      <c r="V33" s="669" t="s">
        <v>14</v>
      </c>
      <c r="W33" s="670">
        <f t="shared" si="12"/>
        <v>100</v>
      </c>
      <c r="X33" s="671"/>
      <c r="Y33" s="3402"/>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2"/>
      <c r="Q34" s="1261" t="str">
        <f>B34</f>
        <v>宗地面积</v>
      </c>
      <c r="R34" s="667" t="s">
        <v>14</v>
      </c>
      <c r="S34" s="668" t="e">
        <f t="shared" si="10"/>
        <v>#N/A</v>
      </c>
      <c r="T34" s="667" t="s">
        <v>14</v>
      </c>
      <c r="U34" s="668" t="e">
        <f t="shared" si="11"/>
        <v>#N/A</v>
      </c>
      <c r="V34" s="667" t="s">
        <v>14</v>
      </c>
      <c r="W34" s="668" t="e">
        <f t="shared" si="12"/>
        <v>#N/A</v>
      </c>
      <c r="X34" s="1263"/>
      <c r="Y34" s="3402"/>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0"/>
      <c r="M35" s="2485"/>
      <c r="N35" s="2485"/>
      <c r="O35" s="2540"/>
      <c r="P35" s="3402"/>
      <c r="Q35" s="1261" t="str">
        <f t="shared" ref="Q35:Q40" si="14">B35</f>
        <v>宗地形状</v>
      </c>
      <c r="R35" s="667" t="s">
        <v>14</v>
      </c>
      <c r="S35" s="668">
        <f t="shared" si="10"/>
        <v>100</v>
      </c>
      <c r="T35" s="667" t="s">
        <v>14</v>
      </c>
      <c r="U35" s="668">
        <f t="shared" si="11"/>
        <v>100</v>
      </c>
      <c r="V35" s="667" t="s">
        <v>14</v>
      </c>
      <c r="W35" s="668">
        <f t="shared" si="12"/>
        <v>100</v>
      </c>
      <c r="X35" s="1263"/>
      <c r="Y35" s="3402"/>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02"/>
      <c r="Q36" s="1261"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0"/>
      <c r="M37" s="2485"/>
      <c r="N37" s="2485"/>
      <c r="O37" s="2540"/>
      <c r="P37" s="3402" t="s">
        <v>1696</v>
      </c>
      <c r="Q37" s="1261" t="str">
        <f t="shared" si="14"/>
        <v>工程地质条件</v>
      </c>
      <c r="R37" s="667" t="s">
        <v>14</v>
      </c>
      <c r="S37" s="668">
        <f t="shared" si="10"/>
        <v>100</v>
      </c>
      <c r="T37" s="667" t="s">
        <v>14</v>
      </c>
      <c r="U37" s="668">
        <f t="shared" si="11"/>
        <v>100</v>
      </c>
      <c r="V37" s="667" t="s">
        <v>14</v>
      </c>
      <c r="W37" s="668">
        <f t="shared" si="12"/>
        <v>100</v>
      </c>
      <c r="X37" s="1263"/>
      <c r="Y37" s="3402"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2"/>
      <c r="Q38" s="1261">
        <f t="shared" si="14"/>
        <v>111</v>
      </c>
      <c r="R38" s="667" t="s">
        <v>14</v>
      </c>
      <c r="S38" s="668">
        <f t="shared" si="10"/>
        <v>100</v>
      </c>
      <c r="T38" s="667" t="s">
        <v>14</v>
      </c>
      <c r="U38" s="668">
        <f t="shared" si="11"/>
        <v>100</v>
      </c>
      <c r="V38" s="667" t="s">
        <v>14</v>
      </c>
      <c r="W38" s="668">
        <f t="shared" si="12"/>
        <v>100</v>
      </c>
      <c r="X38" s="1263"/>
      <c r="Y38" s="3402"/>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2"/>
      <c r="Q39" s="1261">
        <f t="shared" si="14"/>
        <v>111</v>
      </c>
      <c r="R39" s="667" t="s">
        <v>14</v>
      </c>
      <c r="S39" s="668">
        <f t="shared" si="10"/>
        <v>100</v>
      </c>
      <c r="T39" s="667" t="s">
        <v>14</v>
      </c>
      <c r="U39" s="668">
        <f t="shared" si="11"/>
        <v>100</v>
      </c>
      <c r="V39" s="667" t="s">
        <v>14</v>
      </c>
      <c r="W39" s="668">
        <f t="shared" si="12"/>
        <v>100</v>
      </c>
      <c r="X39" s="1263"/>
      <c r="Y39" s="3402"/>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2"/>
      <c r="Q40" s="1261">
        <f t="shared" si="14"/>
        <v>111</v>
      </c>
      <c r="R40" s="669" t="s">
        <v>14</v>
      </c>
      <c r="S40" s="670">
        <f t="shared" si="10"/>
        <v>100</v>
      </c>
      <c r="T40" s="669" t="s">
        <v>14</v>
      </c>
      <c r="U40" s="670">
        <f t="shared" si="11"/>
        <v>100</v>
      </c>
      <c r="V40" s="669" t="s">
        <v>14</v>
      </c>
      <c r="W40" s="670">
        <f t="shared" si="12"/>
        <v>100</v>
      </c>
      <c r="X40" s="671"/>
      <c r="Y40" s="3402"/>
      <c r="Z40" s="672">
        <f t="shared" si="13"/>
        <v>111</v>
      </c>
      <c r="AA40" s="1262">
        <f t="shared" si="3"/>
        <v>1</v>
      </c>
      <c r="AB40" s="1262">
        <f t="shared" si="4"/>
        <v>1</v>
      </c>
      <c r="AC40" s="1262">
        <f t="shared" si="5"/>
        <v>1</v>
      </c>
    </row>
    <row r="41" spans="1:31" ht="15">
      <c r="A41" s="416" t="s">
        <v>1844</v>
      </c>
      <c r="B41" s="1828" t="s">
        <v>1922</v>
      </c>
      <c r="C41" s="602" t="s">
        <v>0</v>
      </c>
      <c r="D41" s="418"/>
      <c r="E41" s="419"/>
      <c r="F41" s="420"/>
      <c r="G41" s="421"/>
      <c r="H41" s="422"/>
      <c r="I41" s="419"/>
      <c r="J41" s="422"/>
      <c r="K41" s="674"/>
      <c r="L41" s="2492"/>
      <c r="M41" s="2485"/>
      <c r="N41" s="2485"/>
      <c r="O41" s="2485"/>
      <c r="P41" s="3395" t="str">
        <f>A41</f>
        <v>成交单价</v>
      </c>
      <c r="Q41" s="3395"/>
      <c r="R41" s="3396">
        <f>E41</f>
        <v>0</v>
      </c>
      <c r="S41" s="3396"/>
      <c r="T41" s="3396">
        <f>G41</f>
        <v>0</v>
      </c>
      <c r="U41" s="3396"/>
      <c r="V41" s="3396">
        <f>I41</f>
        <v>0</v>
      </c>
      <c r="W41" s="3396"/>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395" t="str">
        <f>A42</f>
        <v>比较价值（元/平方米）</v>
      </c>
      <c r="Q42" s="339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92" t="str">
        <f>A43</f>
        <v>估价对象XX用房的比较价值（楼面单价，元/平方米）</v>
      </c>
      <c r="Q43" s="3393"/>
      <c r="R43" s="3455" t="e">
        <f>ROUND(IF(D42="简单平均",AVERAGE(R42:W42),R42*F42+T42*H42+V42*J42),0)</f>
        <v>#DIV/0!</v>
      </c>
      <c r="S43" s="3455"/>
      <c r="T43" s="3455"/>
      <c r="U43" s="3455"/>
      <c r="V43" s="3455"/>
      <c r="W43" s="345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10" t="s">
        <v>1887</v>
      </c>
      <c r="H50" s="3456"/>
      <c r="I50" s="1262" t="s">
        <v>1923</v>
      </c>
      <c r="J50" s="1262">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8">
        <v>1</v>
      </c>
      <c r="E51" s="610">
        <f>'数据-汇总表'!E8+'数据-汇总表'!E9</f>
        <v>11124.33</v>
      </c>
      <c r="F51" s="611" t="e">
        <f t="shared" ref="F51:F60" si="15">ROUND(B51*E51/10000,0)</f>
        <v>#DIV/0!</v>
      </c>
      <c r="G51" s="3406"/>
      <c r="H51" s="3395"/>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89">
        <v>0.25</v>
      </c>
      <c r="E52" s="614"/>
      <c r="F52" s="611" t="e">
        <f t="shared" si="15"/>
        <v>#DIV/0!</v>
      </c>
      <c r="G52" s="2748" t="s">
        <v>1892</v>
      </c>
      <c r="H52" s="832" t="str">
        <f>项目基本情况!B37</f>
        <v>四级</v>
      </c>
      <c r="I52" s="725">
        <f>SUMIF(修正!A59:A70,H52,修正!B59:B70)</f>
        <v>0.6</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89">
        <v>0.25</v>
      </c>
      <c r="E53" s="614"/>
      <c r="F53" s="611" t="e">
        <f t="shared" si="15"/>
        <v>#DIV/0!</v>
      </c>
      <c r="G53" s="2749"/>
      <c r="H53" s="832" t="str">
        <f>项目基本情况!B37</f>
        <v>四级</v>
      </c>
      <c r="I53" s="725">
        <f>SUMIF(修正!A59:A70,H53,修正!C59:C70)</f>
        <v>0.3</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89">
        <v>0.25</v>
      </c>
      <c r="E54" s="614"/>
      <c r="F54" s="611" t="e">
        <f t="shared" si="15"/>
        <v>#DIV/0!</v>
      </c>
      <c r="G54" s="2749"/>
      <c r="H54" s="832" t="str">
        <f>项目基本情况!B37</f>
        <v>四级</v>
      </c>
      <c r="I54" s="725">
        <f>SUMIF(修正!A59:A70,H54,修正!D59:D70)</f>
        <v>0.25</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89"/>
      <c r="E55" s="614"/>
      <c r="F55" s="611"/>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89">
        <v>0.25</v>
      </c>
      <c r="E56" s="209">
        <f>'数据-汇总表'!E11</f>
        <v>682.17</v>
      </c>
      <c r="F56" s="611" t="e">
        <f t="shared" si="15"/>
        <v>#DIV/0!</v>
      </c>
      <c r="G56" s="1833" t="s">
        <v>1896</v>
      </c>
      <c r="H56" s="832" t="str">
        <f>项目基本情况!C37</f>
        <v>四级</v>
      </c>
      <c r="I56" s="725">
        <f>SUMIF(修正!A59:A70,H56,修正!E59:E70)</f>
        <v>0.25</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89">
        <v>0.25</v>
      </c>
      <c r="E57" s="209">
        <f>'数据-汇总表'!E12</f>
        <v>3434.37</v>
      </c>
      <c r="F57" s="611" t="e">
        <f t="shared" si="15"/>
        <v>#DIV/0!</v>
      </c>
      <c r="G57" s="837" t="s">
        <v>1898</v>
      </c>
      <c r="H57" s="832" t="str">
        <f>IF(G57="商业",项目基本情况!B37,IF(G57="办公",项目基本情况!C37,IF(G57="住宅",项目基本情况!D37,项目基本情况!E37)))</f>
        <v>四级</v>
      </c>
      <c r="I57" s="725">
        <f>SUMIF(修正!A59:A70,H57,修正!F59:F70)</f>
        <v>0.25</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89">
        <v>0.25</v>
      </c>
      <c r="E58" s="209">
        <f>'数据-汇总表'!E13</f>
        <v>17387.98</v>
      </c>
      <c r="F58" s="611" t="e">
        <f t="shared" si="15"/>
        <v>#DIV/0!</v>
      </c>
      <c r="G58" s="837" t="s">
        <v>1900</v>
      </c>
      <c r="H58" s="832">
        <f>IF(G58="商业",项目基本情况!B37,IF(G58="办公",项目基本情况!C37,IF(G58="住宅",项目基本情况!D37,项目基本情况!E37)))</f>
        <v>0</v>
      </c>
      <c r="I58" s="725">
        <f>SUMIF(修正!A59:A70,H58,修正!G59:G70)</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89">
        <v>0.25</v>
      </c>
      <c r="E59" s="209">
        <f>'数据-汇总表'!E14</f>
        <v>0</v>
      </c>
      <c r="F59" s="611" t="e">
        <f t="shared" si="15"/>
        <v>#DIV/0!</v>
      </c>
      <c r="G59" s="1833" t="s">
        <v>1892</v>
      </c>
      <c r="H59" s="832" t="str">
        <f>项目基本情况!B37</f>
        <v>四级</v>
      </c>
      <c r="I59" s="725">
        <f>SUMIF(修正!A59:A70,H59,修正!G59:G70)</f>
        <v>0.15</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89">
        <v>0.25</v>
      </c>
      <c r="E60" s="209">
        <f>'数据-汇总表'!E15</f>
        <v>3518.8</v>
      </c>
      <c r="F60" s="611" t="e">
        <f t="shared" si="15"/>
        <v>#DIV/0!</v>
      </c>
      <c r="G60" s="1834" t="s">
        <v>1896</v>
      </c>
      <c r="H60" s="842" t="str">
        <f>项目基本情况!C37</f>
        <v>四级</v>
      </c>
      <c r="I60" s="725">
        <f>SUMIF(修正!A59:A70,H60,修正!G59:G70)</f>
        <v>0.15</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4"/>
      <c r="P64" s="2535"/>
      <c r="Q64" s="2506"/>
      <c r="R64" s="2485"/>
      <c r="S64" s="2485"/>
      <c r="T64" s="2485"/>
      <c r="U64" s="2485"/>
      <c r="V64" s="2485"/>
      <c r="W64" s="2485"/>
      <c r="X64" s="2485"/>
      <c r="Y64" s="2485"/>
      <c r="Z64" s="2485"/>
      <c r="AA64" s="2485"/>
      <c r="AB64" s="2485"/>
      <c r="AC64" s="2485"/>
      <c r="AD64" s="2485"/>
      <c r="AE64" s="2485"/>
    </row>
    <row r="65" spans="1:31" s="442" customFormat="1" ht="15">
      <c r="A65" s="1628" t="s">
        <v>1904</v>
      </c>
      <c r="B65" s="1044"/>
      <c r="C65" s="1099" t="str">
        <f>YEAR(C63)&amp;"-"&amp;ROUNDUP(MONTH(C63)/3,0)</f>
        <v>2025-3</v>
      </c>
      <c r="D65" s="1099" t="str">
        <f t="shared" ref="D65:O65" si="19">YEAR(D63)&amp;"-"&amp;ROUNDUP(MONTH(D63)/3,0)</f>
        <v>2025-2</v>
      </c>
      <c r="E65" s="1099" t="str">
        <f t="shared" si="19"/>
        <v>2025-1</v>
      </c>
      <c r="F65" s="1099" t="str">
        <f t="shared" si="19"/>
        <v>2024-4</v>
      </c>
      <c r="G65" s="1099" t="str">
        <f t="shared" si="19"/>
        <v>2024-3</v>
      </c>
      <c r="H65" s="1099" t="str">
        <f t="shared" si="19"/>
        <v>2024-2</v>
      </c>
      <c r="I65" s="1099" t="str">
        <f t="shared" si="19"/>
        <v>2024-1</v>
      </c>
      <c r="J65" s="1099" t="str">
        <f t="shared" si="19"/>
        <v>2023-4</v>
      </c>
      <c r="K65" s="1099" t="str">
        <f t="shared" si="19"/>
        <v>2023-3</v>
      </c>
      <c r="L65" s="1099" t="str">
        <f t="shared" si="19"/>
        <v>2023-2</v>
      </c>
      <c r="M65" s="1099" t="str">
        <f t="shared" si="19"/>
        <v>2023-1</v>
      </c>
      <c r="N65" s="1099" t="str">
        <f t="shared" si="19"/>
        <v>2022-4</v>
      </c>
      <c r="O65" s="1099"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"北京市平均增长率"&amp;TEXT('基准地价修正-商业'!P28,"0.00%")</f>
        <v>北京市平均增长率0.00%</v>
      </c>
      <c r="C66" s="530">
        <v>100</v>
      </c>
      <c r="D66" s="6"/>
      <c r="E66" s="6"/>
      <c r="F66" s="6"/>
      <c r="G66" s="6"/>
      <c r="H66" s="6"/>
      <c r="I66" s="6"/>
      <c r="J66" s="6"/>
      <c r="K66" s="6"/>
      <c r="L66" s="6"/>
      <c r="M66" s="1064"/>
      <c r="N66" s="1064"/>
      <c r="O66" s="1097"/>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64" t="s">
        <v>2084</v>
      </c>
      <c r="D1" s="3465"/>
      <c r="E1" s="3465"/>
      <c r="F1" s="3465"/>
      <c r="G1" s="3465"/>
      <c r="H1" s="3465"/>
      <c r="I1" s="3465"/>
      <c r="J1" s="3465"/>
      <c r="K1" s="3465"/>
      <c r="L1" s="3465"/>
      <c r="M1" s="3465"/>
      <c r="N1" s="3465"/>
      <c r="O1" s="3465"/>
      <c r="P1" s="3465"/>
      <c r="Q1" s="3465"/>
      <c r="R1" s="3465"/>
      <c r="S1" s="3466"/>
      <c r="T1" s="927" t="s">
        <v>2085</v>
      </c>
    </row>
    <row r="2" spans="1:45" s="625" customFormat="1">
      <c r="A2" s="928"/>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2"/>
      <c r="G4" s="1222"/>
      <c r="H4" s="1222"/>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2" t="s">
        <v>2096</v>
      </c>
      <c r="B20" s="286" t="e">
        <f ca="1">IF(D20="——",S22,S22-F20)</f>
        <v>#REF!</v>
      </c>
      <c r="C20" s="151"/>
      <c r="D20" s="1987"/>
      <c r="E20" s="1252"/>
      <c r="F20" s="927" t="e">
        <f ca="1">SUMIF(INDIRECT("'"&amp;H20&amp;"'"&amp;"!A:A"),"承租人权益价值",INDIRECT("'"&amp;H20&amp;"'"&amp;"!c:c"))</f>
        <v>#REF!</v>
      </c>
      <c r="G20" s="927"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3" t="s">
        <v>2081</v>
      </c>
      <c r="B1" s="4"/>
      <c r="C1" s="4"/>
      <c r="D1" s="4"/>
      <c r="E1" s="4"/>
      <c r="F1" s="2542"/>
      <c r="G1" s="2542"/>
      <c r="H1" s="2542"/>
      <c r="I1" s="2542"/>
      <c r="J1" s="2542"/>
      <c r="K1" s="2542"/>
      <c r="L1" s="2542"/>
      <c r="M1" s="2542"/>
      <c r="N1" s="2542"/>
      <c r="O1" s="2542"/>
      <c r="P1" s="2542"/>
    </row>
    <row r="2" spans="1:16" ht="15.75">
      <c r="A2" s="1982" t="s">
        <v>2073</v>
      </c>
      <c r="B2" s="2385">
        <f ca="1">SUMIF(B6:B13,"&lt;&gt;#ref!",B6:B13)</f>
        <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#REF!</v>
      </c>
      <c r="C6" s="1982" t="s">
        <v>2074</v>
      </c>
      <c r="D6" s="2542"/>
      <c r="E6" s="2395" t="e">
        <f ca="1">SUMIF(INDIRECT("'"&amp;A6&amp;"'"&amp;"!C:C"),"建筑面积",INDIRECT("'"&amp;A6&amp;"'"&amp;"!D:D"))</f>
        <v>#REF!</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EEFA-8E3E-4843-8604-5A82F8269E00}">
  <sheetPr>
    <tabColor rgb="FF92D050"/>
  </sheetPr>
  <dimension ref="A1:AK122"/>
  <sheetViews>
    <sheetView view="pageBreakPreview" topLeftCell="A52" zoomScaleNormal="80" zoomScaleSheetLayoutView="100" workbookViewId="0">
      <selection activeCell="I41" sqref="I41"/>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25023.32</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f>C30</f>
        <v>65417910</v>
      </c>
      <c r="C2" s="1844" t="s">
        <v>1935</v>
      </c>
      <c r="D2" s="162" t="s">
        <v>1936</v>
      </c>
      <c r="E2" s="3118"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61">
        <f>ROUND(SUMPRODUCT((B106:B110=R2)*(C105:N105=G2)*(C106:N110)),4)</f>
        <v>1.5019</v>
      </c>
      <c r="T2" s="3061">
        <f t="shared" ref="T2:T16" si="0">ROUND($C$5*$C$22*$C$23*$C$24*S2*$C$28,0)</f>
        <v>24765</v>
      </c>
      <c r="U2" s="1128"/>
      <c r="V2" s="3061">
        <f>ROUND(T2*U2/10000,0)</f>
        <v>0</v>
      </c>
      <c r="W2" s="1131"/>
      <c r="X2" s="1131"/>
      <c r="Y2" s="1131"/>
      <c r="Z2" s="1131"/>
      <c r="AA2" s="1131"/>
      <c r="AB2" s="1131"/>
      <c r="AC2" s="1132"/>
      <c r="AD2" s="1133"/>
      <c r="AE2" s="1133"/>
      <c r="AF2" s="1133"/>
      <c r="AG2" s="1133"/>
      <c r="AH2" s="1133"/>
      <c r="AI2" s="1133"/>
      <c r="AJ2" s="1134"/>
    </row>
    <row r="3" spans="1:36" ht="15.75">
      <c r="A3" s="195" t="s">
        <v>1940</v>
      </c>
      <c r="B3" s="196">
        <f>ROUND(B2*10000/D1,0)</f>
        <v>26142778</v>
      </c>
      <c r="C3" s="1844" t="s">
        <v>1941</v>
      </c>
      <c r="D3" s="162" t="s">
        <v>1942</v>
      </c>
      <c r="E3" s="3116" t="s">
        <v>3411</v>
      </c>
      <c r="F3" s="1846" t="s">
        <v>3436</v>
      </c>
      <c r="G3" s="706">
        <f>IF(F3="宗地容积率",'数据-汇总表'!I4,IF(F3="估价对象容积率",'数据-汇总表'!I6,'数据-汇总表'!I7))</f>
        <v>7.87</v>
      </c>
      <c r="H3" s="162" t="s">
        <v>1943</v>
      </c>
      <c r="I3" s="727"/>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61">
        <f>ROUND(SUMPRODUCT((B106:B110=R3)*(C105:N105=G2)*(C106:N110)),4)</f>
        <v>1.1838</v>
      </c>
      <c r="T3" s="3061">
        <f t="shared" si="0"/>
        <v>19520</v>
      </c>
      <c r="U3" s="1128"/>
      <c r="V3" s="3061">
        <f t="shared" ref="V3:V16" si="1">ROUND(T3*U3/10000,0)</f>
        <v>0</v>
      </c>
      <c r="W3" s="1131"/>
      <c r="X3" s="1131"/>
      <c r="Y3" s="1131"/>
      <c r="Z3" s="1131"/>
      <c r="AA3" s="1131"/>
      <c r="AB3" s="1131"/>
      <c r="AC3" s="1132"/>
      <c r="AD3" s="1133"/>
      <c r="AE3" s="1133"/>
      <c r="AF3" s="1133"/>
      <c r="AG3" s="1133"/>
      <c r="AH3" s="1133"/>
      <c r="AI3" s="1133"/>
      <c r="AJ3" s="1134"/>
    </row>
    <row r="4" spans="1:36" ht="15.75">
      <c r="A4" s="3469"/>
      <c r="B4" s="3470"/>
      <c r="C4" s="3470"/>
      <c r="D4" s="3471"/>
      <c r="E4" s="3471"/>
      <c r="F4" s="3471"/>
      <c r="G4" s="3471"/>
      <c r="H4" s="3471"/>
      <c r="I4" s="3471"/>
      <c r="J4" s="3472"/>
      <c r="K4" s="1054"/>
      <c r="L4" s="1845" t="s">
        <v>1946</v>
      </c>
      <c r="M4" s="809">
        <f>SUMPRODUCT((区片价!B55:B86=I2)*(区片价!C3:G3=E2)*(区片价!C55:G86))</f>
        <v>16540</v>
      </c>
      <c r="N4" s="811">
        <f>SUMPRODUCT((因素修正幅度!B55:B86=I2)*(因素修正幅度!C3:G3=E2)*(因素修正幅度!C55:G86))</f>
        <v>9.8000000000000004E-2</v>
      </c>
      <c r="O4" s="1054"/>
      <c r="P4" s="1054"/>
      <c r="Q4" s="1054"/>
      <c r="R4" s="1127">
        <v>3</v>
      </c>
      <c r="S4" s="3061">
        <f>ROUND(SUMPRODUCT((B106:B110=R4)*(C105:N105=G2)*(C106:N110)),4)</f>
        <v>1.0004999999999999</v>
      </c>
      <c r="T4" s="3061">
        <f t="shared" si="0"/>
        <v>16498</v>
      </c>
      <c r="U4" s="1128"/>
      <c r="V4" s="3061">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7">
        <f>ROUND(IF(E2="商业",C6*C7*C17+C20,(IF(E2="住宅",C6*C13*C17+C20,IF(E2="办公",C6*C12*C17+C20,C6+C20)))),0)</f>
        <v>17367</v>
      </c>
      <c r="D5" s="1250">
        <f>ROUND(C6*C17+C20,0)</f>
        <v>16540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61">
        <f>ROUND(SUMPRODUCT((B106:B110=R5)*(C105:N105=G2)*(C106:N110)),4)</f>
        <v>0.88239999999999996</v>
      </c>
      <c r="T5" s="3061">
        <f t="shared" si="0"/>
        <v>14550</v>
      </c>
      <c r="U5" s="1128"/>
      <c r="V5" s="3061">
        <f t="shared" si="1"/>
        <v>0</v>
      </c>
      <c r="W5" s="1131"/>
      <c r="X5" s="1131"/>
      <c r="Y5" s="1131"/>
      <c r="Z5" s="1131"/>
      <c r="AA5" s="1131"/>
      <c r="AB5" s="1131"/>
      <c r="AC5" s="1853"/>
      <c r="AD5" s="1854"/>
      <c r="AE5" s="1854"/>
      <c r="AF5" s="1854"/>
      <c r="AG5" s="1854"/>
      <c r="AH5" s="1854"/>
      <c r="AI5" s="1854"/>
      <c r="AJ5" s="1855"/>
    </row>
    <row r="6" spans="1:36" ht="15.75" thickBot="1">
      <c r="A6" s="1857" t="s">
        <v>1949</v>
      </c>
      <c r="B6" s="1858" t="s">
        <v>1950</v>
      </c>
      <c r="C6" s="708">
        <f>SUMIF(L1:L12,G2,M1:M12)</f>
        <v>16540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61">
        <f>ROUND(SUMPRODUCT((B106:B110=R6)*(C105:N105=G2)*(C106:N110)),4)</f>
        <v>0.84799999999999998</v>
      </c>
      <c r="T6" s="3061">
        <f t="shared" si="0"/>
        <v>13983</v>
      </c>
      <c r="U6" s="1128"/>
      <c r="V6" s="3061">
        <f t="shared" si="1"/>
        <v>0</v>
      </c>
      <c r="W6" s="1131"/>
      <c r="X6" s="1131"/>
      <c r="Y6" s="1131"/>
      <c r="Z6" s="1131"/>
      <c r="AA6" s="1131"/>
      <c r="AB6" s="1131"/>
      <c r="AC6" s="1853"/>
      <c r="AD6" s="1854"/>
      <c r="AE6" s="1854"/>
      <c r="AF6" s="1854"/>
      <c r="AG6" s="1854"/>
      <c r="AH6" s="1854"/>
      <c r="AI6" s="1854"/>
      <c r="AJ6" s="1855"/>
    </row>
    <row r="7" spans="1:36" ht="24.75" thickBot="1">
      <c r="A7" s="3010" t="s">
        <v>3234</v>
      </c>
      <c r="B7" s="1863" t="s">
        <v>1952</v>
      </c>
      <c r="C7" s="709" t="e">
        <f>IF(C8="不临65条商业街",1,ROUND(1+(1.6*E8+1.2*E9+0.8*E10+0.4*E11)*C9,4))</f>
        <v>#DIV/0!</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5"/>
      <c r="T7" s="3061">
        <f t="shared" si="0"/>
        <v>0</v>
      </c>
      <c r="U7" s="1128"/>
      <c r="V7" s="3061">
        <f t="shared" si="1"/>
        <v>0</v>
      </c>
      <c r="W7" s="1265" t="s">
        <v>1955</v>
      </c>
      <c r="X7" s="1129" t="str">
        <f>G2</f>
        <v>四级</v>
      </c>
      <c r="Y7" s="1129" t="s">
        <v>1956</v>
      </c>
      <c r="Z7" s="1130">
        <f>G3</f>
        <v>7.87</v>
      </c>
      <c r="AA7" s="1131"/>
      <c r="AB7" s="1131"/>
      <c r="AC7" s="1132"/>
      <c r="AD7" s="1133"/>
      <c r="AE7" s="1133"/>
      <c r="AF7" s="1133"/>
      <c r="AG7" s="1133"/>
      <c r="AH7" s="1133"/>
      <c r="AI7" s="1133"/>
      <c r="AJ7" s="1134"/>
    </row>
    <row r="8" spans="1:36" ht="15">
      <c r="A8" s="3007"/>
      <c r="B8" s="162" t="s">
        <v>1957</v>
      </c>
      <c r="C8" s="1868"/>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61">
        <f t="shared" si="0"/>
        <v>0</v>
      </c>
      <c r="U8" s="1128"/>
      <c r="V8" s="3061">
        <f t="shared" si="1"/>
        <v>0</v>
      </c>
      <c r="W8" s="3473" t="s">
        <v>1960</v>
      </c>
      <c r="X8" s="3474"/>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7"/>
      <c r="B9" s="162" t="s">
        <v>1973</v>
      </c>
      <c r="C9" s="712">
        <f>SUMIF(修正!C73:C140,C8,修正!E73:E140)</f>
        <v>0</v>
      </c>
      <c r="D9" s="163" t="s">
        <v>113</v>
      </c>
      <c r="E9" s="163"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61">
        <f t="shared" si="0"/>
        <v>0</v>
      </c>
      <c r="U9" s="1128"/>
      <c r="V9" s="3061">
        <f t="shared" si="1"/>
        <v>0</v>
      </c>
      <c r="W9" s="3475"/>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61">
        <f t="shared" si="0"/>
        <v>0</v>
      </c>
      <c r="U10" s="1128"/>
      <c r="V10" s="3061">
        <f t="shared" si="1"/>
        <v>0</v>
      </c>
      <c r="W10" s="347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61">
        <f t="shared" si="0"/>
        <v>0</v>
      </c>
      <c r="U11" s="1128"/>
      <c r="V11" s="3061">
        <f t="shared" si="1"/>
        <v>0</v>
      </c>
      <c r="W11" s="1131"/>
      <c r="X11" s="1131"/>
      <c r="Y11" s="1131"/>
      <c r="Z11" s="1131"/>
      <c r="AA11" s="1131"/>
      <c r="AB11" s="1131"/>
      <c r="AC11" s="1132"/>
      <c r="AD11" s="2551"/>
      <c r="AE11" s="2551"/>
      <c r="AF11" s="2551"/>
      <c r="AG11" s="2551"/>
      <c r="AH11" s="2551"/>
      <c r="AI11" s="2551"/>
      <c r="AJ11" s="2552"/>
    </row>
    <row r="12" spans="1:36" ht="25.5" thickBot="1">
      <c r="A12" s="3010" t="s">
        <v>3235</v>
      </c>
      <c r="B12" s="3011" t="s">
        <v>3236</v>
      </c>
      <c r="C12" s="3012">
        <v>1.05</v>
      </c>
      <c r="D12" s="3013" t="s">
        <v>3237</v>
      </c>
      <c r="E12" s="3014" t="s">
        <v>3238</v>
      </c>
      <c r="F12" s="3015"/>
      <c r="G12" s="3169" t="s">
        <v>3437</v>
      </c>
      <c r="H12" s="3016"/>
      <c r="I12" s="3016"/>
      <c r="J12" s="3017"/>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61">
        <f t="shared" si="0"/>
        <v>0</v>
      </c>
      <c r="U12" s="1128"/>
      <c r="V12" s="3061">
        <f t="shared" si="1"/>
        <v>0</v>
      </c>
      <c r="W12" s="1131"/>
      <c r="X12" s="1131"/>
      <c r="Y12" s="1131"/>
      <c r="Z12" s="1131"/>
      <c r="AA12" s="1131"/>
      <c r="AB12" s="1131"/>
      <c r="AC12" s="1132"/>
      <c r="AD12" s="2551"/>
      <c r="AE12" s="2551"/>
      <c r="AF12" s="2551"/>
      <c r="AG12" s="2551"/>
      <c r="AH12" s="2551"/>
      <c r="AI12" s="2551"/>
      <c r="AJ12" s="2552"/>
    </row>
    <row r="13" spans="1:36" ht="15.75" thickBot="1">
      <c r="A13" s="3010" t="s">
        <v>3239</v>
      </c>
      <c r="B13" s="1876" t="s">
        <v>1982</v>
      </c>
      <c r="C13" s="709">
        <f>ROUND(C16*D16*E16*F16*G16*H16*I16*J16,4)</f>
        <v>0</v>
      </c>
      <c r="D13" s="1877" t="s">
        <v>1983</v>
      </c>
      <c r="E13" s="1878"/>
      <c r="F13" s="1878"/>
      <c r="G13" s="1879"/>
      <c r="H13" s="1879"/>
      <c r="I13" s="1879"/>
      <c r="J13" s="1880"/>
      <c r="K13" s="1054"/>
      <c r="L13" s="3"/>
      <c r="M13" s="4"/>
      <c r="N13" s="3008"/>
      <c r="O13" s="1054"/>
      <c r="P13" s="1054"/>
      <c r="Q13" s="1054"/>
      <c r="R13" s="1127">
        <v>12</v>
      </c>
      <c r="S13" s="1128"/>
      <c r="T13" s="3061">
        <f t="shared" si="0"/>
        <v>0</v>
      </c>
      <c r="U13" s="1128"/>
      <c r="V13" s="3061">
        <f t="shared" si="1"/>
        <v>0</v>
      </c>
      <c r="W13" s="1131"/>
      <c r="X13" s="1131"/>
      <c r="Y13" s="1131"/>
      <c r="Z13" s="1131"/>
      <c r="AA13" s="1131"/>
      <c r="AB13" s="1131"/>
      <c r="AC13" s="1132"/>
      <c r="AD13" s="2551"/>
      <c r="AE13" s="2551"/>
      <c r="AF13" s="2551"/>
      <c r="AG13" s="2551"/>
      <c r="AH13" s="2551"/>
      <c r="AI13" s="2551"/>
      <c r="AJ13" s="2552"/>
    </row>
    <row r="14" spans="1:36" ht="15">
      <c r="A14" s="3006"/>
      <c r="B14" s="1881" t="s">
        <v>1985</v>
      </c>
      <c r="C14" s="1882" t="s">
        <v>1986</v>
      </c>
      <c r="D14" s="1259" t="s">
        <v>1987</v>
      </c>
      <c r="E14" s="27" t="s">
        <v>1988</v>
      </c>
      <c r="F14" s="3018" t="s">
        <v>3240</v>
      </c>
      <c r="G14" s="3018" t="s">
        <v>3240</v>
      </c>
      <c r="H14" s="3018" t="s">
        <v>3240</v>
      </c>
      <c r="I14" s="3018" t="s">
        <v>3240</v>
      </c>
      <c r="J14" s="3018" t="s">
        <v>3240</v>
      </c>
      <c r="K14" s="1054"/>
      <c r="L14" s="1054"/>
      <c r="M14" s="1054"/>
      <c r="N14" s="1054"/>
      <c r="O14" s="1054"/>
      <c r="P14" s="1054"/>
      <c r="Q14" s="1054"/>
      <c r="R14" s="1127">
        <v>13</v>
      </c>
      <c r="S14" s="1128"/>
      <c r="T14" s="3061">
        <f t="shared" si="0"/>
        <v>0</v>
      </c>
      <c r="U14" s="1128"/>
      <c r="V14" s="3061">
        <f t="shared" si="1"/>
        <v>0</v>
      </c>
      <c r="W14" s="1131"/>
      <c r="X14" s="1131"/>
      <c r="Y14" s="1131"/>
      <c r="Z14" s="1131"/>
      <c r="AA14" s="1131"/>
      <c r="AB14" s="1131"/>
      <c r="AC14" s="1132"/>
      <c r="AD14" s="2551"/>
      <c r="AE14" s="2551"/>
      <c r="AF14" s="2551"/>
      <c r="AG14" s="2551"/>
      <c r="AH14" s="2551"/>
      <c r="AI14" s="2551"/>
      <c r="AJ14" s="2552"/>
    </row>
    <row r="15" spans="1:36" ht="15">
      <c r="A15" s="3006"/>
      <c r="B15" s="1883"/>
      <c r="C15" s="1884"/>
      <c r="D15" s="1885"/>
      <c r="E15" s="1886"/>
      <c r="F15" s="1468" t="s">
        <v>3241</v>
      </c>
      <c r="G15" s="1926"/>
      <c r="H15" s="3019"/>
      <c r="I15" s="3020"/>
      <c r="J15" s="3021"/>
      <c r="K15" s="1054"/>
      <c r="L15" s="1054"/>
      <c r="M15" s="1054"/>
      <c r="N15" s="1054"/>
      <c r="O15" s="1054"/>
      <c r="P15" s="1054"/>
      <c r="Q15" s="1054"/>
      <c r="R15" s="1127">
        <v>14</v>
      </c>
      <c r="S15" s="1128"/>
      <c r="T15" s="3061">
        <f t="shared" si="0"/>
        <v>0</v>
      </c>
      <c r="U15" s="1128"/>
      <c r="V15" s="3061">
        <f t="shared" si="1"/>
        <v>0</v>
      </c>
      <c r="W15" s="1131"/>
      <c r="X15" s="1131"/>
      <c r="Y15" s="1131"/>
      <c r="Z15" s="1131"/>
      <c r="AA15" s="1131"/>
      <c r="AB15" s="1131"/>
      <c r="AC15" s="1132"/>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4"/>
      <c r="L16" s="1842"/>
      <c r="M16" s="1842"/>
      <c r="N16" s="1842"/>
      <c r="O16" s="1842"/>
      <c r="P16" s="1842"/>
      <c r="Q16" s="1054"/>
      <c r="R16" s="1127">
        <v>15</v>
      </c>
      <c r="S16" s="1128"/>
      <c r="T16" s="3061">
        <f t="shared" si="0"/>
        <v>0</v>
      </c>
      <c r="U16" s="1128"/>
      <c r="V16" s="3061">
        <f t="shared" si="1"/>
        <v>0</v>
      </c>
      <c r="W16" s="1131"/>
      <c r="X16" s="1131"/>
      <c r="Y16" s="1131"/>
      <c r="Z16" s="1131"/>
      <c r="AA16" s="1131"/>
      <c r="AB16" s="1131"/>
      <c r="AC16" s="1132"/>
      <c r="AD16" s="2551"/>
      <c r="AE16" s="2551"/>
      <c r="AF16" s="2551"/>
      <c r="AG16" s="2551"/>
      <c r="AH16" s="2551"/>
      <c r="AI16" s="2551"/>
      <c r="AJ16" s="2552"/>
    </row>
    <row r="17" spans="1:37">
      <c r="A17" s="3033" t="s">
        <v>3242</v>
      </c>
      <c r="B17" s="3025" t="s">
        <v>3243</v>
      </c>
      <c r="C17" s="3034">
        <f>ROUND(IF(OR(E2="工业",E2="公共服务"),1,IF(AND(E18=0,E19=0),1,IF(AND(E18=J24,E19=G19),0.8,IF(E19=0,1+E17*(-0.2),1+E17*G17*(-0.2))))),4)</f>
        <v>1</v>
      </c>
      <c r="D17" s="3026" t="s">
        <v>3244</v>
      </c>
      <c r="E17" s="3034">
        <f>ROUND(G18/I18,2)</f>
        <v>0</v>
      </c>
      <c r="F17" s="3026" t="s">
        <v>3247</v>
      </c>
      <c r="G17" s="3034" t="e">
        <f>ROUND(E19/G19,2)</f>
        <v>#DIV/0!</v>
      </c>
      <c r="H17" s="3034"/>
      <c r="I17" s="3034"/>
      <c r="J17" s="3035"/>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6"/>
      <c r="B18" s="2307"/>
      <c r="C18" s="3032"/>
      <c r="D18" s="3027" t="s">
        <v>3245</v>
      </c>
      <c r="E18" s="2354"/>
      <c r="F18" s="3028" t="s">
        <v>3248</v>
      </c>
      <c r="G18" s="3032">
        <f>ROUND(1-(1/(POWER(1+G24,E18))),4)</f>
        <v>0</v>
      </c>
      <c r="H18" s="3028" t="s">
        <v>3250</v>
      </c>
      <c r="I18" s="3032">
        <f>ROUND(1-(1/(POWER(1+G24,J24))),4)</f>
        <v>0.93120000000000003</v>
      </c>
      <c r="J18" s="3037"/>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0"/>
    </row>
    <row r="19" spans="1:37" s="1856" customFormat="1" ht="15" thickBot="1">
      <c r="A19" s="3038"/>
      <c r="B19" s="3039"/>
      <c r="C19" s="3040"/>
      <c r="D19" s="3040" t="s">
        <v>3246</v>
      </c>
      <c r="E19" s="3041"/>
      <c r="F19" s="3042" t="s">
        <v>3249</v>
      </c>
      <c r="G19" s="3041"/>
      <c r="H19" s="3040"/>
      <c r="I19" s="3040"/>
      <c r="J19" s="3043"/>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3"/>
      <c r="AH19" s="1978"/>
      <c r="AI19" s="561"/>
      <c r="AJ19" s="561"/>
      <c r="AK19" s="1897"/>
    </row>
    <row r="20" spans="1:37" s="1856" customFormat="1" ht="14.25">
      <c r="A20" s="3476" t="s">
        <v>3251</v>
      </c>
      <c r="B20" s="159" t="s">
        <v>1994</v>
      </c>
      <c r="C20" s="3029">
        <f>ROUND(IF(F21="与级别开发程度一致",0,(G21-E21)/C21),0)</f>
        <v>0</v>
      </c>
      <c r="D20" s="3044" t="s">
        <v>1998</v>
      </c>
      <c r="E20" s="3045"/>
      <c r="F20" s="3478" t="s">
        <v>1995</v>
      </c>
      <c r="G20" s="3479"/>
      <c r="H20" s="3030"/>
      <c r="I20" s="3030"/>
      <c r="J20" s="3031"/>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6" customFormat="1" ht="26.25" thickBot="1">
      <c r="A21" s="3477"/>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3438</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6" customFormat="1" ht="15.75" thickBot="1">
      <c r="A22" s="1994" t="s">
        <v>363</v>
      </c>
      <c r="B22" s="1995" t="s">
        <v>2000</v>
      </c>
      <c r="C22" s="1996">
        <f>SUMIF(修正!C20:C53,E3,修正!E20:E53)</f>
        <v>1</v>
      </c>
      <c r="D22" s="1997"/>
      <c r="E22" s="1998"/>
      <c r="F22" s="1998"/>
      <c r="G22" s="1998"/>
      <c r="H22" s="1998"/>
      <c r="I22" s="1998"/>
      <c r="J22" s="1999"/>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90" t="s">
        <v>364</v>
      </c>
      <c r="B23" s="1891"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94" t="s">
        <v>2002</v>
      </c>
      <c r="E23" s="715">
        <v>44197</v>
      </c>
      <c r="F23" s="1894" t="s">
        <v>2003</v>
      </c>
      <c r="G23" s="716">
        <f>'数据-取费表'!B2</f>
        <v>45884</v>
      </c>
      <c r="H23" s="3046" t="s">
        <v>3253</v>
      </c>
      <c r="I23" s="3047" t="str">
        <f>IF(H23="季度增幅（自定义）",SUMIF(N25:N28,E2,O25:O28),"")</f>
        <v/>
      </c>
      <c r="J23" s="3139" t="s">
        <v>3252</v>
      </c>
      <c r="K23" s="1059"/>
      <c r="L23" s="1895" t="s">
        <v>2004</v>
      </c>
      <c r="M23" s="1239">
        <f>ROUND(SUMIF(地价!B2:G2,E2,地价!B16:G16),0)</f>
        <v>350</v>
      </c>
      <c r="N23" s="1896" t="s">
        <v>2005</v>
      </c>
      <c r="O23" s="717">
        <f>ROUNDDOWN(DATEDIF(E23,G23,"M")/3,0)</f>
        <v>18</v>
      </c>
      <c r="P23" s="1055"/>
      <c r="Q23" s="2550"/>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8">
        <f>ROUND(POWER(1+G24,J24-I24)*(POWER(1+G24,I24)-1)/(POWER(1+G24,J24)-1),4)</f>
        <v>0.91420000000000001</v>
      </c>
      <c r="D24" s="1900" t="s">
        <v>2007</v>
      </c>
      <c r="E24" s="1246">
        <f>存贷款利率!E28/100</f>
        <v>4.3499999999999997E-2</v>
      </c>
      <c r="F24" s="1900" t="s">
        <v>1999</v>
      </c>
      <c r="G24" s="722">
        <f>SUMIF(M30:Q30,E2,M33:Q33)</f>
        <v>5.5E-2</v>
      </c>
      <c r="H24" s="1900" t="s">
        <v>2008</v>
      </c>
      <c r="I24" s="723">
        <f>SUMIF('数据-取费表'!C6:C15,E2,'数据-取费表'!F6:F15)/COUNTIF('数据-取费表'!C6:C15,E2)</f>
        <v>35.6</v>
      </c>
      <c r="J24" s="724">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5" t="s">
        <v>366</v>
      </c>
      <c r="B25" s="1906" t="s">
        <v>3332</v>
      </c>
      <c r="C25" s="461">
        <f>IF(B25="容积率修正",IF(G3&lt;10,D26,J26),C27)</f>
        <v>0.83399999999999996</v>
      </c>
      <c r="D25" s="1907"/>
      <c r="E25" s="1907"/>
      <c r="F25" s="1907"/>
      <c r="G25" s="1907"/>
      <c r="H25" s="1907"/>
      <c r="I25" s="1907"/>
      <c r="J25" s="1908"/>
      <c r="K25" s="1059"/>
      <c r="L25" s="2550"/>
      <c r="M25" s="2550"/>
      <c r="N25" s="1909" t="s">
        <v>2013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3254</v>
      </c>
      <c r="D26" s="1261">
        <f>IF(E26=G26,F26,IF(G3&lt;10,ROUND(F26+(H26-F26)*(G3-E26)/(G26-E26),4),"——"))</f>
        <v>0.83399999999999996</v>
      </c>
      <c r="E26" s="706">
        <f>ROUNDDOWN(G3,1)</f>
        <v>7.8</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0.83530000000000004</v>
      </c>
      <c r="G26" s="706">
        <f>ROUNDUP(G3,1)</f>
        <v>7.8999999999999995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0.83350000000000002</v>
      </c>
      <c r="I26" s="1910" t="s">
        <v>3255</v>
      </c>
      <c r="J26" s="374" t="str">
        <f>IF(G3&gt;=10,D115,"——")</f>
        <v>——</v>
      </c>
      <c r="K26" s="1059"/>
      <c r="L26" s="2550"/>
      <c r="M26" s="2550"/>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89">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4">
        <f>SUMIF(A47:A101,E2,B47:B101)</f>
        <v>1.0588</v>
      </c>
      <c r="D28" s="1892"/>
      <c r="E28" s="1917"/>
      <c r="F28" s="1917"/>
      <c r="G28" s="1917"/>
      <c r="H28" s="1917"/>
      <c r="I28" s="1917"/>
      <c r="J28" s="1918"/>
      <c r="K28" s="1059"/>
      <c r="L28" s="2550"/>
      <c r="M28" s="2550"/>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19"/>
      <c r="D29" s="1866"/>
      <c r="E29" s="1866"/>
      <c r="F29" s="1921"/>
      <c r="G29" s="1866"/>
      <c r="H29" s="1866"/>
      <c r="I29" s="1866"/>
      <c r="J29" s="1867"/>
      <c r="K29" s="1054"/>
      <c r="L29" s="1842"/>
      <c r="M29" s="1842"/>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f>IF(B25="容积率修正",E33+SUM(E37:E42),SUM(V2:V16)+SUM(E37:E42))</f>
        <v>65417910</v>
      </c>
      <c r="D30" s="1923"/>
      <c r="E30" s="1840"/>
      <c r="F30" s="1924"/>
      <c r="G30" s="1840"/>
      <c r="H30" s="1840"/>
      <c r="I30" s="1840"/>
      <c r="J30" s="1925"/>
      <c r="K30" s="1054"/>
      <c r="L30" s="3053" t="s">
        <v>1936</v>
      </c>
      <c r="M30" s="3054" t="s">
        <v>1990</v>
      </c>
      <c r="N30" s="3054" t="s">
        <v>1991</v>
      </c>
      <c r="O30" s="3054" t="s">
        <v>1992</v>
      </c>
      <c r="P30" s="3054" t="s">
        <v>1993</v>
      </c>
      <c r="Q30" s="3057" t="s">
        <v>3259</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0">
        <f>E34+SUM(I37:I42)</f>
        <v>16356535</v>
      </c>
      <c r="D31" s="1927"/>
      <c r="E31" s="1928"/>
      <c r="F31" s="1929"/>
      <c r="G31" s="1928"/>
      <c r="H31" s="1928"/>
      <c r="I31" s="1928"/>
      <c r="J31" s="1930"/>
      <c r="K31" s="1054"/>
      <c r="L31" s="3055" t="s">
        <v>1996</v>
      </c>
      <c r="M31" s="162">
        <v>0.25</v>
      </c>
      <c r="N31" s="162">
        <v>0.2</v>
      </c>
      <c r="O31" s="162">
        <v>0.15</v>
      </c>
      <c r="P31" s="162">
        <v>0.1</v>
      </c>
      <c r="Q31" s="3050">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f>ROUND(C5*C22*C23*C24*C25*C28,0)</f>
        <v>13752</v>
      </c>
      <c r="D33" s="1938"/>
      <c r="E33" s="725">
        <f>ROUND(C33*D33/10000,0)</f>
        <v>0</v>
      </c>
      <c r="F33" s="3048" t="s">
        <v>3257</v>
      </c>
      <c r="G33" s="1939"/>
      <c r="H33" s="1939"/>
      <c r="I33" s="1939"/>
      <c r="J33" s="1940"/>
      <c r="K33" s="1054"/>
      <c r="L33" s="3051" t="s">
        <v>3260</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f>ROUND(IF(E2="工业",C33*M42,IF(B25="楼层修正",SUM(V2:V16)*M41*10000/D34,C33*M41)),0)</f>
        <v>3438</v>
      </c>
      <c r="D34" s="1943"/>
      <c r="E34" s="725">
        <f>ROUND(IF(B25="楼层修正",SUM(V2:V16)*M40,C34*D34/10000),0)</f>
        <v>0</v>
      </c>
      <c r="F34" s="1944" t="s">
        <v>2032</v>
      </c>
      <c r="G34" s="1945"/>
      <c r="H34" s="1945"/>
      <c r="I34" s="1945"/>
      <c r="J34" s="1946"/>
      <c r="K34" s="1054"/>
      <c r="L34" s="3051" t="s">
        <v>3261</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9" t="s">
        <v>3258</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3262</v>
      </c>
      <c r="L36" s="3140">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67"/>
      <c r="B37" s="1953" t="s">
        <v>2036</v>
      </c>
      <c r="C37" s="167">
        <f>ROUND(D5*C22*C23*C24*C28*F37,0)</f>
        <v>9423</v>
      </c>
      <c r="D37" s="1938"/>
      <c r="E37" s="163">
        <f>ROUND(C37*D37/10000,0)</f>
        <v>0</v>
      </c>
      <c r="F37" s="163">
        <f>SUMIF(修正!A59:A70,G2,修正!B59:B70)</f>
        <v>0.6</v>
      </c>
      <c r="G37" s="163">
        <f>ROUND(IF(E2="工业",C37*$M$42,C37*$M$41),0)</f>
        <v>2356</v>
      </c>
      <c r="H37" s="163">
        <f>D37</f>
        <v>0</v>
      </c>
      <c r="I37" s="163">
        <f>ROUND(G37*H37/10000,0)</f>
        <v>0</v>
      </c>
      <c r="J37" s="2752"/>
      <c r="K37" s="3059" t="s">
        <v>3263</v>
      </c>
      <c r="L37" s="1962">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68"/>
      <c r="B38" s="1882" t="s">
        <v>2037</v>
      </c>
      <c r="C38" s="167">
        <f>ROUND(D5*C22*C23*C24*C28*F38,0)</f>
        <v>4711</v>
      </c>
      <c r="D38" s="1938"/>
      <c r="E38" s="163">
        <f t="shared" ref="E38:E39" si="4">ROUND(C38*D38/10000,0)</f>
        <v>0</v>
      </c>
      <c r="F38" s="163">
        <f>SUMIF(修正!A59:A70,G2,修正!C59:C70)</f>
        <v>0.3</v>
      </c>
      <c r="G38" s="163">
        <f>ROUND(IF(E2="工业",C38*$M$42,C38*$M$41),0)</f>
        <v>1178</v>
      </c>
      <c r="H38" s="163">
        <f t="shared" ref="H38:H42" si="5">D38</f>
        <v>0</v>
      </c>
      <c r="I38" s="163">
        <f t="shared" ref="I38:I39" si="6">ROUND(G38*H38/10000,0)</f>
        <v>0</v>
      </c>
      <c r="J38" s="2751"/>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68"/>
      <c r="B39" s="1882" t="s">
        <v>3256</v>
      </c>
      <c r="C39" s="167">
        <f>ROUND(D5*C22*C23*C24*C28*F39,0)</f>
        <v>3926</v>
      </c>
      <c r="D39" s="1938"/>
      <c r="E39" s="163">
        <f t="shared" si="4"/>
        <v>0</v>
      </c>
      <c r="F39" s="163">
        <f>SUMIF(修正!A59:A70,G2,修正!D59:D70)</f>
        <v>0.25</v>
      </c>
      <c r="G39" s="163">
        <f>ROUND(IF(E2="工业",C39*$M$42,C39*$M$41),0)</f>
        <v>982</v>
      </c>
      <c r="H39" s="163">
        <f t="shared" si="5"/>
        <v>0</v>
      </c>
      <c r="I39" s="163">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3926</v>
      </c>
      <c r="D40" s="1938">
        <f>租金计算!B57</f>
        <v>682.17</v>
      </c>
      <c r="E40" s="163">
        <f>ROUND(C40*D40,0)</f>
        <v>2678199</v>
      </c>
      <c r="F40" s="167">
        <f>SUMIF(修正!A59:A70,G2,修正!E59:E70)</f>
        <v>0.25</v>
      </c>
      <c r="G40" s="163">
        <f>ROUND(IF(E2="工业",C40*$M$42,C40*$M$41),0)</f>
        <v>982</v>
      </c>
      <c r="H40" s="163">
        <f t="shared" si="5"/>
        <v>682.17</v>
      </c>
      <c r="I40" s="163">
        <f>ROUND(G40*H40,0)</f>
        <v>669891</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3926</v>
      </c>
      <c r="D41" s="1938">
        <f>租金计算!B56</f>
        <v>3434.37</v>
      </c>
      <c r="E41" s="163">
        <f>ROUND(C41*D41,0)</f>
        <v>13483337</v>
      </c>
      <c r="F41" s="167">
        <f>SUMIF(修正!A59:A70,G2,修正!F59:F70)</f>
        <v>0.25</v>
      </c>
      <c r="G41" s="163">
        <f>ROUND(IF(E2="工业",C41*$M$42,C41*$M$41),0)</f>
        <v>982</v>
      </c>
      <c r="H41" s="163">
        <f t="shared" si="5"/>
        <v>3434.37</v>
      </c>
      <c r="I41" s="163">
        <f>ROUND(G41*H41,0)</f>
        <v>3372551</v>
      </c>
      <c r="J41" s="937"/>
      <c r="L41" s="3060" t="s">
        <v>3264</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f>ROUND(D5*C22*C23*C44*C28*F42,0)</f>
        <v>2356</v>
      </c>
      <c r="D42" s="1943">
        <f>租金计算!B60+租金计算!B59</f>
        <v>20906.78</v>
      </c>
      <c r="E42" s="179">
        <f>ROUND(C42*D42,0)</f>
        <v>49256374</v>
      </c>
      <c r="F42" s="721">
        <f>SUMIF(修正!A59:A70,G2,修正!G59:G70)</f>
        <v>0.15</v>
      </c>
      <c r="G42" s="179">
        <f>ROUND(IF(E2="工业",C42*$M$42,C42*$M$41),0)</f>
        <v>589</v>
      </c>
      <c r="H42" s="179">
        <f t="shared" si="5"/>
        <v>20906.78</v>
      </c>
      <c r="I42" s="179">
        <f>ROUND(G42*H42,0)</f>
        <v>12314093</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2122</v>
      </c>
      <c r="C44" s="333">
        <f>ROUND(POWER(1+E44,H44-G44)*(POWER(1+E44,G44)-1)/(POWER(1+E44,H44)-1),4)</f>
        <v>0.91420000000000001</v>
      </c>
      <c r="D44" s="163" t="s">
        <v>1999</v>
      </c>
      <c r="E44" s="1989">
        <f>G24</f>
        <v>5.5E-2</v>
      </c>
      <c r="F44" s="163" t="s">
        <v>2008</v>
      </c>
      <c r="G44" s="175">
        <f>项目基本情况!F15</f>
        <v>35.6</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699"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51">
      <c r="A50" s="1968" t="s">
        <v>2052</v>
      </c>
      <c r="B50" s="1971" t="str">
        <f>估价对象房地状况!C4</f>
        <v>估价对象位于北京城市副中心商务中心区，周边商业氛围较成熟，人流量较大，商业繁华度较好</v>
      </c>
      <c r="C50" s="1885"/>
      <c r="D50" s="1000">
        <f t="shared" ref="D50:D58" si="7">SUMIF($J$49:$N$49,C50,J50:N50)</f>
        <v>0</v>
      </c>
      <c r="E50" s="700">
        <f>ROUND(SUM(D50:D58),4)</f>
        <v>0</v>
      </c>
      <c r="F50" s="1673"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1">
      <c r="A51" s="1968" t="s">
        <v>2053</v>
      </c>
      <c r="B51" s="1260" t="str">
        <f>估价对象房地状况!C18</f>
        <v>估价对象周边有316路、342路、582路、587路等多条公交线路及地铁6号线通州北关站，综合评价交通便捷度较好</v>
      </c>
      <c r="C51" s="1885"/>
      <c r="D51" s="1000">
        <f t="shared" si="7"/>
        <v>0</v>
      </c>
      <c r="E51" s="701"/>
      <c r="F51" s="1673"/>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8" t="s">
        <v>3266</v>
      </c>
      <c r="B52" s="1260">
        <f>估价对象房地状况!C19</f>
        <v>0</v>
      </c>
      <c r="C52" s="1885"/>
      <c r="D52" s="1000">
        <f t="shared" si="7"/>
        <v>0</v>
      </c>
      <c r="E52" s="701"/>
      <c r="F52" s="1673"/>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2054</v>
      </c>
      <c r="B53" s="1972" t="s">
        <v>2055</v>
      </c>
      <c r="C53" s="1885"/>
      <c r="D53" s="1000">
        <f t="shared" si="7"/>
        <v>0</v>
      </c>
      <c r="E53" s="701"/>
      <c r="F53" s="1673"/>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c r="D54" s="1000">
        <f t="shared" si="7"/>
        <v>0</v>
      </c>
      <c r="E54" s="701"/>
      <c r="F54" s="1673"/>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2057</v>
      </c>
      <c r="B55" s="1973" t="s">
        <v>2058</v>
      </c>
      <c r="C55" s="1885"/>
      <c r="D55" s="1000">
        <f t="shared" si="7"/>
        <v>0</v>
      </c>
      <c r="E55" s="701"/>
      <c r="F55" s="1673"/>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191.25">
      <c r="A56" s="1974" t="s">
        <v>2059</v>
      </c>
      <c r="B56"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56" s="1885"/>
      <c r="D56" s="1000">
        <f t="shared" si="7"/>
        <v>0</v>
      </c>
      <c r="E56" s="701"/>
      <c r="F56" s="1673"/>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4" t="s">
        <v>2060</v>
      </c>
      <c r="B57" s="1260" t="str">
        <f>估价对象房地状况!C22</f>
        <v>估价对象所在区域基础设施水平</v>
      </c>
      <c r="C57" s="1885"/>
      <c r="D57" s="1000">
        <f t="shared" si="7"/>
        <v>0</v>
      </c>
      <c r="E57" s="701"/>
      <c r="F57" s="1673"/>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51.75" thickBot="1">
      <c r="A58" s="1975" t="s">
        <v>2061</v>
      </c>
      <c r="B58" s="1976" t="str">
        <f>估价对象房地状况!C20</f>
        <v>估价对象周边有北关清真寺、三教庙等人文景观，西海子公园、北运河水系等自然景观，综合评价环境状况较好。</v>
      </c>
      <c r="C58" s="1885"/>
      <c r="D58" s="1000">
        <f t="shared" si="7"/>
        <v>0</v>
      </c>
      <c r="E58" s="702"/>
      <c r="F58" s="1673"/>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2062</v>
      </c>
      <c r="B59" s="1966">
        <f>1+E61</f>
        <v>1.0588</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699"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51">
      <c r="A61" s="1968" t="s">
        <v>2064</v>
      </c>
      <c r="B61" s="1971" t="str">
        <f>估价对象房地状况!C17</f>
        <v>估价对象位于北京城市副中心商务中心区，周边办公楼项目较多，入驻率较高，办公集聚程度较好</v>
      </c>
      <c r="C61" s="1885" t="s">
        <v>3439</v>
      </c>
      <c r="D61" s="1000">
        <f t="shared" ref="D61:D69" si="12">SUMIF($J$60:$N$60,C61,J61:N61)</f>
        <v>1.2200000000000001E-2</v>
      </c>
      <c r="E61" s="700">
        <f>ROUND(SUM(D61:D69),4)</f>
        <v>5.8799999999999998E-2</v>
      </c>
      <c r="F61" s="1673">
        <f>IF(E2="办公",SUMIF(L1:L12,G2,N1:N12),"——")</f>
        <v>9.8000000000000004E-2</v>
      </c>
      <c r="G61" s="998">
        <v>1.2200000000000001E-2</v>
      </c>
      <c r="H61" s="1001">
        <f t="shared" ref="H61:H69" si="13">IFERROR(ROUNDDOWN($F$61*I61/2,4),"——")</f>
        <v>1.2200000000000001E-2</v>
      </c>
      <c r="I61" s="3066">
        <v>0.25</v>
      </c>
      <c r="J61" s="999">
        <f t="shared" ref="J61:J69" si="14">K61+$G61</f>
        <v>2.4400000000000002E-2</v>
      </c>
      <c r="K61" s="999">
        <f t="shared" ref="K61:K69" si="15">$L61+$G61</f>
        <v>1.2200000000000001E-2</v>
      </c>
      <c r="L61" s="999">
        <v>0</v>
      </c>
      <c r="M61" s="999">
        <f t="shared" ref="M61:N69" si="16">L61-$G61</f>
        <v>-1.2200000000000001E-2</v>
      </c>
      <c r="N61" s="999">
        <f t="shared" si="16"/>
        <v>-2.4400000000000002E-2</v>
      </c>
      <c r="AA61" s="1055"/>
      <c r="AB61" s="1055"/>
      <c r="AC61" s="1055"/>
      <c r="AD61" s="1055"/>
      <c r="AE61" s="1055"/>
      <c r="AF61" s="1055"/>
      <c r="AG61" s="1055"/>
      <c r="AH61" s="1055"/>
      <c r="AI61" s="1055"/>
      <c r="AJ61" s="1055"/>
      <c r="AK61" s="1055"/>
    </row>
    <row r="62" spans="1:37" s="1054" customFormat="1" ht="51">
      <c r="A62" s="1968" t="s">
        <v>2053</v>
      </c>
      <c r="B62" s="1260" t="str">
        <f>估价对象房地状况!C18</f>
        <v>估价对象周边有316路、342路、582路、587路等多条公交线路及地铁6号线通州北关站，综合评价交通便捷度较好</v>
      </c>
      <c r="C62" s="1885" t="s">
        <v>3439</v>
      </c>
      <c r="D62" s="1000">
        <f t="shared" si="12"/>
        <v>1.2699999999999999E-2</v>
      </c>
      <c r="E62" s="701"/>
      <c r="F62" s="1673"/>
      <c r="G62" s="998">
        <v>1.2699999999999999E-2</v>
      </c>
      <c r="H62" s="1001">
        <f t="shared" si="13"/>
        <v>1.2699999999999999E-2</v>
      </c>
      <c r="I62" s="3066">
        <v>0.26</v>
      </c>
      <c r="J62" s="999">
        <f t="shared" si="14"/>
        <v>2.5399999999999999E-2</v>
      </c>
      <c r="K62" s="999">
        <f t="shared" si="15"/>
        <v>1.2699999999999999E-2</v>
      </c>
      <c r="L62" s="999">
        <v>0</v>
      </c>
      <c r="M62" s="999">
        <f t="shared" si="16"/>
        <v>-1.2699999999999999E-2</v>
      </c>
      <c r="N62" s="999">
        <f t="shared" si="16"/>
        <v>-2.5399999999999999E-2</v>
      </c>
      <c r="AA62" s="1055"/>
      <c r="AB62" s="1055"/>
      <c r="AC62" s="1055"/>
      <c r="AD62" s="1055"/>
      <c r="AE62" s="1055"/>
      <c r="AF62" s="1055"/>
      <c r="AG62" s="1055"/>
      <c r="AH62" s="1055"/>
      <c r="AI62" s="1055"/>
      <c r="AJ62" s="1055"/>
      <c r="AK62" s="1055"/>
    </row>
    <row r="63" spans="1:37" s="1054" customFormat="1" ht="36">
      <c r="A63" s="3068" t="s">
        <v>3266</v>
      </c>
      <c r="B63" s="1260">
        <f>估价对象房地状况!C19</f>
        <v>0</v>
      </c>
      <c r="C63" s="1885" t="s">
        <v>3440</v>
      </c>
      <c r="D63" s="1000">
        <f t="shared" si="12"/>
        <v>1.06E-2</v>
      </c>
      <c r="E63" s="701"/>
      <c r="F63" s="1673"/>
      <c r="G63" s="998">
        <v>5.3E-3</v>
      </c>
      <c r="H63" s="1001">
        <f t="shared" si="13"/>
        <v>5.3E-3</v>
      </c>
      <c r="I63" s="3066">
        <v>0.11</v>
      </c>
      <c r="J63" s="999">
        <f t="shared" si="14"/>
        <v>1.06E-2</v>
      </c>
      <c r="K63" s="999">
        <f t="shared" si="15"/>
        <v>5.3E-3</v>
      </c>
      <c r="L63" s="999">
        <v>0</v>
      </c>
      <c r="M63" s="999">
        <f t="shared" si="16"/>
        <v>-5.3E-3</v>
      </c>
      <c r="N63" s="999">
        <f t="shared" si="16"/>
        <v>-1.06E-2</v>
      </c>
      <c r="AA63" s="1055"/>
      <c r="AB63" s="1055"/>
      <c r="AC63" s="1055"/>
      <c r="AD63" s="1055"/>
      <c r="AE63" s="1055"/>
      <c r="AF63" s="1055"/>
      <c r="AG63" s="1055"/>
      <c r="AH63" s="1055"/>
      <c r="AI63" s="1055"/>
      <c r="AJ63" s="1055"/>
      <c r="AK63" s="1055"/>
    </row>
    <row r="64" spans="1:37" s="1054" customFormat="1" ht="36.75">
      <c r="A64" s="1968" t="s">
        <v>2054</v>
      </c>
      <c r="B64" s="1972" t="s">
        <v>2055</v>
      </c>
      <c r="C64" s="1885" t="s">
        <v>3439</v>
      </c>
      <c r="D64" s="1000">
        <f t="shared" si="12"/>
        <v>2.3999999999999998E-3</v>
      </c>
      <c r="E64" s="701"/>
      <c r="F64" s="1673"/>
      <c r="G64" s="998">
        <v>2.3999999999999998E-3</v>
      </c>
      <c r="H64" s="1001">
        <f t="shared" si="13"/>
        <v>2.3999999999999998E-3</v>
      </c>
      <c r="I64" s="3066">
        <v>0.05</v>
      </c>
      <c r="J64" s="999">
        <f t="shared" si="14"/>
        <v>4.7999999999999996E-3</v>
      </c>
      <c r="K64" s="999">
        <f t="shared" si="15"/>
        <v>2.3999999999999998E-3</v>
      </c>
      <c r="L64" s="999">
        <v>0</v>
      </c>
      <c r="M64" s="999">
        <f t="shared" si="16"/>
        <v>-2.3999999999999998E-3</v>
      </c>
      <c r="N64" s="999">
        <f t="shared" si="16"/>
        <v>-4.7999999999999996E-3</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t="s">
        <v>3441</v>
      </c>
      <c r="D65" s="1000">
        <f t="shared" si="12"/>
        <v>0</v>
      </c>
      <c r="E65" s="701"/>
      <c r="F65" s="1673"/>
      <c r="G65" s="998">
        <v>2.3999999999999998E-3</v>
      </c>
      <c r="H65" s="1001">
        <f t="shared" si="13"/>
        <v>2.3999999999999998E-3</v>
      </c>
      <c r="I65" s="3066">
        <v>0.05</v>
      </c>
      <c r="J65" s="999">
        <f t="shared" si="14"/>
        <v>4.7999999999999996E-3</v>
      </c>
      <c r="K65" s="999">
        <f t="shared" si="15"/>
        <v>2.3999999999999998E-3</v>
      </c>
      <c r="L65" s="999">
        <v>0</v>
      </c>
      <c r="M65" s="999">
        <f t="shared" si="16"/>
        <v>-2.3999999999999998E-3</v>
      </c>
      <c r="N65" s="999">
        <f t="shared" si="16"/>
        <v>-4.7999999999999996E-3</v>
      </c>
      <c r="AA65" s="1055"/>
      <c r="AB65" s="1055"/>
      <c r="AC65" s="1055"/>
      <c r="AD65" s="1055"/>
      <c r="AE65" s="1055"/>
      <c r="AF65" s="1055"/>
      <c r="AG65" s="1055"/>
      <c r="AH65" s="1055"/>
      <c r="AI65" s="1055"/>
      <c r="AJ65" s="1055"/>
      <c r="AK65" s="1055"/>
    </row>
    <row r="66" spans="1:37" s="1054" customFormat="1" ht="24">
      <c r="A66" s="1968" t="s">
        <v>2057</v>
      </c>
      <c r="B66" s="1973" t="s">
        <v>2058</v>
      </c>
      <c r="C66" s="1885" t="s">
        <v>3439</v>
      </c>
      <c r="D66" s="1000">
        <f t="shared" si="12"/>
        <v>2.8999999999999998E-3</v>
      </c>
      <c r="E66" s="701"/>
      <c r="F66" s="1673"/>
      <c r="G66" s="998">
        <v>2.8999999999999998E-3</v>
      </c>
      <c r="H66" s="1001">
        <f t="shared" si="13"/>
        <v>2.8999999999999998E-3</v>
      </c>
      <c r="I66" s="3066">
        <v>0.06</v>
      </c>
      <c r="J66" s="999">
        <f t="shared" si="14"/>
        <v>5.7999999999999996E-3</v>
      </c>
      <c r="K66" s="999">
        <f t="shared" si="15"/>
        <v>2.8999999999999998E-3</v>
      </c>
      <c r="L66" s="999">
        <v>0</v>
      </c>
      <c r="M66" s="999">
        <f t="shared" si="16"/>
        <v>-2.8999999999999998E-3</v>
      </c>
      <c r="N66" s="999">
        <f t="shared" si="16"/>
        <v>-5.7999999999999996E-3</v>
      </c>
      <c r="AA66" s="1055"/>
      <c r="AB66" s="1055"/>
      <c r="AC66" s="1055"/>
      <c r="AD66" s="1055"/>
      <c r="AE66" s="1055"/>
      <c r="AF66" s="1055"/>
      <c r="AG66" s="1055"/>
      <c r="AH66" s="1055"/>
      <c r="AI66" s="1055"/>
      <c r="AJ66" s="1055"/>
      <c r="AK66" s="1055"/>
    </row>
    <row r="67" spans="1:37" s="1054" customFormat="1" ht="191.25">
      <c r="A67" s="1968" t="s">
        <v>2059</v>
      </c>
      <c r="B67"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67" s="1885" t="s">
        <v>3440</v>
      </c>
      <c r="D67" s="1000">
        <f t="shared" si="12"/>
        <v>5.7999999999999996E-3</v>
      </c>
      <c r="E67" s="701"/>
      <c r="F67" s="1673"/>
      <c r="G67" s="998">
        <v>2.8999999999999998E-3</v>
      </c>
      <c r="H67" s="1001">
        <f t="shared" si="13"/>
        <v>2.8999999999999998E-3</v>
      </c>
      <c r="I67" s="3066">
        <v>0.06</v>
      </c>
      <c r="J67" s="999">
        <f t="shared" si="14"/>
        <v>5.7999999999999996E-3</v>
      </c>
      <c r="K67" s="999">
        <f t="shared" si="15"/>
        <v>2.8999999999999998E-3</v>
      </c>
      <c r="L67" s="999">
        <v>0</v>
      </c>
      <c r="M67" s="999">
        <f t="shared" si="16"/>
        <v>-2.8999999999999998E-3</v>
      </c>
      <c r="N67" s="999">
        <f t="shared" si="16"/>
        <v>-5.7999999999999996E-3</v>
      </c>
      <c r="AA67" s="1055"/>
      <c r="AB67" s="1055"/>
      <c r="AC67" s="1055"/>
      <c r="AD67" s="1055"/>
      <c r="AE67" s="1055"/>
      <c r="AF67" s="1055"/>
      <c r="AG67" s="1055"/>
      <c r="AH67" s="1055"/>
      <c r="AI67" s="1055"/>
      <c r="AJ67" s="1055"/>
      <c r="AK67" s="1055"/>
    </row>
    <row r="68" spans="1:37" s="1054" customFormat="1" ht="25.5">
      <c r="A68" s="1968" t="s">
        <v>2060</v>
      </c>
      <c r="B68" s="1238" t="str">
        <f>估价对象房地状况!C22</f>
        <v>估价对象所在区域基础设施水平</v>
      </c>
      <c r="C68" s="1885" t="s">
        <v>3440</v>
      </c>
      <c r="D68" s="1000">
        <f t="shared" si="12"/>
        <v>8.8000000000000005E-3</v>
      </c>
      <c r="E68" s="701"/>
      <c r="F68" s="1673"/>
      <c r="G68" s="998">
        <v>4.4000000000000003E-3</v>
      </c>
      <c r="H68" s="1001">
        <f t="shared" si="13"/>
        <v>4.4000000000000003E-3</v>
      </c>
      <c r="I68" s="3066">
        <v>0.09</v>
      </c>
      <c r="J68" s="999">
        <f t="shared" si="14"/>
        <v>8.8000000000000005E-3</v>
      </c>
      <c r="K68" s="999">
        <f t="shared" si="15"/>
        <v>4.4000000000000003E-3</v>
      </c>
      <c r="L68" s="999">
        <v>0</v>
      </c>
      <c r="M68" s="999">
        <f t="shared" si="16"/>
        <v>-4.4000000000000003E-3</v>
      </c>
      <c r="N68" s="999">
        <f t="shared" si="16"/>
        <v>-8.8000000000000005E-3</v>
      </c>
      <c r="AA68" s="1055"/>
      <c r="AB68" s="1055"/>
      <c r="AC68" s="1055"/>
      <c r="AD68" s="1055"/>
      <c r="AE68" s="1055"/>
      <c r="AF68" s="1055"/>
      <c r="AG68" s="1055"/>
      <c r="AH68" s="1055"/>
      <c r="AI68" s="1055"/>
      <c r="AJ68" s="1055"/>
      <c r="AK68" s="1055"/>
    </row>
    <row r="69" spans="1:37" s="1054" customFormat="1" ht="51.75" thickBot="1">
      <c r="A69" s="1975" t="s">
        <v>2061</v>
      </c>
      <c r="B69" s="1977" t="str">
        <f>估价对象房地状况!C20</f>
        <v>估价对象周边有北关清真寺、三教庙等人文景观，西海子公园、北运河水系等自然景观，综合评价环境状况较好。</v>
      </c>
      <c r="C69" s="1885" t="s">
        <v>3439</v>
      </c>
      <c r="D69" s="1000">
        <f t="shared" si="12"/>
        <v>3.3999999999999998E-3</v>
      </c>
      <c r="E69" s="702"/>
      <c r="F69" s="1673"/>
      <c r="G69" s="998">
        <v>3.3999999999999998E-3</v>
      </c>
      <c r="H69" s="1001">
        <f t="shared" si="13"/>
        <v>3.3999999999999998E-3</v>
      </c>
      <c r="I69" s="3067">
        <v>7.0000000000000007E-2</v>
      </c>
      <c r="J69" s="999">
        <f t="shared" si="14"/>
        <v>6.7999999999999996E-3</v>
      </c>
      <c r="K69" s="999">
        <f t="shared" si="15"/>
        <v>3.3999999999999998E-3</v>
      </c>
      <c r="L69" s="999">
        <v>0</v>
      </c>
      <c r="M69" s="999">
        <f t="shared" si="16"/>
        <v>-3.3999999999999998E-3</v>
      </c>
      <c r="N69" s="999">
        <f t="shared" si="16"/>
        <v>-6.7999999999999996E-3</v>
      </c>
      <c r="AA69" s="1055"/>
      <c r="AB69" s="1055"/>
      <c r="AC69" s="1055"/>
      <c r="AD69" s="1055"/>
      <c r="AE69" s="1055"/>
      <c r="AF69" s="1055"/>
      <c r="AG69" s="1055"/>
      <c r="AH69" s="1055"/>
      <c r="AI69" s="1055"/>
      <c r="AJ69" s="1055"/>
      <c r="AK69" s="1055"/>
    </row>
    <row r="70" spans="1:37" s="1054" customFormat="1" ht="15">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699"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1">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0">
        <f>ROUND(SUM(D72:D80),4)</f>
        <v>0</v>
      </c>
      <c r="F72" s="1673"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1">
      <c r="A73" s="1968" t="s">
        <v>2053</v>
      </c>
      <c r="B73" s="1260" t="str">
        <f>估价对象房地状况!C18</f>
        <v>估价对象周边有316路、342路、582路、587路等多条公交线路及地铁6号线通州北关站，综合评价交通便捷度较好</v>
      </c>
      <c r="C73" s="1885"/>
      <c r="D73" s="1000">
        <f t="shared" si="17"/>
        <v>0</v>
      </c>
      <c r="E73" s="703"/>
      <c r="F73" s="1673"/>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8" t="s">
        <v>3266</v>
      </c>
      <c r="B74" s="1260">
        <f>估价对象房地状况!C19</f>
        <v>0</v>
      </c>
      <c r="C74" s="1885"/>
      <c r="D74" s="1000">
        <f t="shared" si="17"/>
        <v>0</v>
      </c>
      <c r="E74" s="703"/>
      <c r="F74" s="1673"/>
      <c r="G74" s="998"/>
      <c r="H74" s="1001" t="str">
        <f t="shared" si="18"/>
        <v>——</v>
      </c>
      <c r="I74" s="3066">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7"/>
        <v>0</v>
      </c>
      <c r="E75" s="703"/>
      <c r="F75" s="1673"/>
      <c r="G75" s="998"/>
      <c r="H75" s="1001" t="str">
        <f t="shared" si="18"/>
        <v>——</v>
      </c>
      <c r="I75" s="3066">
        <v>0.05</v>
      </c>
      <c r="J75" s="999">
        <f t="shared" si="19"/>
        <v>0</v>
      </c>
      <c r="K75" s="999">
        <f t="shared" si="20"/>
        <v>0</v>
      </c>
      <c r="L75" s="999">
        <v>0</v>
      </c>
      <c r="M75" s="999">
        <f t="shared" si="21"/>
        <v>0</v>
      </c>
      <c r="N75" s="999">
        <f t="shared" si="21"/>
        <v>0</v>
      </c>
      <c r="O75" s="1054"/>
      <c r="P75" s="1054"/>
      <c r="Q75" s="1842"/>
      <c r="Z75" s="1843"/>
      <c r="AA75" s="1893"/>
      <c r="AG75" s="1056"/>
      <c r="AK75" s="1893"/>
    </row>
    <row r="76" spans="1:37" ht="191.25">
      <c r="A76" s="1968" t="s">
        <v>2059</v>
      </c>
      <c r="B76"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76" s="1885"/>
      <c r="D76" s="1000">
        <f t="shared" si="17"/>
        <v>0</v>
      </c>
      <c r="E76" s="703"/>
      <c r="F76" s="1673"/>
      <c r="G76" s="998"/>
      <c r="H76" s="1001" t="str">
        <f t="shared" si="18"/>
        <v>——</v>
      </c>
      <c r="I76" s="3066">
        <v>0.08</v>
      </c>
      <c r="J76" s="999">
        <f t="shared" si="19"/>
        <v>0</v>
      </c>
      <c r="K76" s="999">
        <f t="shared" si="20"/>
        <v>0</v>
      </c>
      <c r="L76" s="999">
        <v>0</v>
      </c>
      <c r="M76" s="999">
        <f t="shared" si="21"/>
        <v>0</v>
      </c>
      <c r="N76" s="999">
        <f t="shared" si="21"/>
        <v>0</v>
      </c>
      <c r="O76" s="1054"/>
      <c r="P76" s="1054"/>
      <c r="Z76" s="1843"/>
      <c r="AA76" s="1893"/>
      <c r="AG76" s="1056"/>
      <c r="AK76" s="1893"/>
    </row>
    <row r="77" spans="1:37" ht="25.5">
      <c r="A77" s="1968" t="s">
        <v>2060</v>
      </c>
      <c r="B77" s="1238" t="str">
        <f>估价对象房地状况!C22</f>
        <v>估价对象所在区域基础设施水平</v>
      </c>
      <c r="C77" s="1885"/>
      <c r="D77" s="1000">
        <f t="shared" si="17"/>
        <v>0</v>
      </c>
      <c r="E77" s="703"/>
      <c r="F77" s="1673"/>
      <c r="G77" s="998"/>
      <c r="H77" s="1001" t="str">
        <f t="shared" si="18"/>
        <v>——</v>
      </c>
      <c r="I77" s="3066">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2057</v>
      </c>
      <c r="B78" s="1973" t="s">
        <v>2058</v>
      </c>
      <c r="C78" s="1885"/>
      <c r="D78" s="1000">
        <f t="shared" si="17"/>
        <v>0</v>
      </c>
      <c r="E78" s="703"/>
      <c r="F78" s="1673"/>
      <c r="G78" s="998"/>
      <c r="H78" s="1001" t="str">
        <f t="shared" si="18"/>
        <v>——</v>
      </c>
      <c r="I78" s="3066">
        <v>0.05</v>
      </c>
      <c r="J78" s="999">
        <f t="shared" si="19"/>
        <v>0</v>
      </c>
      <c r="K78" s="999">
        <f t="shared" si="20"/>
        <v>0</v>
      </c>
      <c r="L78" s="999">
        <v>0</v>
      </c>
      <c r="M78" s="999">
        <f t="shared" si="21"/>
        <v>0</v>
      </c>
      <c r="N78" s="999">
        <f t="shared" si="21"/>
        <v>0</v>
      </c>
      <c r="O78" s="1842"/>
      <c r="P78" s="1842"/>
      <c r="Z78" s="1843"/>
      <c r="AA78" s="1893"/>
      <c r="AG78" s="1056"/>
      <c r="AK78" s="1893"/>
    </row>
    <row r="79" spans="1:37" ht="51">
      <c r="A79" s="1968" t="s">
        <v>2061</v>
      </c>
      <c r="B79" s="1971" t="str">
        <f>估价对象房地状况!C20</f>
        <v>估价对象周边有北关清真寺、三教庙等人文景观，西海子公园、北运河水系等自然景观，综合评价环境状况较好。</v>
      </c>
      <c r="C79" s="1885"/>
      <c r="D79" s="1000">
        <f t="shared" si="17"/>
        <v>0</v>
      </c>
      <c r="E79" s="703"/>
      <c r="F79" s="1673"/>
      <c r="G79" s="998"/>
      <c r="H79" s="1001" t="str">
        <f t="shared" si="18"/>
        <v>——</v>
      </c>
      <c r="I79" s="3066">
        <v>0.12</v>
      </c>
      <c r="J79" s="999">
        <f t="shared" si="19"/>
        <v>0</v>
      </c>
      <c r="K79" s="999">
        <f t="shared" si="20"/>
        <v>0</v>
      </c>
      <c r="L79" s="999">
        <v>0</v>
      </c>
      <c r="M79" s="999">
        <f t="shared" si="21"/>
        <v>0</v>
      </c>
      <c r="N79" s="999">
        <f t="shared" si="21"/>
        <v>0</v>
      </c>
      <c r="Z79" s="1843"/>
      <c r="AA79" s="1893"/>
      <c r="AG79" s="1056"/>
      <c r="AK79" s="1893"/>
    </row>
    <row r="80" spans="1:37" ht="24.75" thickBot="1">
      <c r="A80" s="1975" t="s">
        <v>2068</v>
      </c>
      <c r="B80" s="1979"/>
      <c r="C80" s="1885"/>
      <c r="D80" s="1000">
        <f t="shared" si="17"/>
        <v>0</v>
      </c>
      <c r="E80" s="704"/>
      <c r="F80" s="1673"/>
      <c r="G80" s="998"/>
      <c r="H80" s="1001" t="str">
        <f t="shared" si="18"/>
        <v>——</v>
      </c>
      <c r="I80" s="3067">
        <v>0.05</v>
      </c>
      <c r="J80" s="999">
        <f t="shared" si="19"/>
        <v>0</v>
      </c>
      <c r="K80" s="999">
        <f t="shared" si="20"/>
        <v>0</v>
      </c>
      <c r="L80" s="999">
        <v>0</v>
      </c>
      <c r="M80" s="999">
        <f t="shared" si="21"/>
        <v>0</v>
      </c>
      <c r="N80" s="999">
        <f t="shared" si="21"/>
        <v>0</v>
      </c>
      <c r="Z80" s="1843"/>
      <c r="AA80" s="1893"/>
      <c r="AG80" s="1056"/>
      <c r="AK80" s="1893"/>
    </row>
    <row r="81" spans="1:37" ht="15">
      <c r="A81" s="1965" t="s">
        <v>2069</v>
      </c>
      <c r="B81" s="1966">
        <f>1+E83</f>
        <v>1</v>
      </c>
      <c r="C81" s="697"/>
      <c r="D81" s="697"/>
      <c r="E81" s="698"/>
      <c r="F81" s="1967"/>
      <c r="G81" s="3"/>
      <c r="H81" s="3"/>
      <c r="I81" s="3"/>
      <c r="J81" s="4"/>
      <c r="K81" s="4"/>
      <c r="L81" s="4"/>
      <c r="M81" s="4"/>
      <c r="N81" s="4"/>
      <c r="Z81" s="1843"/>
      <c r="AA81" s="1893"/>
      <c r="AG81" s="1056"/>
      <c r="AK81" s="1893"/>
    </row>
    <row r="82" spans="1:37" ht="24.75">
      <c r="A82" s="1968" t="s">
        <v>2044</v>
      </c>
      <c r="B82" s="1260"/>
      <c r="C82" s="1260" t="s">
        <v>2046</v>
      </c>
      <c r="D82" s="1260" t="s">
        <v>2047</v>
      </c>
      <c r="E82" s="699"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8.25">
      <c r="A83" s="1968" t="s">
        <v>2070</v>
      </c>
      <c r="B83" s="1260" t="str">
        <f>估价对象房地状况!G15</f>
        <v>估价对象位于XX开发区，园区建设成熟度XX，产业集聚程度XX</v>
      </c>
      <c r="C83" s="1885"/>
      <c r="D83" s="1000">
        <f t="shared" ref="D83:D90" si="22">SUMIF($J$82:$N$82,C83,J83:N83)</f>
        <v>0</v>
      </c>
      <c r="E83" s="700">
        <f>ROUND(SUM(D83:D90),4)</f>
        <v>0</v>
      </c>
      <c r="F83" s="1673" t="str">
        <f>IF(E2="工业",SUMIF(L1:L12,G2,N1:N12),"——")</f>
        <v>——</v>
      </c>
      <c r="G83" s="998"/>
      <c r="H83" s="1001" t="str">
        <f t="shared" ref="H83:H90" si="23">IFERROR(ROUNDDOWN($F$83*I83/2,4),"——")</f>
        <v>——</v>
      </c>
      <c r="I83" s="3066">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38.25">
      <c r="A84" s="1968" t="s">
        <v>2053</v>
      </c>
      <c r="B84" s="1260" t="str">
        <f>估价对象房地状况!G16</f>
        <v>估价对象周边道路状况、公共交通通达情况、停车便捷程度，综合评价交通便捷度较好</v>
      </c>
      <c r="C84" s="1885"/>
      <c r="D84" s="1000">
        <f t="shared" si="22"/>
        <v>0</v>
      </c>
      <c r="E84" s="703"/>
      <c r="F84" s="1673"/>
      <c r="G84" s="998"/>
      <c r="H84" s="1001" t="str">
        <f t="shared" si="23"/>
        <v>——</v>
      </c>
      <c r="I84" s="3066">
        <v>0.3</v>
      </c>
      <c r="J84" s="999">
        <f t="shared" si="24"/>
        <v>0</v>
      </c>
      <c r="K84" s="999">
        <f t="shared" si="25"/>
        <v>0</v>
      </c>
      <c r="L84" s="999">
        <v>0</v>
      </c>
      <c r="M84" s="999">
        <f t="shared" si="26"/>
        <v>0</v>
      </c>
      <c r="N84" s="999">
        <f t="shared" si="26"/>
        <v>0</v>
      </c>
      <c r="Z84" s="1843"/>
      <c r="AA84" s="1893"/>
      <c r="AG84" s="1056"/>
      <c r="AK84" s="1893"/>
    </row>
    <row r="85" spans="1:37" ht="36">
      <c r="A85" s="3068" t="s">
        <v>3266</v>
      </c>
      <c r="B85" s="1260">
        <f>估价对象房地状况!G17</f>
        <v>0</v>
      </c>
      <c r="C85" s="1885"/>
      <c r="D85" s="1000">
        <f t="shared" si="22"/>
        <v>0</v>
      </c>
      <c r="E85" s="703"/>
      <c r="F85" s="1673"/>
      <c r="G85" s="998"/>
      <c r="H85" s="1001" t="str">
        <f t="shared" si="23"/>
        <v>——</v>
      </c>
      <c r="I85" s="3066">
        <v>0.1</v>
      </c>
      <c r="J85" s="999">
        <f t="shared" si="24"/>
        <v>0</v>
      </c>
      <c r="K85" s="999">
        <f t="shared" si="25"/>
        <v>0</v>
      </c>
      <c r="L85" s="999">
        <v>0</v>
      </c>
      <c r="M85" s="999">
        <f t="shared" si="26"/>
        <v>0</v>
      </c>
      <c r="N85" s="999">
        <f t="shared" si="26"/>
        <v>0</v>
      </c>
      <c r="Z85" s="1843"/>
      <c r="AA85" s="1893"/>
      <c r="AG85" s="1056"/>
      <c r="AK85" s="1893"/>
    </row>
    <row r="86" spans="1:37" ht="14.25">
      <c r="A86" s="1968" t="s">
        <v>2067</v>
      </c>
      <c r="B86" s="1260">
        <f>估价对象房地状况!G22</f>
        <v>0</v>
      </c>
      <c r="C86" s="1885"/>
      <c r="D86" s="1000">
        <f t="shared" si="22"/>
        <v>0</v>
      </c>
      <c r="E86" s="703"/>
      <c r="F86" s="1673"/>
      <c r="G86" s="998"/>
      <c r="H86" s="1001" t="str">
        <f t="shared" si="23"/>
        <v>——</v>
      </c>
      <c r="I86" s="3066">
        <v>0.05</v>
      </c>
      <c r="J86" s="999">
        <f t="shared" si="24"/>
        <v>0</v>
      </c>
      <c r="K86" s="999">
        <f t="shared" si="25"/>
        <v>0</v>
      </c>
      <c r="L86" s="999">
        <v>0</v>
      </c>
      <c r="M86" s="999">
        <f t="shared" si="26"/>
        <v>0</v>
      </c>
      <c r="N86" s="999">
        <f t="shared" si="26"/>
        <v>0</v>
      </c>
      <c r="Z86" s="1843"/>
      <c r="AA86" s="1893"/>
      <c r="AG86" s="1056"/>
      <c r="AK86" s="1893"/>
    </row>
    <row r="87" spans="1:37" ht="25.5">
      <c r="A87" s="1968" t="s">
        <v>2059</v>
      </c>
      <c r="B87" s="1238" t="str">
        <f>估价对象房地状况!G19</f>
        <v>估价对象所在区域公共配套设施齐备情况</v>
      </c>
      <c r="C87" s="1885"/>
      <c r="D87" s="1000">
        <f t="shared" si="22"/>
        <v>0</v>
      </c>
      <c r="E87" s="703"/>
      <c r="F87" s="1673"/>
      <c r="G87" s="998"/>
      <c r="H87" s="1001" t="str">
        <f t="shared" si="23"/>
        <v>——</v>
      </c>
      <c r="I87" s="3066">
        <v>0.06</v>
      </c>
      <c r="J87" s="999">
        <f t="shared" si="24"/>
        <v>0</v>
      </c>
      <c r="K87" s="999">
        <f t="shared" si="25"/>
        <v>0</v>
      </c>
      <c r="L87" s="999">
        <v>0</v>
      </c>
      <c r="M87" s="999">
        <f t="shared" si="26"/>
        <v>0</v>
      </c>
      <c r="N87" s="999">
        <f t="shared" si="26"/>
        <v>0</v>
      </c>
    </row>
    <row r="88" spans="1:37" ht="25.5">
      <c r="A88" s="1968" t="s">
        <v>2060</v>
      </c>
      <c r="B88" s="1238" t="str">
        <f>估价对象房地状况!G20</f>
        <v>估价对象所在区域基础设施水平</v>
      </c>
      <c r="C88" s="1885"/>
      <c r="D88" s="1000">
        <f t="shared" si="22"/>
        <v>0</v>
      </c>
      <c r="E88" s="703"/>
      <c r="F88" s="1673"/>
      <c r="G88" s="998"/>
      <c r="H88" s="1001" t="str">
        <f t="shared" si="23"/>
        <v>——</v>
      </c>
      <c r="I88" s="3066">
        <v>0.12</v>
      </c>
      <c r="J88" s="999">
        <f t="shared" si="24"/>
        <v>0</v>
      </c>
      <c r="K88" s="999">
        <f t="shared" si="25"/>
        <v>0</v>
      </c>
      <c r="L88" s="999">
        <v>0</v>
      </c>
      <c r="M88" s="999">
        <f t="shared" si="26"/>
        <v>0</v>
      </c>
      <c r="N88" s="999">
        <f t="shared" si="26"/>
        <v>0</v>
      </c>
    </row>
    <row r="89" spans="1:37" ht="24">
      <c r="A89" s="1968" t="s">
        <v>2057</v>
      </c>
      <c r="B89" s="1973" t="s">
        <v>2071</v>
      </c>
      <c r="C89" s="1885"/>
      <c r="D89" s="1000">
        <f t="shared" si="22"/>
        <v>0</v>
      </c>
      <c r="E89" s="703"/>
      <c r="F89" s="1673"/>
      <c r="G89" s="998"/>
      <c r="H89" s="1001" t="str">
        <f t="shared" si="23"/>
        <v>——</v>
      </c>
      <c r="I89" s="3066">
        <v>0.06</v>
      </c>
      <c r="J89" s="999">
        <f t="shared" si="24"/>
        <v>0</v>
      </c>
      <c r="K89" s="999">
        <f t="shared" si="25"/>
        <v>0</v>
      </c>
      <c r="L89" s="999">
        <v>0</v>
      </c>
      <c r="M89" s="999">
        <f t="shared" si="26"/>
        <v>0</v>
      </c>
      <c r="N89" s="999">
        <f t="shared" si="26"/>
        <v>0</v>
      </c>
    </row>
    <row r="90" spans="1:37" ht="39" thickBot="1">
      <c r="A90" s="1975" t="s">
        <v>2072</v>
      </c>
      <c r="B90" s="1980" t="str">
        <f>估价对象房地状况!G18</f>
        <v>该园区内是否有污染型企业，绿化情况，卫生条件，整体环境状况判断</v>
      </c>
      <c r="C90" s="1885"/>
      <c r="D90" s="1000">
        <f t="shared" si="22"/>
        <v>0</v>
      </c>
      <c r="E90" s="704"/>
      <c r="F90" s="1673"/>
      <c r="G90" s="998"/>
      <c r="H90" s="1001" t="str">
        <f t="shared" si="23"/>
        <v>——</v>
      </c>
      <c r="I90" s="3067">
        <v>0.05</v>
      </c>
      <c r="J90" s="999">
        <f t="shared" si="24"/>
        <v>0</v>
      </c>
      <c r="K90" s="999">
        <f t="shared" si="25"/>
        <v>0</v>
      </c>
      <c r="L90" s="999">
        <v>0</v>
      </c>
      <c r="M90" s="999">
        <f t="shared" si="26"/>
        <v>0</v>
      </c>
      <c r="N90" s="999">
        <f t="shared" si="26"/>
        <v>0</v>
      </c>
    </row>
    <row r="91" spans="1:37" ht="15">
      <c r="A91" s="3076" t="s">
        <v>2609</v>
      </c>
      <c r="B91" s="3077">
        <f>1+E93</f>
        <v>1</v>
      </c>
      <c r="C91" s="3070"/>
      <c r="D91" s="3071"/>
      <c r="E91" s="1673"/>
      <c r="F91" s="1673"/>
      <c r="G91" s="3072"/>
      <c r="H91" s="3073"/>
      <c r="I91" s="3074"/>
      <c r="J91" s="3075"/>
      <c r="K91" s="3075"/>
      <c r="L91" s="3075"/>
      <c r="M91" s="3075"/>
      <c r="N91" s="3075"/>
    </row>
    <row r="92" spans="1:37" ht="24.75">
      <c r="A92" s="3078" t="s">
        <v>2044</v>
      </c>
      <c r="B92" s="2307"/>
      <c r="C92" s="2307" t="s">
        <v>2046</v>
      </c>
      <c r="D92" s="2307" t="s">
        <v>2047</v>
      </c>
      <c r="E92" s="3050" t="s">
        <v>2048</v>
      </c>
      <c r="F92" s="3080" t="s">
        <v>3280</v>
      </c>
      <c r="G92" s="2307" t="s">
        <v>1989</v>
      </c>
      <c r="H92" s="3087" t="s">
        <v>3284</v>
      </c>
      <c r="I92" s="2307" t="s">
        <v>2051</v>
      </c>
      <c r="J92" s="2148" t="s">
        <v>1721</v>
      </c>
      <c r="K92" s="2148" t="s">
        <v>1722</v>
      </c>
      <c r="L92" s="2148" t="s">
        <v>1723</v>
      </c>
      <c r="M92" s="2148" t="s">
        <v>1724</v>
      </c>
      <c r="N92" s="2148" t="s">
        <v>1725</v>
      </c>
    </row>
    <row r="93" spans="1:37" ht="24">
      <c r="A93" s="3068" t="s">
        <v>3269</v>
      </c>
      <c r="B93" s="1219"/>
      <c r="C93" s="1885"/>
      <c r="D93" s="2307">
        <f>SUMIF($J$92:$N$92,C93,J93:N93)</f>
        <v>0</v>
      </c>
      <c r="E93" s="3081">
        <f>ROUND(SUM(D93:D101),4)</f>
        <v>0</v>
      </c>
      <c r="F93" s="1673"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51">
      <c r="A94" s="3078" t="s">
        <v>2053</v>
      </c>
      <c r="B94" s="3069" t="str">
        <f>估价对象房地状况!C18</f>
        <v>估价对象周边有316路、342路、582路、587路等多条公交线路及地铁6号线通州北关站，综合评价交通便捷度较好</v>
      </c>
      <c r="C94" s="1885"/>
      <c r="D94" s="2307">
        <f t="shared" ref="D94:D101" si="30">SUMIF($J$60:$N$60,C94,J94:N94)</f>
        <v>0</v>
      </c>
      <c r="E94" s="3082"/>
      <c r="F94" s="1673"/>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3266</v>
      </c>
      <c r="B95" s="3069">
        <f>估价对象房地状况!C19</f>
        <v>0</v>
      </c>
      <c r="C95" s="1885"/>
      <c r="D95" s="2307">
        <f t="shared" si="30"/>
        <v>0</v>
      </c>
      <c r="E95" s="3082"/>
      <c r="F95" s="1673"/>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2054</v>
      </c>
      <c r="B96" s="3084" t="s">
        <v>3282</v>
      </c>
      <c r="C96" s="1885"/>
      <c r="D96" s="2307">
        <f t="shared" si="30"/>
        <v>0</v>
      </c>
      <c r="E96" s="3082"/>
      <c r="F96" s="1673"/>
      <c r="G96" s="3072"/>
      <c r="H96" s="3117" t="str">
        <f t="shared" si="31"/>
        <v>——</v>
      </c>
      <c r="I96" s="3066">
        <v>0.05</v>
      </c>
      <c r="J96" s="1910">
        <f t="shared" si="27"/>
        <v>0</v>
      </c>
      <c r="K96" s="1910">
        <f t="shared" si="28"/>
        <v>0</v>
      </c>
      <c r="L96" s="1910">
        <v>0</v>
      </c>
      <c r="M96" s="1910">
        <f t="shared" si="29"/>
        <v>0</v>
      </c>
      <c r="N96" s="1910">
        <f t="shared" si="29"/>
        <v>0</v>
      </c>
    </row>
    <row r="97" spans="1:14" ht="24">
      <c r="A97" s="3078" t="s">
        <v>2056</v>
      </c>
      <c r="B97" s="3069">
        <f>估价对象房地状况!C24</f>
        <v>0</v>
      </c>
      <c r="C97" s="1885"/>
      <c r="D97" s="2307">
        <f t="shared" si="30"/>
        <v>0</v>
      </c>
      <c r="E97" s="3082"/>
      <c r="F97" s="1673"/>
      <c r="G97" s="3072"/>
      <c r="H97" s="3117" t="str">
        <f t="shared" si="31"/>
        <v>——</v>
      </c>
      <c r="I97" s="3066">
        <v>0.05</v>
      </c>
      <c r="J97" s="1910">
        <f t="shared" si="27"/>
        <v>0</v>
      </c>
      <c r="K97" s="1910">
        <f t="shared" si="28"/>
        <v>0</v>
      </c>
      <c r="L97" s="1910">
        <v>0</v>
      </c>
      <c r="M97" s="1910">
        <f t="shared" si="29"/>
        <v>0</v>
      </c>
      <c r="N97" s="1910">
        <f t="shared" si="29"/>
        <v>0</v>
      </c>
    </row>
    <row r="98" spans="1:14" ht="24">
      <c r="A98" s="3078" t="s">
        <v>2057</v>
      </c>
      <c r="B98" s="3085" t="s">
        <v>3283</v>
      </c>
      <c r="C98" s="1885"/>
      <c r="D98" s="2307">
        <f t="shared" si="30"/>
        <v>0</v>
      </c>
      <c r="E98" s="3082"/>
      <c r="F98" s="1673"/>
      <c r="G98" s="3072"/>
      <c r="H98" s="3117" t="str">
        <f t="shared" si="31"/>
        <v>——</v>
      </c>
      <c r="I98" s="3066">
        <v>0.06</v>
      </c>
      <c r="J98" s="1910">
        <f t="shared" si="27"/>
        <v>0</v>
      </c>
      <c r="K98" s="1910">
        <f t="shared" si="28"/>
        <v>0</v>
      </c>
      <c r="L98" s="1910">
        <v>0</v>
      </c>
      <c r="M98" s="1910">
        <f t="shared" si="29"/>
        <v>0</v>
      </c>
      <c r="N98" s="1910">
        <f t="shared" si="29"/>
        <v>0</v>
      </c>
    </row>
    <row r="99" spans="1:14" ht="191.25">
      <c r="A99" s="3078" t="s">
        <v>2059</v>
      </c>
      <c r="B99" s="3069"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99" s="1885"/>
      <c r="D99" s="2307">
        <f t="shared" si="30"/>
        <v>0</v>
      </c>
      <c r="E99" s="3082"/>
      <c r="F99" s="1673"/>
      <c r="G99" s="3072"/>
      <c r="H99" s="3117" t="str">
        <f t="shared" si="31"/>
        <v>——</v>
      </c>
      <c r="I99" s="3066">
        <v>0.06</v>
      </c>
      <c r="J99" s="1910">
        <f t="shared" si="27"/>
        <v>0</v>
      </c>
      <c r="K99" s="1910">
        <f t="shared" si="28"/>
        <v>0</v>
      </c>
      <c r="L99" s="1910">
        <v>0</v>
      </c>
      <c r="M99" s="1910">
        <f t="shared" si="29"/>
        <v>0</v>
      </c>
      <c r="N99" s="1910">
        <f t="shared" si="29"/>
        <v>0</v>
      </c>
    </row>
    <row r="100" spans="1:14" ht="25.5">
      <c r="A100" s="3078" t="s">
        <v>2060</v>
      </c>
      <c r="B100" s="3069" t="str">
        <f>估价对象房地状况!C22</f>
        <v>估价对象所在区域基础设施水平</v>
      </c>
      <c r="C100" s="1885"/>
      <c r="D100" s="2307">
        <f t="shared" si="30"/>
        <v>0</v>
      </c>
      <c r="E100" s="3082"/>
      <c r="F100" s="1673"/>
      <c r="G100" s="3072"/>
      <c r="H100" s="3117" t="str">
        <f t="shared" si="31"/>
        <v>——</v>
      </c>
      <c r="I100" s="3066">
        <v>0.09</v>
      </c>
      <c r="J100" s="1910">
        <f t="shared" si="27"/>
        <v>0</v>
      </c>
      <c r="K100" s="1910">
        <f t="shared" si="28"/>
        <v>0</v>
      </c>
      <c r="L100" s="1910">
        <v>0</v>
      </c>
      <c r="M100" s="1910">
        <f t="shared" si="29"/>
        <v>0</v>
      </c>
      <c r="N100" s="1910">
        <f t="shared" si="29"/>
        <v>0</v>
      </c>
    </row>
    <row r="101" spans="1:14" ht="51.75" thickBot="1">
      <c r="A101" s="3079" t="s">
        <v>2061</v>
      </c>
      <c r="B101" s="3086" t="str">
        <f>估价对象房地状况!C20</f>
        <v>估价对象周边有北关清真寺、三教庙等人文景观，西海子公园、北运河水系等自然景观，综合评价环境状况较好。</v>
      </c>
      <c r="C101" s="1885"/>
      <c r="D101" s="2307">
        <f t="shared" si="30"/>
        <v>0</v>
      </c>
      <c r="E101" s="3083"/>
      <c r="F101" s="1673"/>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80" t="s">
        <v>3291</v>
      </c>
      <c r="B103" s="3480"/>
      <c r="C103" s="3480"/>
      <c r="D103" s="3480"/>
      <c r="E103" s="3480"/>
      <c r="F103" s="3480"/>
      <c r="G103" s="3480"/>
      <c r="H103" s="3480"/>
      <c r="I103" s="3480"/>
      <c r="J103" s="3480"/>
      <c r="K103" s="1665"/>
      <c r="L103" s="1665"/>
      <c r="M103" s="1665"/>
      <c r="N103" s="1665"/>
    </row>
    <row r="104" spans="1:14">
      <c r="A104" s="3481" t="s">
        <v>3292</v>
      </c>
      <c r="B104" s="3481" t="s">
        <v>3293</v>
      </c>
      <c r="C104" s="3088" t="s">
        <v>3294</v>
      </c>
      <c r="D104" s="3089"/>
      <c r="E104" s="3089"/>
      <c r="F104" s="3089"/>
      <c r="G104" s="3089"/>
      <c r="H104" s="3089"/>
      <c r="I104" s="3089"/>
      <c r="J104" s="3090"/>
      <c r="K104" s="3091"/>
      <c r="L104" s="3091"/>
      <c r="M104" s="3091"/>
      <c r="N104" s="3091"/>
    </row>
    <row r="105" spans="1:14">
      <c r="A105" s="3481"/>
      <c r="B105" s="3481"/>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482"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3265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5" t="s">
        <v>3308</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3309</v>
      </c>
      <c r="B116" s="3112">
        <f>G3</f>
        <v>7.87</v>
      </c>
      <c r="C116" s="3097" t="s">
        <v>3310</v>
      </c>
      <c r="D116" s="3098">
        <f>SUMPRODUCT((A118:A122=F116)*(B117:M117=H116)*B118:M122)</f>
        <v>0.82969999999999999</v>
      </c>
      <c r="E116" s="162" t="s">
        <v>1936</v>
      </c>
      <c r="F116" s="3099" t="str">
        <f>E2</f>
        <v>办公</v>
      </c>
      <c r="G116" s="162" t="s">
        <v>1937</v>
      </c>
      <c r="H116" s="3099" t="str">
        <f>G2</f>
        <v>四级</v>
      </c>
      <c r="I116" s="162"/>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1990</v>
      </c>
      <c r="B118" s="3087">
        <f>ROUND(0.9968-0.011*B116,4)</f>
        <v>0.91020000000000001</v>
      </c>
      <c r="C118" s="3087">
        <f>B118</f>
        <v>0.91020000000000001</v>
      </c>
      <c r="D118" s="3087">
        <f>ROUND(0.949-0.014*B116,4)</f>
        <v>0.83879999999999999</v>
      </c>
      <c r="E118" s="3087">
        <f>D118</f>
        <v>0.83879999999999999</v>
      </c>
      <c r="F118" s="3087">
        <f>E118</f>
        <v>0.83879999999999999</v>
      </c>
      <c r="G118" s="3087">
        <f>F118</f>
        <v>0.83879999999999999</v>
      </c>
      <c r="H118" s="3087">
        <f>G118</f>
        <v>0.83879999999999999</v>
      </c>
      <c r="I118" s="3087">
        <f>ROUND(0.8486-0.018*B116,4)</f>
        <v>0.70689999999999997</v>
      </c>
      <c r="J118" s="3087">
        <f t="shared" ref="J118:M122" si="35">I118</f>
        <v>0.70689999999999997</v>
      </c>
      <c r="K118" s="3087">
        <f t="shared" si="35"/>
        <v>0.70689999999999997</v>
      </c>
      <c r="L118" s="3087">
        <f t="shared" si="35"/>
        <v>0.70689999999999997</v>
      </c>
      <c r="M118" s="3107">
        <f t="shared" si="35"/>
        <v>0.70689999999999997</v>
      </c>
      <c r="N118" s="3095"/>
    </row>
    <row r="119" spans="1:14">
      <c r="A119" s="3055" t="s">
        <v>1991</v>
      </c>
      <c r="B119" s="3087">
        <f>ROUND(0.993-0.0112*B116,4)</f>
        <v>0.90490000000000004</v>
      </c>
      <c r="C119" s="3087">
        <f>B119</f>
        <v>0.90490000000000004</v>
      </c>
      <c r="D119" s="3087">
        <f>ROUND(0.9415-0.0142*B116,4)</f>
        <v>0.82969999999999999</v>
      </c>
      <c r="E119" s="3087">
        <f t="shared" ref="E119:H120" si="36">D119</f>
        <v>0.82969999999999999</v>
      </c>
      <c r="F119" s="3087">
        <f t="shared" si="36"/>
        <v>0.82969999999999999</v>
      </c>
      <c r="G119" s="3087">
        <f t="shared" si="36"/>
        <v>0.82969999999999999</v>
      </c>
      <c r="H119" s="3087">
        <f t="shared" si="36"/>
        <v>0.82969999999999999</v>
      </c>
      <c r="I119" s="3087">
        <f>ROUND(0.838-0.0182*B116,4)</f>
        <v>0.69479999999999997</v>
      </c>
      <c r="J119" s="3087">
        <f t="shared" si="35"/>
        <v>0.69479999999999997</v>
      </c>
      <c r="K119" s="3087">
        <f t="shared" si="35"/>
        <v>0.69479999999999997</v>
      </c>
      <c r="L119" s="3087">
        <f t="shared" si="35"/>
        <v>0.69479999999999997</v>
      </c>
      <c r="M119" s="3107">
        <f t="shared" si="35"/>
        <v>0.69479999999999997</v>
      </c>
      <c r="N119" s="3095"/>
    </row>
    <row r="120" spans="1:14">
      <c r="A120" s="3055" t="s">
        <v>1992</v>
      </c>
      <c r="B120" s="3087">
        <f>ROUND(0.9448-0.0115*B116,4)</f>
        <v>0.85429999999999995</v>
      </c>
      <c r="C120" s="3087">
        <f>B120</f>
        <v>0.85429999999999995</v>
      </c>
      <c r="D120" s="3087">
        <f>ROUND(0.937-0.0145*B116,4)</f>
        <v>0.82289999999999996</v>
      </c>
      <c r="E120" s="3087">
        <f t="shared" si="36"/>
        <v>0.82289999999999996</v>
      </c>
      <c r="F120" s="3087">
        <f t="shared" si="36"/>
        <v>0.82289999999999996</v>
      </c>
      <c r="G120" s="3087">
        <f t="shared" si="36"/>
        <v>0.82289999999999996</v>
      </c>
      <c r="H120" s="3087">
        <f t="shared" si="36"/>
        <v>0.82289999999999996</v>
      </c>
      <c r="I120" s="3087">
        <f>ROUND(0.7965-0.0185*B116,4)</f>
        <v>0.65090000000000003</v>
      </c>
      <c r="J120" s="3087">
        <f t="shared" si="35"/>
        <v>0.65090000000000003</v>
      </c>
      <c r="K120" s="3087">
        <f t="shared" si="35"/>
        <v>0.65090000000000003</v>
      </c>
      <c r="L120" s="3087">
        <f t="shared" si="35"/>
        <v>0.65090000000000003</v>
      </c>
      <c r="M120" s="3107">
        <f t="shared" si="35"/>
        <v>0.65090000000000003</v>
      </c>
      <c r="N120" s="3095"/>
    </row>
    <row r="121" spans="1:14" ht="13.5" thickBot="1">
      <c r="A121" s="3108" t="s">
        <v>1993</v>
      </c>
      <c r="B121" s="3109">
        <f>ROUND(0.7836-0.012*B116,4)</f>
        <v>0.68920000000000003</v>
      </c>
      <c r="C121" s="3109">
        <f>B121</f>
        <v>0.68920000000000003</v>
      </c>
      <c r="D121" s="3109">
        <f>ROUND(0.753-0.015*B116,4)</f>
        <v>0.63500000000000001</v>
      </c>
      <c r="E121" s="3109">
        <f>D121</f>
        <v>0.63500000000000001</v>
      </c>
      <c r="F121" s="3109">
        <f>E121</f>
        <v>0.63500000000000001</v>
      </c>
      <c r="G121" s="3109">
        <f>ROUND(0.6612-0.018*B116,4)</f>
        <v>0.51949999999999996</v>
      </c>
      <c r="H121" s="3109">
        <f>G121</f>
        <v>0.51949999999999996</v>
      </c>
      <c r="I121" s="3109">
        <f>ROUND(0.5905-0.019*B116,4)</f>
        <v>0.441</v>
      </c>
      <c r="J121" s="3109">
        <f t="shared" si="35"/>
        <v>0.441</v>
      </c>
      <c r="K121" s="3109">
        <f t="shared" si="35"/>
        <v>0.441</v>
      </c>
      <c r="L121" s="3109">
        <f t="shared" si="35"/>
        <v>0.441</v>
      </c>
      <c r="M121" s="3110">
        <f t="shared" si="35"/>
        <v>0.441</v>
      </c>
      <c r="N121" s="3095"/>
    </row>
    <row r="122" spans="1:14">
      <c r="A122" s="3111" t="s">
        <v>2609</v>
      </c>
      <c r="B122" s="3087">
        <f>ROUND(0.9404-0.0106*B116,4)</f>
        <v>0.85699999999999998</v>
      </c>
      <c r="C122" s="3087">
        <f>B122</f>
        <v>0.85699999999999998</v>
      </c>
      <c r="D122" s="3087">
        <f>ROUND(0.8955-0.0135*B116,4)</f>
        <v>0.7893</v>
      </c>
      <c r="E122" s="3087">
        <f t="shared" ref="E122:H122" si="37">D122</f>
        <v>0.7893</v>
      </c>
      <c r="F122" s="3087">
        <f t="shared" si="37"/>
        <v>0.7893</v>
      </c>
      <c r="G122" s="3087">
        <f t="shared" si="37"/>
        <v>0.7893</v>
      </c>
      <c r="H122" s="3087">
        <f t="shared" si="37"/>
        <v>0.7893</v>
      </c>
      <c r="I122" s="3087">
        <f>ROUND(0.7632-0.0166*B116,4)</f>
        <v>0.63260000000000005</v>
      </c>
      <c r="J122" s="3087">
        <f t="shared" si="35"/>
        <v>0.63260000000000005</v>
      </c>
      <c r="K122" s="3087">
        <f t="shared" si="35"/>
        <v>0.63260000000000005</v>
      </c>
      <c r="L122" s="3087">
        <f t="shared" si="35"/>
        <v>0.63260000000000005</v>
      </c>
      <c r="M122" s="3107">
        <f t="shared" si="35"/>
        <v>0.63260000000000005</v>
      </c>
      <c r="N122" s="3095"/>
    </row>
  </sheetData>
  <sheetProtection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disablePrompts="1" count="11">
    <dataValidation type="list" allowBlank="1" showInputMessage="1" showErrorMessage="1" sqref="J23" xr:uid="{B06B1218-F20C-45D0-9C60-8D3DD080A675}">
      <formula1>"不用分区数据,中心城区,中心城区以外"</formula1>
    </dataValidation>
    <dataValidation type="list" allowBlank="1" showInputMessage="1" showErrorMessage="1" sqref="H20:O20" xr:uid="{875108F7-DE15-4672-8642-3C4489E37AB3}">
      <formula1>七通一平</formula1>
    </dataValidation>
    <dataValidation type="list" allowBlank="1" showInputMessage="1" showErrorMessage="1" sqref="H23" xr:uid="{A22DBECA-7E42-4BEB-A44B-7E5B9653CFDE}">
      <formula1>"地价指数,季度增幅（自定义）,按公示增长率计算"</formula1>
    </dataValidation>
    <dataValidation type="list" allowBlank="1" showInputMessage="1" showErrorMessage="1" sqref="C61:C69 C72:C80 C50:C58 C83:C91 C93:C101" xr:uid="{251130C7-6660-4FBC-B221-C86705FFB875}">
      <formula1>五等判定</formula1>
    </dataValidation>
    <dataValidation type="list" allowBlank="1" showInputMessage="1" showErrorMessage="1" sqref="E3" xr:uid="{DC35ABE6-0059-4929-A3EA-1DA7750A7426}">
      <formula1>INDIRECT(E2)</formula1>
    </dataValidation>
    <dataValidation type="list" allowBlank="1" showInputMessage="1" showErrorMessage="1" sqref="C8" xr:uid="{DC2873E0-6DCB-4492-8182-6D3DB1FB5985}">
      <formula1>商业街名称</formula1>
    </dataValidation>
    <dataValidation type="list" allowBlank="1" showInputMessage="1" showErrorMessage="1" sqref="F3" xr:uid="{0B19789E-315A-467E-AB89-07E9A4824993}">
      <formula1>"宗地容积率,估价对象容积率,自定义容积率"</formula1>
    </dataValidation>
    <dataValidation type="list" allowBlank="1" showInputMessage="1" showErrorMessage="1" sqref="F21" xr:uid="{10AD6767-3255-4A22-8D2B-7F311ACDF98A}">
      <formula1>"与级别开发程度一致,与级别开发程度不一致"</formula1>
    </dataValidation>
    <dataValidation type="list" allowBlank="1" showInputMessage="1" showErrorMessage="1" sqref="B25" xr:uid="{07F1396C-CA74-4E39-AE1D-23266847F5F8}">
      <formula1>"容积率修正,楼层修正"</formula1>
    </dataValidation>
    <dataValidation type="list" allowBlank="1" showInputMessage="1" showErrorMessage="1" sqref="C15:D15" xr:uid="{6ECC3319-6262-4DBE-8B8A-67BDDB1B2B36}">
      <formula1>"有,无"</formula1>
    </dataValidation>
    <dataValidation type="list" allowBlank="1" showInputMessage="1" showErrorMessage="1" sqref="E15" xr:uid="{297D44B1-60AE-434D-8A85-3F50080E9EC8}">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C7CE87D-1957-4D6F-B43E-E6A9C4DADBCE}">
          <x14:formula1>
            <xm:f>定义!$X$1:$AB$1</xm:f>
          </x14:formula1>
          <xm:sqref>E2</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I38" sqref="I38"/>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16802.18</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f>C30</f>
        <v>237276861</v>
      </c>
      <c r="C2" s="1844"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61">
        <f>ROUND(SUMPRODUCT((B106:B110=R2)*(C105:N105=G2)*(C106:N110)),4)</f>
        <v>1.5019</v>
      </c>
      <c r="T2" s="3061">
        <f>ROUND($C$5*$C$22*$C$23*$C$24*S2*$C$28,0)</f>
        <v>22545</v>
      </c>
      <c r="U2" s="1128">
        <v>2364.37</v>
      </c>
      <c r="V2" s="3061">
        <f>ROUND(T2*U2,0)</f>
        <v>53304722</v>
      </c>
      <c r="W2" s="1131"/>
      <c r="X2" s="1131"/>
      <c r="Y2" s="1131"/>
      <c r="Z2" s="1131"/>
      <c r="AA2" s="1131"/>
      <c r="AB2" s="1131"/>
      <c r="AC2" s="1132"/>
      <c r="AD2" s="1133"/>
      <c r="AE2" s="1133"/>
      <c r="AF2" s="1133"/>
      <c r="AG2" s="1133"/>
      <c r="AH2" s="1133"/>
      <c r="AI2" s="1133"/>
      <c r="AJ2" s="1134"/>
    </row>
    <row r="3" spans="1:36" ht="15.75">
      <c r="A3" s="195" t="s">
        <v>1940</v>
      </c>
      <c r="B3" s="196">
        <f>ROUND(B2*10000/D1,0)</f>
        <v>141217902</v>
      </c>
      <c r="C3" s="1844" t="s">
        <v>1941</v>
      </c>
      <c r="D3" s="162" t="s">
        <v>1942</v>
      </c>
      <c r="E3" s="3116" t="s">
        <v>2436</v>
      </c>
      <c r="F3" s="1846" t="s">
        <v>3436</v>
      </c>
      <c r="G3" s="706">
        <f>IF(F3="宗地容积率",'数据-汇总表'!I4,IF(F3="估价对象容积率",'数据-汇总表'!I6,'数据-汇总表'!I7))</f>
        <v>7.87</v>
      </c>
      <c r="H3" s="162" t="s">
        <v>1943</v>
      </c>
      <c r="I3" s="727">
        <v>1</v>
      </c>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61">
        <f>ROUND(SUMPRODUCT((B106:B110=R3)*(C105:N105=G2)*(C106:N110)),4)</f>
        <v>1.1838</v>
      </c>
      <c r="T3" s="3061">
        <f t="shared" ref="T3:T16" si="0">ROUND($C$5*$C$22*$C$23*$C$24*S3*$C$28,0)</f>
        <v>17770</v>
      </c>
      <c r="U3" s="1128">
        <v>2482.7799999999997</v>
      </c>
      <c r="V3" s="3061">
        <f t="shared" ref="V3:V5" si="1">ROUND(T3*U3,0)</f>
        <v>44119001</v>
      </c>
      <c r="W3" s="1131"/>
      <c r="X3" s="1131"/>
      <c r="Y3" s="1131"/>
      <c r="Z3" s="1131"/>
      <c r="AA3" s="1131"/>
      <c r="AB3" s="1131"/>
      <c r="AC3" s="1132"/>
      <c r="AD3" s="1133"/>
      <c r="AE3" s="1133"/>
      <c r="AF3" s="1133"/>
      <c r="AG3" s="1133"/>
      <c r="AH3" s="1133"/>
      <c r="AI3" s="1133"/>
      <c r="AJ3" s="1134"/>
    </row>
    <row r="4" spans="1:36" ht="15.75">
      <c r="A4" s="3469"/>
      <c r="B4" s="3470"/>
      <c r="C4" s="3470"/>
      <c r="D4" s="3471"/>
      <c r="E4" s="3471"/>
      <c r="F4" s="3471"/>
      <c r="G4" s="3471"/>
      <c r="H4" s="3471"/>
      <c r="I4" s="3471"/>
      <c r="J4" s="3472"/>
      <c r="K4" s="1054"/>
      <c r="L4" s="1845" t="s">
        <v>1946</v>
      </c>
      <c r="M4" s="809">
        <f>SUMPRODUCT((区片价!B55:B86=I2)*(区片价!C3:G3=E2)*(区片价!C55:G86))</f>
        <v>16610</v>
      </c>
      <c r="N4" s="811">
        <f>SUMPRODUCT((因素修正幅度!B55:B86=I2)*(因素修正幅度!C3:G3=E2)*(因素修正幅度!C55:G86))</f>
        <v>9.8000000000000004E-2</v>
      </c>
      <c r="O4" s="1054"/>
      <c r="P4" s="1054"/>
      <c r="Q4" s="1054"/>
      <c r="R4" s="1127">
        <v>3</v>
      </c>
      <c r="S4" s="3061">
        <f>ROUND(SUMPRODUCT((B106:B110=R4)*(C105:N105=G2)*(C106:N110)),4)</f>
        <v>1.0004999999999999</v>
      </c>
      <c r="T4" s="3061">
        <f t="shared" si="0"/>
        <v>15019</v>
      </c>
      <c r="U4" s="1128">
        <v>3138.87</v>
      </c>
      <c r="V4" s="3061">
        <f t="shared" si="1"/>
        <v>47142689</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7">
        <f>ROUND(IF(E2="商业",C6*C7*C17+C20,(IF(E2="住宅",C6*C13*C17+C20,IF(E2="办公",C6*C12*C17+C20,C6+C20)))),0)</f>
        <v>16610</v>
      </c>
      <c r="D5" s="1250">
        <f>ROUND(C6*C17+C20,0)</f>
        <v>16610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61">
        <f>ROUND(SUMPRODUCT((B106:B110=R5)*(C105:N105=G2)*(C106:N110)),4)</f>
        <v>0.88239999999999996</v>
      </c>
      <c r="T5" s="3061">
        <f t="shared" si="0"/>
        <v>13246</v>
      </c>
      <c r="U5" s="1128">
        <v>3138.3099999999995</v>
      </c>
      <c r="V5" s="3061">
        <f t="shared" si="1"/>
        <v>41570054</v>
      </c>
      <c r="W5" s="1131"/>
      <c r="X5" s="1131"/>
      <c r="Y5" s="1131"/>
      <c r="Z5" s="1131"/>
      <c r="AA5" s="1131"/>
      <c r="AB5" s="1131"/>
      <c r="AC5" s="1853"/>
      <c r="AD5" s="1854"/>
      <c r="AE5" s="1854"/>
      <c r="AF5" s="1854"/>
      <c r="AG5" s="1854"/>
      <c r="AH5" s="1854"/>
      <c r="AI5" s="1854"/>
      <c r="AJ5" s="1855"/>
    </row>
    <row r="6" spans="1:36" ht="15.75" thickBot="1">
      <c r="A6" s="1857" t="s">
        <v>1949</v>
      </c>
      <c r="B6" s="1858" t="s">
        <v>1950</v>
      </c>
      <c r="C6" s="708">
        <f>SUMIF(L1:L12,G2,M1:M12)</f>
        <v>16610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61">
        <f>ROUND(SUMPRODUCT((B106:B110=R6)*(C105:N105=G2)*(C106:N110)),4)</f>
        <v>0.84799999999999998</v>
      </c>
      <c r="T6" s="3061">
        <f t="shared" si="0"/>
        <v>12730</v>
      </c>
      <c r="U6" s="1128"/>
      <c r="V6" s="3061">
        <f t="shared" ref="V6:V16" si="2">ROUND(T6*U6/10000,0)</f>
        <v>0</v>
      </c>
      <c r="W6" s="1131"/>
      <c r="X6" s="1131"/>
      <c r="Y6" s="1131"/>
      <c r="Z6" s="1131"/>
      <c r="AA6" s="1131"/>
      <c r="AB6" s="1131"/>
      <c r="AC6" s="1853"/>
      <c r="AD6" s="1854"/>
      <c r="AE6" s="1854"/>
      <c r="AF6" s="1854"/>
      <c r="AG6" s="1854"/>
      <c r="AH6" s="1854"/>
      <c r="AI6" s="1854"/>
      <c r="AJ6" s="1855"/>
    </row>
    <row r="7" spans="1:36" ht="24.75" thickBot="1">
      <c r="A7" s="3010" t="s">
        <v>3234</v>
      </c>
      <c r="B7" s="1863" t="s">
        <v>1952</v>
      </c>
      <c r="C7" s="709">
        <f>IF(C8="不临65条商业街",1,ROUND(1+(1.6*E8+1.2*E9+0.8*E10+0.4*E11)*C9,4))</f>
        <v>1</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5"/>
      <c r="T7" s="3061">
        <f t="shared" si="0"/>
        <v>0</v>
      </c>
      <c r="U7" s="1128"/>
      <c r="V7" s="3061">
        <f t="shared" si="2"/>
        <v>0</v>
      </c>
      <c r="W7" s="1265" t="s">
        <v>1955</v>
      </c>
      <c r="X7" s="1129" t="str">
        <f>G2</f>
        <v>四级</v>
      </c>
      <c r="Y7" s="1129" t="s">
        <v>1956</v>
      </c>
      <c r="Z7" s="1130">
        <f>G3</f>
        <v>7.87</v>
      </c>
      <c r="AA7" s="1131"/>
      <c r="AB7" s="1131"/>
      <c r="AC7" s="1132"/>
      <c r="AD7" s="1133"/>
      <c r="AE7" s="1133"/>
      <c r="AF7" s="1133"/>
      <c r="AG7" s="1133"/>
      <c r="AH7" s="1133"/>
      <c r="AI7" s="1133"/>
      <c r="AJ7" s="1134"/>
    </row>
    <row r="8" spans="1:36" ht="25.5">
      <c r="A8" s="3007"/>
      <c r="B8" s="162" t="s">
        <v>1957</v>
      </c>
      <c r="C8" s="1868" t="s">
        <v>3448</v>
      </c>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61">
        <f t="shared" si="0"/>
        <v>0</v>
      </c>
      <c r="U8" s="1128"/>
      <c r="V8" s="3061">
        <f t="shared" si="2"/>
        <v>0</v>
      </c>
      <c r="W8" s="3473" t="s">
        <v>1960</v>
      </c>
      <c r="X8" s="3474"/>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7"/>
      <c r="B9" s="162" t="s">
        <v>1973</v>
      </c>
      <c r="C9" s="712">
        <f>SUMIF(修正!C73:C140,C8,修正!E73:E140)</f>
        <v>0</v>
      </c>
      <c r="D9" s="163" t="s">
        <v>113</v>
      </c>
      <c r="E9" s="163"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61">
        <f t="shared" si="0"/>
        <v>0</v>
      </c>
      <c r="U9" s="1128"/>
      <c r="V9" s="3061">
        <f t="shared" si="2"/>
        <v>0</v>
      </c>
      <c r="W9" s="3475"/>
      <c r="X9" s="3062" t="s">
        <v>3265</v>
      </c>
      <c r="Y9" s="3063">
        <v>6</v>
      </c>
      <c r="Z9" s="3064">
        <f>$Y$9</f>
        <v>6</v>
      </c>
      <c r="AA9" s="3064">
        <f t="shared" ref="AA9:AJ9" si="3">$Y$9</f>
        <v>6</v>
      </c>
      <c r="AB9" s="3064">
        <f t="shared" si="3"/>
        <v>6</v>
      </c>
      <c r="AC9" s="3064">
        <f t="shared" si="3"/>
        <v>6</v>
      </c>
      <c r="AD9" s="3064">
        <f t="shared" si="3"/>
        <v>6</v>
      </c>
      <c r="AE9" s="3064">
        <f t="shared" si="3"/>
        <v>6</v>
      </c>
      <c r="AF9" s="3064">
        <f t="shared" si="3"/>
        <v>6</v>
      </c>
      <c r="AG9" s="3064">
        <f t="shared" si="3"/>
        <v>6</v>
      </c>
      <c r="AH9" s="3064">
        <f t="shared" si="3"/>
        <v>6</v>
      </c>
      <c r="AI9" s="3064">
        <f t="shared" si="3"/>
        <v>6</v>
      </c>
      <c r="AJ9" s="3064">
        <f t="shared" si="3"/>
        <v>6</v>
      </c>
    </row>
    <row r="10" spans="1:36" ht="15">
      <c r="A10" s="3007"/>
      <c r="B10" s="162" t="s">
        <v>1976</v>
      </c>
      <c r="C10" s="163">
        <f>SUMIF(修正!C73:C140,C8,修正!F73:F140)</f>
        <v>0</v>
      </c>
      <c r="D10" s="163" t="s">
        <v>114</v>
      </c>
      <c r="E10" s="163"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61">
        <f t="shared" si="0"/>
        <v>0</v>
      </c>
      <c r="U10" s="1128"/>
      <c r="V10" s="3061">
        <f t="shared" si="2"/>
        <v>0</v>
      </c>
      <c r="W10" s="347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61">
        <f t="shared" si="0"/>
        <v>0</v>
      </c>
      <c r="U11" s="1128"/>
      <c r="V11" s="3061">
        <f t="shared" si="2"/>
        <v>0</v>
      </c>
      <c r="W11" s="1131"/>
      <c r="X11" s="1131"/>
      <c r="Y11" s="1131"/>
      <c r="Z11" s="1131"/>
      <c r="AA11" s="1131"/>
      <c r="AB11" s="1131"/>
      <c r="AC11" s="1132"/>
      <c r="AD11" s="2551"/>
      <c r="AE11" s="2551"/>
      <c r="AF11" s="2551"/>
      <c r="AG11" s="2551"/>
      <c r="AH11" s="2551"/>
      <c r="AI11" s="2551"/>
      <c r="AJ11" s="2552"/>
    </row>
    <row r="12" spans="1:36" ht="25.5" thickBot="1">
      <c r="A12" s="3010" t="s">
        <v>3235</v>
      </c>
      <c r="B12" s="3011" t="s">
        <v>3236</v>
      </c>
      <c r="C12" s="3012"/>
      <c r="D12" s="3013" t="s">
        <v>3237</v>
      </c>
      <c r="E12" s="3014" t="s">
        <v>3238</v>
      </c>
      <c r="F12" s="3015"/>
      <c r="G12" s="3016"/>
      <c r="H12" s="3016"/>
      <c r="I12" s="3016"/>
      <c r="J12" s="3017"/>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61">
        <f t="shared" si="0"/>
        <v>0</v>
      </c>
      <c r="U12" s="1128"/>
      <c r="V12" s="3061">
        <f t="shared" si="2"/>
        <v>0</v>
      </c>
      <c r="W12" s="1131"/>
      <c r="X12" s="1131"/>
      <c r="Y12" s="1131"/>
      <c r="Z12" s="1131"/>
      <c r="AA12" s="1131"/>
      <c r="AB12" s="1131"/>
      <c r="AC12" s="1132"/>
      <c r="AD12" s="2551"/>
      <c r="AE12" s="2551"/>
      <c r="AF12" s="2551"/>
      <c r="AG12" s="2551"/>
      <c r="AH12" s="2551"/>
      <c r="AI12" s="2551"/>
      <c r="AJ12" s="2552"/>
    </row>
    <row r="13" spans="1:36" ht="15.75" thickBot="1">
      <c r="A13" s="3010" t="s">
        <v>3239</v>
      </c>
      <c r="B13" s="1876" t="s">
        <v>1982</v>
      </c>
      <c r="C13" s="709">
        <f>ROUND(C16*D16*E16*F16*G16*H16*I16*J16,4)</f>
        <v>0</v>
      </c>
      <c r="D13" s="1877" t="s">
        <v>1983</v>
      </c>
      <c r="E13" s="1878"/>
      <c r="F13" s="1878"/>
      <c r="G13" s="1879"/>
      <c r="H13" s="1879"/>
      <c r="I13" s="1879"/>
      <c r="J13" s="1880"/>
      <c r="K13" s="1054"/>
      <c r="L13" s="3"/>
      <c r="M13" s="4"/>
      <c r="N13" s="3008"/>
      <c r="O13" s="1054"/>
      <c r="P13" s="1054"/>
      <c r="Q13" s="1054"/>
      <c r="R13" s="1127">
        <v>12</v>
      </c>
      <c r="S13" s="1128"/>
      <c r="T13" s="3061">
        <f t="shared" si="0"/>
        <v>0</v>
      </c>
      <c r="U13" s="1128"/>
      <c r="V13" s="3061">
        <f t="shared" si="2"/>
        <v>0</v>
      </c>
      <c r="W13" s="1131"/>
      <c r="X13" s="1131"/>
      <c r="Y13" s="1131"/>
      <c r="Z13" s="1131"/>
      <c r="AA13" s="1131"/>
      <c r="AB13" s="1131"/>
      <c r="AC13" s="1132"/>
      <c r="AD13" s="2551"/>
      <c r="AE13" s="2551"/>
      <c r="AF13" s="2551"/>
      <c r="AG13" s="2551"/>
      <c r="AH13" s="2551"/>
      <c r="AI13" s="2551"/>
      <c r="AJ13" s="2552"/>
    </row>
    <row r="14" spans="1:36" ht="15">
      <c r="A14" s="3006"/>
      <c r="B14" s="1881" t="s">
        <v>1985</v>
      </c>
      <c r="C14" s="1882" t="s">
        <v>1986</v>
      </c>
      <c r="D14" s="1259" t="s">
        <v>1987</v>
      </c>
      <c r="E14" s="27" t="s">
        <v>1988</v>
      </c>
      <c r="F14" s="3018" t="s">
        <v>3240</v>
      </c>
      <c r="G14" s="3018" t="s">
        <v>3240</v>
      </c>
      <c r="H14" s="3018" t="s">
        <v>3240</v>
      </c>
      <c r="I14" s="3018" t="s">
        <v>3240</v>
      </c>
      <c r="J14" s="3018" t="s">
        <v>3240</v>
      </c>
      <c r="K14" s="1054"/>
      <c r="L14" s="1054"/>
      <c r="M14" s="1054"/>
      <c r="N14" s="1054"/>
      <c r="O14" s="1054"/>
      <c r="P14" s="1054"/>
      <c r="Q14" s="1054"/>
      <c r="R14" s="1127">
        <v>13</v>
      </c>
      <c r="S14" s="1128"/>
      <c r="T14" s="3061">
        <f t="shared" si="0"/>
        <v>0</v>
      </c>
      <c r="U14" s="1128"/>
      <c r="V14" s="3061">
        <f t="shared" si="2"/>
        <v>0</v>
      </c>
      <c r="W14" s="1131"/>
      <c r="X14" s="1131"/>
      <c r="Y14" s="1131"/>
      <c r="Z14" s="1131"/>
      <c r="AA14" s="1131"/>
      <c r="AB14" s="1131"/>
      <c r="AC14" s="1132"/>
      <c r="AD14" s="2551"/>
      <c r="AE14" s="2551"/>
      <c r="AF14" s="2551"/>
      <c r="AG14" s="2551"/>
      <c r="AH14" s="2551"/>
      <c r="AI14" s="2551"/>
      <c r="AJ14" s="2552"/>
    </row>
    <row r="15" spans="1:36" ht="15">
      <c r="A15" s="3006"/>
      <c r="B15" s="1883"/>
      <c r="C15" s="1884"/>
      <c r="D15" s="1885"/>
      <c r="E15" s="1886"/>
      <c r="F15" s="1468" t="s">
        <v>3241</v>
      </c>
      <c r="G15" s="1926"/>
      <c r="H15" s="3019"/>
      <c r="I15" s="3020"/>
      <c r="J15" s="3021"/>
      <c r="K15" s="1054"/>
      <c r="L15" s="1054"/>
      <c r="M15" s="1054"/>
      <c r="N15" s="1054"/>
      <c r="O15" s="1054"/>
      <c r="P15" s="1054"/>
      <c r="Q15" s="1054"/>
      <c r="R15" s="1127">
        <v>14</v>
      </c>
      <c r="S15" s="1128"/>
      <c r="T15" s="3061">
        <f t="shared" si="0"/>
        <v>0</v>
      </c>
      <c r="U15" s="1128"/>
      <c r="V15" s="3061">
        <f t="shared" si="2"/>
        <v>0</v>
      </c>
      <c r="W15" s="1131"/>
      <c r="X15" s="1131"/>
      <c r="Y15" s="1131"/>
      <c r="Z15" s="1131"/>
      <c r="AA15" s="1131"/>
      <c r="AB15" s="1131"/>
      <c r="AC15" s="1132"/>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4"/>
      <c r="L16" s="1842"/>
      <c r="M16" s="1842"/>
      <c r="N16" s="1842"/>
      <c r="O16" s="1842"/>
      <c r="P16" s="1842"/>
      <c r="Q16" s="1054"/>
      <c r="R16" s="1127">
        <v>15</v>
      </c>
      <c r="S16" s="1128"/>
      <c r="T16" s="3061">
        <f t="shared" si="0"/>
        <v>0</v>
      </c>
      <c r="U16" s="1128"/>
      <c r="V16" s="3061">
        <f t="shared" si="2"/>
        <v>0</v>
      </c>
      <c r="W16" s="1131"/>
      <c r="X16" s="1131"/>
      <c r="Y16" s="1131"/>
      <c r="Z16" s="1131"/>
      <c r="AA16" s="1131"/>
      <c r="AB16" s="1131"/>
      <c r="AC16" s="1132"/>
      <c r="AD16" s="2551"/>
      <c r="AE16" s="2551"/>
      <c r="AF16" s="2551"/>
      <c r="AG16" s="2551"/>
      <c r="AH16" s="2551"/>
      <c r="AI16" s="2551"/>
      <c r="AJ16" s="2552"/>
    </row>
    <row r="17" spans="1:37">
      <c r="A17" s="3033" t="s">
        <v>3242</v>
      </c>
      <c r="B17" s="3025" t="s">
        <v>3243</v>
      </c>
      <c r="C17" s="3034">
        <f>ROUND(IF(OR(E2="工业",E2="公共服务"),1,IF(AND(E18=0,E19=0),1,IF(AND(E18=J24,E19=G19),0.8,IF(E19=0,1+E17*(-0.2),1+E17*G17*(-0.2))))),4)</f>
        <v>1</v>
      </c>
      <c r="D17" s="3026" t="s">
        <v>3244</v>
      </c>
      <c r="E17" s="3034">
        <f>ROUND(G18/I18,2)</f>
        <v>0</v>
      </c>
      <c r="F17" s="3026" t="s">
        <v>3247</v>
      </c>
      <c r="G17" s="3034" t="e">
        <f>ROUND(E19/G19,2)</f>
        <v>#DIV/0!</v>
      </c>
      <c r="H17" s="3034"/>
      <c r="I17" s="3034"/>
      <c r="J17" s="3035"/>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6"/>
      <c r="B18" s="2307"/>
      <c r="C18" s="3032"/>
      <c r="D18" s="3027" t="s">
        <v>3245</v>
      </c>
      <c r="E18" s="2354"/>
      <c r="F18" s="3028" t="s">
        <v>3248</v>
      </c>
      <c r="G18" s="3032">
        <f>ROUND(1-(1/(POWER(1+G24,E18))),4)</f>
        <v>0</v>
      </c>
      <c r="H18" s="3028" t="s">
        <v>3250</v>
      </c>
      <c r="I18" s="3032">
        <f>ROUND(1-(1/(POWER(1+G24,J24))),4)</f>
        <v>0.88249999999999995</v>
      </c>
      <c r="J18" s="3037"/>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0"/>
    </row>
    <row r="19" spans="1:37" s="1856" customFormat="1" ht="15" thickBot="1">
      <c r="A19" s="3038"/>
      <c r="B19" s="3039"/>
      <c r="C19" s="3040"/>
      <c r="D19" s="3040" t="s">
        <v>3246</v>
      </c>
      <c r="E19" s="3041"/>
      <c r="F19" s="3042" t="s">
        <v>3249</v>
      </c>
      <c r="G19" s="3041"/>
      <c r="H19" s="3040"/>
      <c r="I19" s="3040"/>
      <c r="J19" s="3043"/>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3"/>
      <c r="AH19" s="1978"/>
      <c r="AI19" s="561"/>
      <c r="AJ19" s="561"/>
      <c r="AK19" s="1897"/>
    </row>
    <row r="20" spans="1:37" s="1856" customFormat="1" ht="14.25">
      <c r="A20" s="3476" t="s">
        <v>3251</v>
      </c>
      <c r="B20" s="159" t="s">
        <v>1994</v>
      </c>
      <c r="C20" s="3029">
        <f>ROUND(IF(F21="与级别开发程度一致",0,(G21-E21)/C21),0)</f>
        <v>0</v>
      </c>
      <c r="D20" s="3044" t="s">
        <v>1998</v>
      </c>
      <c r="E20" s="3045"/>
      <c r="F20" s="3478" t="s">
        <v>1995</v>
      </c>
      <c r="G20" s="3479"/>
      <c r="H20" s="3030"/>
      <c r="I20" s="3030"/>
      <c r="J20" s="3031"/>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6" customFormat="1" ht="26.25" thickBot="1">
      <c r="A21" s="3477"/>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3438</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6" customFormat="1" ht="15.75" thickBot="1">
      <c r="A22" s="1994" t="s">
        <v>363</v>
      </c>
      <c r="B22" s="1995" t="s">
        <v>2000</v>
      </c>
      <c r="C22" s="1996">
        <f>SUMIF(修正!C20:C53,E3,修正!E20:E53)</f>
        <v>1</v>
      </c>
      <c r="D22" s="1997"/>
      <c r="E22" s="1998"/>
      <c r="F22" s="1998"/>
      <c r="G22" s="1998"/>
      <c r="H22" s="1998"/>
      <c r="I22" s="1998"/>
      <c r="J22" s="1999"/>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90" t="s">
        <v>364</v>
      </c>
      <c r="B23" s="1891"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4" t="s">
        <v>2002</v>
      </c>
      <c r="E23" s="715">
        <v>44197</v>
      </c>
      <c r="F23" s="1894" t="s">
        <v>2003</v>
      </c>
      <c r="G23" s="716">
        <f>'数据-取费表'!B2</f>
        <v>45884</v>
      </c>
      <c r="H23" s="3046" t="s">
        <v>3253</v>
      </c>
      <c r="I23" s="3047" t="str">
        <f>IF(H23="季度增幅（自定义）",SUMIF(N25:N28,E2,O25:O28),"")</f>
        <v/>
      </c>
      <c r="J23" s="3139" t="s">
        <v>3449</v>
      </c>
      <c r="K23" s="1059"/>
      <c r="L23" s="1895" t="s">
        <v>2004</v>
      </c>
      <c r="M23" s="1239">
        <f>ROUND(SUMIF(地价!B2:G2,E2,地价!B16:G16),0)</f>
        <v>350</v>
      </c>
      <c r="N23" s="1896" t="s">
        <v>2005</v>
      </c>
      <c r="O23" s="717">
        <f>ROUNDDOWN(DATEDIF(E23,G23,"M")/3,0)</f>
        <v>18</v>
      </c>
      <c r="P23" s="1055"/>
      <c r="Q23" s="2550"/>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8">
        <f>ROUND(POWER(1+G24,J24-I24)*(POWER(1+G24,I24)-1)/(POWER(1+G24,J24)-1),4)</f>
        <v>0.84519999999999995</v>
      </c>
      <c r="D24" s="1900" t="s">
        <v>2007</v>
      </c>
      <c r="E24" s="1246">
        <f>存贷款利率!E28/100</f>
        <v>4.3499999999999997E-2</v>
      </c>
      <c r="F24" s="1900" t="s">
        <v>1999</v>
      </c>
      <c r="G24" s="722">
        <f>SUMIF(M30:Q30,E2,M33:Q33)</f>
        <v>5.5E-2</v>
      </c>
      <c r="H24" s="1900" t="s">
        <v>2008</v>
      </c>
      <c r="I24" s="723">
        <f>SUMIF('数据-取费表'!C6:C15,E2,'数据-取费表'!F6:F15)/COUNTIF('数据-取费表'!C6:C15,E2)</f>
        <v>25.59</v>
      </c>
      <c r="J24" s="724">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5" t="s">
        <v>366</v>
      </c>
      <c r="B25" s="1906" t="s">
        <v>3447</v>
      </c>
      <c r="C25" s="461">
        <f>IF(B25="容积率修正",IF(G3&lt;10,D26,J26),C27)</f>
        <v>1.5019</v>
      </c>
      <c r="D25" s="1907"/>
      <c r="E25" s="1907"/>
      <c r="F25" s="1907"/>
      <c r="G25" s="1907"/>
      <c r="H25" s="1907"/>
      <c r="I25" s="1907"/>
      <c r="J25" s="1908"/>
      <c r="K25" s="1059"/>
      <c r="L25" s="2550"/>
      <c r="M25" s="2550"/>
      <c r="N25" s="1909" t="s">
        <v>2013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3254</v>
      </c>
      <c r="D26" s="1261">
        <f>IF(E26=G26,F26,IF(G3&lt;10,ROUND(F26+(H26-F26)*(G3-E26)/(G26-E26),4),"——"))</f>
        <v>0.84530000000000005</v>
      </c>
      <c r="E26" s="706">
        <f>ROUNDDOWN(G3,1)</f>
        <v>7.8</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0.84660000000000002</v>
      </c>
      <c r="G26" s="706">
        <f>ROUNDUP(G3,1)</f>
        <v>7.8999999999999995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0.84470000000000001</v>
      </c>
      <c r="I26" s="1910" t="s">
        <v>3255</v>
      </c>
      <c r="J26" s="374" t="str">
        <f>IF(G3&gt;=10,D115,"——")</f>
        <v>——</v>
      </c>
      <c r="K26" s="1059"/>
      <c r="L26" s="2550"/>
      <c r="M26" s="2550"/>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89">
        <f>ROUND(IF(I3&lt;6,SUMPRODUCT((B106:B110=I3)*(C105:N105=G2)*(C106:N110)),SUMIF(C105:N105,G2,C112:N112)),4)</f>
        <v>1.5019</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4">
        <f>SUMIF(A47:A101,E2,B47:B101)</f>
        <v>1.0568</v>
      </c>
      <c r="D28" s="1892"/>
      <c r="E28" s="1917"/>
      <c r="F28" s="1917"/>
      <c r="G28" s="1917"/>
      <c r="H28" s="1917"/>
      <c r="I28" s="1917"/>
      <c r="J28" s="1918"/>
      <c r="K28" s="1059"/>
      <c r="L28" s="2550"/>
      <c r="M28" s="2550"/>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19"/>
      <c r="D29" s="1866"/>
      <c r="E29" s="1866"/>
      <c r="F29" s="1921"/>
      <c r="G29" s="1866"/>
      <c r="H29" s="1866"/>
      <c r="I29" s="1866"/>
      <c r="J29" s="1867"/>
      <c r="K29" s="1054"/>
      <c r="L29" s="1842"/>
      <c r="M29" s="1842"/>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f>IF(B25="容积率修正",E33+SUM(E37:E42),SUM(V2:V16)+SUM(E37:E42))</f>
        <v>237276861</v>
      </c>
      <c r="D30" s="1923"/>
      <c r="E30" s="1840"/>
      <c r="F30" s="1924"/>
      <c r="G30" s="1840"/>
      <c r="H30" s="1840"/>
      <c r="I30" s="1840"/>
      <c r="J30" s="1925"/>
      <c r="K30" s="1054"/>
      <c r="L30" s="3053" t="s">
        <v>1936</v>
      </c>
      <c r="M30" s="3054" t="s">
        <v>1990</v>
      </c>
      <c r="N30" s="3054" t="s">
        <v>1991</v>
      </c>
      <c r="O30" s="3054" t="s">
        <v>1992</v>
      </c>
      <c r="P30" s="3054" t="s">
        <v>1993</v>
      </c>
      <c r="Q30" s="3057" t="s">
        <v>3259</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0">
        <f>E34+SUM(I37:I42)</f>
        <v>12786518</v>
      </c>
      <c r="D31" s="1927"/>
      <c r="E31" s="1928"/>
      <c r="F31" s="1929"/>
      <c r="G31" s="1928"/>
      <c r="H31" s="1928"/>
      <c r="I31" s="1928"/>
      <c r="J31" s="1930"/>
      <c r="K31" s="1054"/>
      <c r="L31" s="3055" t="s">
        <v>1996</v>
      </c>
      <c r="M31" s="162">
        <v>0.25</v>
      </c>
      <c r="N31" s="162">
        <v>0.2</v>
      </c>
      <c r="O31" s="162">
        <v>0.15</v>
      </c>
      <c r="P31" s="162">
        <v>0.1</v>
      </c>
      <c r="Q31" s="3050">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f>ROUND(C5*C22*C23*C24*C25*C28,0)</f>
        <v>22545</v>
      </c>
      <c r="D33" s="1938">
        <f>租金计算!E61</f>
        <v>11124.329999999998</v>
      </c>
      <c r="E33" s="725">
        <f>ROUND(C33*D33/10000,0)</f>
        <v>25080</v>
      </c>
      <c r="F33" s="3048" t="s">
        <v>3257</v>
      </c>
      <c r="G33" s="1939"/>
      <c r="H33" s="1939"/>
      <c r="I33" s="1939"/>
      <c r="J33" s="1940"/>
      <c r="K33" s="1054"/>
      <c r="L33" s="3051" t="s">
        <v>3260</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t="e">
        <f>ROUND(IF(E2="工业",C33*M42,IF(B25="楼层修正",SUM(V2:V16)*M41*10000/D34,C33*M41)),0)</f>
        <v>#DIV/0!</v>
      </c>
      <c r="D34" s="1943"/>
      <c r="E34" s="725">
        <f>ROUND(IF(B25="楼层修正",SUM(V2:V16)*M40,C34*D34/10000),0)</f>
        <v>0</v>
      </c>
      <c r="F34" s="1944" t="s">
        <v>2032</v>
      </c>
      <c r="G34" s="1945"/>
      <c r="H34" s="1945"/>
      <c r="I34" s="1945"/>
      <c r="J34" s="1946"/>
      <c r="K34" s="1054"/>
      <c r="L34" s="3051" t="s">
        <v>3261</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9" t="s">
        <v>3258</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3262</v>
      </c>
      <c r="L36" s="3140">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67"/>
      <c r="B37" s="1953" t="s">
        <v>2036</v>
      </c>
      <c r="C37" s="167">
        <f>ROUND(D5*C22*C23*C24*C28*F37,0)</f>
        <v>9007</v>
      </c>
      <c r="D37" s="1938">
        <f>租金计算!B58</f>
        <v>5677.85</v>
      </c>
      <c r="E37" s="163">
        <f>ROUND(C37*D37,0)</f>
        <v>51140395</v>
      </c>
      <c r="F37" s="163">
        <f>SUMIF(修正!A59:A70,G2,修正!B59:B70)</f>
        <v>0.6</v>
      </c>
      <c r="G37" s="163">
        <f>ROUND(IF(E2="工业",C37*$M$42,C37*$M$41),0)</f>
        <v>2252</v>
      </c>
      <c r="H37" s="163">
        <f>D37</f>
        <v>5677.85</v>
      </c>
      <c r="I37" s="163">
        <f>ROUND(G37*H37,0)</f>
        <v>12786518</v>
      </c>
      <c r="J37" s="2752"/>
      <c r="K37" s="3059" t="s">
        <v>3263</v>
      </c>
      <c r="L37" s="1962">
        <f ca="1">L36+K38</f>
        <v>3.4999999999999996E-2</v>
      </c>
      <c r="M37" s="2363">
        <f ca="1">ROUND($L$37*(1+M31),3)</f>
        <v>4.3999999999999997E-2</v>
      </c>
      <c r="N37" s="2363">
        <f t="shared" ref="N37:Q37" ca="1" si="4">ROUND($L$37*(1+N31),3)</f>
        <v>4.2000000000000003E-2</v>
      </c>
      <c r="O37" s="2363">
        <f t="shared" ca="1" si="4"/>
        <v>0.04</v>
      </c>
      <c r="P37" s="2363">
        <f t="shared" ca="1" si="4"/>
        <v>3.9E-2</v>
      </c>
      <c r="Q37" s="2363">
        <f t="shared" ca="1" si="4"/>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68"/>
      <c r="B38" s="1882" t="s">
        <v>2037</v>
      </c>
      <c r="C38" s="167">
        <f>ROUND(D5*C22*C23*C24*C28*F38,0)</f>
        <v>4503</v>
      </c>
      <c r="D38" s="1938"/>
      <c r="E38" s="163">
        <f t="shared" ref="E38:E42" si="5">ROUND(C38*D38/10000,0)</f>
        <v>0</v>
      </c>
      <c r="F38" s="163">
        <f>SUMIF(修正!A59:A70,G2,修正!C59:C70)</f>
        <v>0.3</v>
      </c>
      <c r="G38" s="163">
        <f>ROUND(IF(E2="工业",C38*$M$42,C38*$M$41),0)</f>
        <v>1126</v>
      </c>
      <c r="H38" s="163">
        <f t="shared" ref="H38:H42" si="6">D38</f>
        <v>0</v>
      </c>
      <c r="I38" s="163">
        <f t="shared" ref="I38:I42" si="7">ROUND(G38*H38/10000,0)</f>
        <v>0</v>
      </c>
      <c r="J38" s="2751"/>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68"/>
      <c r="B39" s="1882" t="s">
        <v>3256</v>
      </c>
      <c r="C39" s="167">
        <f>ROUND(D5*C22*C23*C24*C28*F39,0)</f>
        <v>3753</v>
      </c>
      <c r="D39" s="1938"/>
      <c r="E39" s="163">
        <f t="shared" si="5"/>
        <v>0</v>
      </c>
      <c r="F39" s="163">
        <f>SUMIF(修正!A59:A70,G2,修正!D59:D70)</f>
        <v>0.25</v>
      </c>
      <c r="G39" s="163">
        <f>ROUND(IF(E2="工业",C39*$M$42,C39*$M$41),0)</f>
        <v>938</v>
      </c>
      <c r="H39" s="163">
        <f t="shared" si="6"/>
        <v>0</v>
      </c>
      <c r="I39" s="163">
        <f t="shared" si="7"/>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3753</v>
      </c>
      <c r="D40" s="1938"/>
      <c r="E40" s="163">
        <f t="shared" si="5"/>
        <v>0</v>
      </c>
      <c r="F40" s="167">
        <f>SUMIF(修正!A59:A70,G2,修正!E59:E70)</f>
        <v>0.25</v>
      </c>
      <c r="G40" s="163">
        <f>ROUND(IF(E2="工业",C40*$M$42,C40*$M$41),0)</f>
        <v>938</v>
      </c>
      <c r="H40" s="163">
        <f t="shared" si="6"/>
        <v>0</v>
      </c>
      <c r="I40" s="163">
        <f t="shared" si="7"/>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5"/>
        <v>0</v>
      </c>
      <c r="F41" s="167">
        <f>SUMIF(修正!A59:A70,G2,修正!F59:F70)</f>
        <v>0.25</v>
      </c>
      <c r="G41" s="163">
        <f>ROUND(IF(E2="工业",C41*$M$42,C41*$M$41),0)</f>
        <v>0</v>
      </c>
      <c r="H41" s="163">
        <f t="shared" si="6"/>
        <v>0</v>
      </c>
      <c r="I41" s="163">
        <f t="shared" si="7"/>
        <v>0</v>
      </c>
      <c r="J41" s="937"/>
      <c r="L41" s="3060" t="s">
        <v>3264</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f>ROUND(D5*C22*C23*C44*C28*F42,0)</f>
        <v>0</v>
      </c>
      <c r="D42" s="1943"/>
      <c r="E42" s="179">
        <f t="shared" si="5"/>
        <v>0</v>
      </c>
      <c r="F42" s="721">
        <f>SUMIF(修正!A59:A70,G2,修正!G59:G70)</f>
        <v>0.15</v>
      </c>
      <c r="G42" s="179">
        <f>ROUND(IF(E2="工业",C42*$M$42,C42*$M$41),0)</f>
        <v>0</v>
      </c>
      <c r="H42" s="179">
        <f t="shared" si="6"/>
        <v>0</v>
      </c>
      <c r="I42" s="179">
        <f t="shared" si="7"/>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2122</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1.0568</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699"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51">
      <c r="A50" s="1968" t="s">
        <v>2052</v>
      </c>
      <c r="B50" s="1971" t="str">
        <f>估价对象房地状况!C4</f>
        <v>估价对象位于北京城市副中心商务中心区，周边商业氛围较成熟，人流量较大，商业繁华度较好</v>
      </c>
      <c r="C50" s="1885" t="s">
        <v>3439</v>
      </c>
      <c r="D50" s="1000">
        <f t="shared" ref="D50:D58" si="8">SUMIF($J$49:$N$49,C50,J50:N50)</f>
        <v>1.47E-2</v>
      </c>
      <c r="E50" s="700">
        <f>ROUND(SUM(D50:D58),4)</f>
        <v>5.6800000000000003E-2</v>
      </c>
      <c r="F50" s="1673">
        <f>IF(E2="商业",SUMIF(L1:L12,G2,N1:N12),"——")</f>
        <v>9.8000000000000004E-2</v>
      </c>
      <c r="G50" s="998">
        <v>1.47E-2</v>
      </c>
      <c r="H50" s="1001">
        <f t="shared" ref="H50:H58" si="9">IFERROR(ROUNDDOWN($F$50*I50/2,4),"——")</f>
        <v>1.47E-2</v>
      </c>
      <c r="I50" s="3066">
        <v>0.3</v>
      </c>
      <c r="J50" s="999">
        <f t="shared" ref="J50:J58" si="10">K50+$G50</f>
        <v>2.9399999999999999E-2</v>
      </c>
      <c r="K50" s="999">
        <f t="shared" ref="K50:K58" si="11">$L50+$G50</f>
        <v>1.47E-2</v>
      </c>
      <c r="L50" s="999">
        <v>0</v>
      </c>
      <c r="M50" s="999">
        <f t="shared" ref="M50:N58" si="12">L50-$G50</f>
        <v>-1.47E-2</v>
      </c>
      <c r="N50" s="999">
        <f t="shared" si="12"/>
        <v>-2.9399999999999999E-2</v>
      </c>
      <c r="AA50" s="1055"/>
      <c r="AB50" s="1055"/>
      <c r="AC50" s="1055"/>
      <c r="AD50" s="1055"/>
      <c r="AE50" s="1055"/>
      <c r="AF50" s="1055"/>
      <c r="AG50" s="1055"/>
      <c r="AH50" s="1055"/>
      <c r="AI50" s="1055"/>
      <c r="AJ50" s="1055"/>
      <c r="AK50" s="1055"/>
    </row>
    <row r="51" spans="1:37" s="1054" customFormat="1" ht="51">
      <c r="A51" s="1968" t="s">
        <v>2053</v>
      </c>
      <c r="B51" s="1260" t="str">
        <f>估价对象房地状况!C18</f>
        <v>估价对象周边有316路、342路、582路、587路等多条公交线路及地铁6号线通州北关站，综合评价交通便捷度较好</v>
      </c>
      <c r="C51" s="1885" t="s">
        <v>3439</v>
      </c>
      <c r="D51" s="1000">
        <f t="shared" si="8"/>
        <v>1.0699999999999999E-2</v>
      </c>
      <c r="E51" s="701"/>
      <c r="F51" s="1673"/>
      <c r="G51" s="998">
        <v>1.0699999999999999E-2</v>
      </c>
      <c r="H51" s="1001">
        <f t="shared" si="9"/>
        <v>1.0699999999999999E-2</v>
      </c>
      <c r="I51" s="3066">
        <v>0.22</v>
      </c>
      <c r="J51" s="999">
        <f t="shared" si="10"/>
        <v>2.1399999999999999E-2</v>
      </c>
      <c r="K51" s="999">
        <f t="shared" si="11"/>
        <v>1.0699999999999999E-2</v>
      </c>
      <c r="L51" s="999">
        <v>0</v>
      </c>
      <c r="M51" s="999">
        <f t="shared" si="12"/>
        <v>-1.0699999999999999E-2</v>
      </c>
      <c r="N51" s="999">
        <f t="shared" si="12"/>
        <v>-2.1399999999999999E-2</v>
      </c>
      <c r="AA51" s="1055"/>
      <c r="AB51" s="1055"/>
      <c r="AC51" s="1055"/>
      <c r="AD51" s="1055"/>
      <c r="AE51" s="1055"/>
      <c r="AF51" s="1055"/>
      <c r="AG51" s="1055"/>
      <c r="AH51" s="1055"/>
      <c r="AI51" s="1055"/>
      <c r="AJ51" s="1055"/>
      <c r="AK51" s="1055"/>
    </row>
    <row r="52" spans="1:37" s="1054" customFormat="1" ht="36">
      <c r="A52" s="3068" t="s">
        <v>3266</v>
      </c>
      <c r="B52" s="1260">
        <f>估价对象房地状况!C19</f>
        <v>0</v>
      </c>
      <c r="C52" s="1885" t="s">
        <v>3440</v>
      </c>
      <c r="D52" s="1000">
        <f t="shared" si="8"/>
        <v>1.1599999999999999E-2</v>
      </c>
      <c r="E52" s="701"/>
      <c r="F52" s="1673"/>
      <c r="G52" s="998">
        <v>5.7999999999999996E-3</v>
      </c>
      <c r="H52" s="1001">
        <f t="shared" si="9"/>
        <v>5.7999999999999996E-3</v>
      </c>
      <c r="I52" s="3066">
        <v>0.12</v>
      </c>
      <c r="J52" s="999">
        <f t="shared" si="10"/>
        <v>1.1599999999999999E-2</v>
      </c>
      <c r="K52" s="999">
        <f t="shared" si="11"/>
        <v>5.7999999999999996E-3</v>
      </c>
      <c r="L52" s="999">
        <v>0</v>
      </c>
      <c r="M52" s="999">
        <f t="shared" si="12"/>
        <v>-5.7999999999999996E-3</v>
      </c>
      <c r="N52" s="999">
        <f t="shared" si="12"/>
        <v>-1.1599999999999999E-2</v>
      </c>
      <c r="AA52" s="1055"/>
      <c r="AB52" s="1055"/>
      <c r="AC52" s="1055"/>
      <c r="AD52" s="1055"/>
      <c r="AE52" s="1055"/>
      <c r="AF52" s="1055"/>
      <c r="AG52" s="1055"/>
      <c r="AH52" s="1055"/>
      <c r="AI52" s="1055"/>
      <c r="AJ52" s="1055"/>
      <c r="AK52" s="1055"/>
    </row>
    <row r="53" spans="1:37" s="1054" customFormat="1" ht="36.75">
      <c r="A53" s="1968" t="s">
        <v>2054</v>
      </c>
      <c r="B53" s="1972" t="s">
        <v>2055</v>
      </c>
      <c r="C53" s="1885" t="s">
        <v>3439</v>
      </c>
      <c r="D53" s="1000">
        <f t="shared" si="8"/>
        <v>2.3999999999999998E-3</v>
      </c>
      <c r="E53" s="701"/>
      <c r="F53" s="1673"/>
      <c r="G53" s="998">
        <v>2.3999999999999998E-3</v>
      </c>
      <c r="H53" s="1001">
        <f t="shared" si="9"/>
        <v>2.3999999999999998E-3</v>
      </c>
      <c r="I53" s="3066">
        <v>0.05</v>
      </c>
      <c r="J53" s="999">
        <f t="shared" si="10"/>
        <v>4.7999999999999996E-3</v>
      </c>
      <c r="K53" s="999">
        <f t="shared" si="11"/>
        <v>2.3999999999999998E-3</v>
      </c>
      <c r="L53" s="999">
        <v>0</v>
      </c>
      <c r="M53" s="999">
        <f t="shared" si="12"/>
        <v>-2.3999999999999998E-3</v>
      </c>
      <c r="N53" s="999">
        <f t="shared" si="12"/>
        <v>-4.7999999999999996E-3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3441</v>
      </c>
      <c r="D54" s="1000">
        <f t="shared" si="8"/>
        <v>0</v>
      </c>
      <c r="E54" s="701"/>
      <c r="F54" s="1673"/>
      <c r="G54" s="998">
        <v>3.8999999999999998E-3</v>
      </c>
      <c r="H54" s="1001">
        <f t="shared" si="9"/>
        <v>3.8999999999999998E-3</v>
      </c>
      <c r="I54" s="3066">
        <v>0.08</v>
      </c>
      <c r="J54" s="999">
        <f t="shared" si="10"/>
        <v>7.7999999999999996E-3</v>
      </c>
      <c r="K54" s="999">
        <f t="shared" si="11"/>
        <v>3.8999999999999998E-3</v>
      </c>
      <c r="L54" s="999">
        <v>0</v>
      </c>
      <c r="M54" s="999">
        <f t="shared" si="12"/>
        <v>-3.8999999999999998E-3</v>
      </c>
      <c r="N54" s="999">
        <f t="shared" si="12"/>
        <v>-7.7999999999999996E-3</v>
      </c>
      <c r="AA54" s="1055"/>
      <c r="AB54" s="1055"/>
      <c r="AC54" s="1055"/>
      <c r="AD54" s="1055"/>
      <c r="AE54" s="1055"/>
      <c r="AF54" s="1055"/>
      <c r="AG54" s="1055"/>
      <c r="AH54" s="1055"/>
      <c r="AI54" s="1055"/>
      <c r="AJ54" s="1055"/>
      <c r="AK54" s="1055"/>
    </row>
    <row r="55" spans="1:37" s="1054" customFormat="1" ht="24">
      <c r="A55" s="1968" t="s">
        <v>2057</v>
      </c>
      <c r="B55" s="1973" t="s">
        <v>2058</v>
      </c>
      <c r="C55" s="1885" t="s">
        <v>3439</v>
      </c>
      <c r="D55" s="1000">
        <f t="shared" si="8"/>
        <v>2.3999999999999998E-3</v>
      </c>
      <c r="E55" s="701"/>
      <c r="F55" s="1673"/>
      <c r="G55" s="998">
        <v>2.3999999999999998E-3</v>
      </c>
      <c r="H55" s="1001">
        <f t="shared" si="9"/>
        <v>2.3999999999999998E-3</v>
      </c>
      <c r="I55" s="3066">
        <v>0.05</v>
      </c>
      <c r="J55" s="999">
        <f t="shared" si="10"/>
        <v>4.7999999999999996E-3</v>
      </c>
      <c r="K55" s="999">
        <f t="shared" si="11"/>
        <v>2.3999999999999998E-3</v>
      </c>
      <c r="L55" s="999">
        <v>0</v>
      </c>
      <c r="M55" s="999">
        <f t="shared" si="12"/>
        <v>-2.3999999999999998E-3</v>
      </c>
      <c r="N55" s="999">
        <f t="shared" si="12"/>
        <v>-4.7999999999999996E-3</v>
      </c>
      <c r="AA55" s="1055"/>
      <c r="AB55" s="1055"/>
      <c r="AC55" s="1055"/>
      <c r="AD55" s="1055"/>
      <c r="AE55" s="1055"/>
      <c r="AF55" s="1055"/>
      <c r="AG55" s="1055"/>
      <c r="AH55" s="1055"/>
      <c r="AI55" s="1055"/>
      <c r="AJ55" s="1055"/>
      <c r="AK55" s="1055"/>
    </row>
    <row r="56" spans="1:37" s="1054" customFormat="1" ht="191.25">
      <c r="A56" s="1974" t="s">
        <v>2059</v>
      </c>
      <c r="B56"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56" s="1885" t="s">
        <v>3440</v>
      </c>
      <c r="D56" s="1000">
        <f t="shared" si="8"/>
        <v>4.7999999999999996E-3</v>
      </c>
      <c r="E56" s="701"/>
      <c r="F56" s="1673"/>
      <c r="G56" s="998">
        <v>2.3999999999999998E-3</v>
      </c>
      <c r="H56" s="1001">
        <f t="shared" si="9"/>
        <v>2.3999999999999998E-3</v>
      </c>
      <c r="I56" s="3066">
        <v>0.05</v>
      </c>
      <c r="J56" s="999">
        <f t="shared" si="10"/>
        <v>4.7999999999999996E-3</v>
      </c>
      <c r="K56" s="999">
        <f t="shared" si="11"/>
        <v>2.3999999999999998E-3</v>
      </c>
      <c r="L56" s="999">
        <v>0</v>
      </c>
      <c r="M56" s="999">
        <f t="shared" si="12"/>
        <v>-2.3999999999999998E-3</v>
      </c>
      <c r="N56" s="999">
        <f t="shared" si="12"/>
        <v>-4.7999999999999996E-3</v>
      </c>
      <c r="AA56" s="1055"/>
      <c r="AB56" s="1055"/>
      <c r="AC56" s="1055"/>
      <c r="AD56" s="1055"/>
      <c r="AE56" s="1055"/>
      <c r="AF56" s="1055"/>
      <c r="AG56" s="1055"/>
      <c r="AH56" s="1055"/>
      <c r="AI56" s="1055"/>
      <c r="AJ56" s="1055"/>
      <c r="AK56" s="1055"/>
    </row>
    <row r="57" spans="1:37" s="1054" customFormat="1" ht="25.5">
      <c r="A57" s="1974" t="s">
        <v>2060</v>
      </c>
      <c r="B57" s="1260" t="str">
        <f>估价对象房地状况!C22</f>
        <v>估价对象所在区域基础设施水平</v>
      </c>
      <c r="C57" s="1885" t="s">
        <v>3440</v>
      </c>
      <c r="D57" s="1000">
        <f t="shared" si="8"/>
        <v>7.7999999999999996E-3</v>
      </c>
      <c r="E57" s="701"/>
      <c r="F57" s="1673"/>
      <c r="G57" s="998">
        <v>3.8999999999999998E-3</v>
      </c>
      <c r="H57" s="1001">
        <f t="shared" si="9"/>
        <v>3.8999999999999998E-3</v>
      </c>
      <c r="I57" s="3066">
        <v>0.08</v>
      </c>
      <c r="J57" s="999">
        <f t="shared" si="10"/>
        <v>7.7999999999999996E-3</v>
      </c>
      <c r="K57" s="999">
        <f t="shared" si="11"/>
        <v>3.8999999999999998E-3</v>
      </c>
      <c r="L57" s="999">
        <v>0</v>
      </c>
      <c r="M57" s="999">
        <f t="shared" si="12"/>
        <v>-3.8999999999999998E-3</v>
      </c>
      <c r="N57" s="999">
        <f t="shared" si="12"/>
        <v>-7.7999999999999996E-3</v>
      </c>
      <c r="AA57" s="1055"/>
      <c r="AB57" s="1055"/>
      <c r="AC57" s="1055"/>
      <c r="AD57" s="1055"/>
      <c r="AE57" s="1055"/>
      <c r="AF57" s="1055"/>
      <c r="AG57" s="1055"/>
      <c r="AH57" s="1055"/>
      <c r="AI57" s="1055"/>
      <c r="AJ57" s="1055"/>
      <c r="AK57" s="1055"/>
    </row>
    <row r="58" spans="1:37" s="1054" customFormat="1" ht="51.75" thickBot="1">
      <c r="A58" s="1975" t="s">
        <v>2061</v>
      </c>
      <c r="B58" s="1976" t="str">
        <f>估价对象房地状况!C20</f>
        <v>估价对象周边有北关清真寺、三教庙等人文景观，西海子公园、北运河水系等自然景观，综合评价环境状况较好。</v>
      </c>
      <c r="C58" s="1885" t="s">
        <v>3439</v>
      </c>
      <c r="D58" s="1000">
        <f t="shared" si="8"/>
        <v>2.3999999999999998E-3</v>
      </c>
      <c r="E58" s="702"/>
      <c r="F58" s="1673"/>
      <c r="G58" s="998">
        <v>2.3999999999999998E-3</v>
      </c>
      <c r="H58" s="1001">
        <f t="shared" si="9"/>
        <v>2.3999999999999998E-3</v>
      </c>
      <c r="I58" s="3067">
        <v>0.05</v>
      </c>
      <c r="J58" s="999">
        <f t="shared" si="10"/>
        <v>4.7999999999999996E-3</v>
      </c>
      <c r="K58" s="999">
        <f t="shared" si="11"/>
        <v>2.3999999999999998E-3</v>
      </c>
      <c r="L58" s="999">
        <v>0</v>
      </c>
      <c r="M58" s="999">
        <f t="shared" si="12"/>
        <v>-2.3999999999999998E-3</v>
      </c>
      <c r="N58" s="999">
        <f t="shared" si="12"/>
        <v>-4.7999999999999996E-3</v>
      </c>
      <c r="AA58" s="1055"/>
      <c r="AB58" s="1055"/>
      <c r="AC58" s="1055"/>
      <c r="AD58" s="1055"/>
      <c r="AE58" s="1055"/>
      <c r="AF58" s="1055"/>
      <c r="AG58" s="1055"/>
      <c r="AH58" s="1055"/>
      <c r="AI58" s="1055"/>
      <c r="AJ58" s="1055"/>
      <c r="AK58" s="1055"/>
    </row>
    <row r="59" spans="1:37" s="1054" customFormat="1" ht="15">
      <c r="A59" s="1965" t="s">
        <v>2062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699"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51">
      <c r="A61" s="1968" t="s">
        <v>2064</v>
      </c>
      <c r="B61" s="1971" t="str">
        <f>估价对象房地状况!C17</f>
        <v>估价对象位于北京城市副中心商务中心区，周边办公楼项目较多，入驻率较高，办公集聚程度较好</v>
      </c>
      <c r="C61" s="1885"/>
      <c r="D61" s="1000">
        <f t="shared" ref="D61:D69" si="13">SUMIF($J$60:$N$60,C61,J61:N61)</f>
        <v>0</v>
      </c>
      <c r="E61" s="700">
        <f>ROUND(SUM(D61:D69),4)</f>
        <v>0</v>
      </c>
      <c r="F61" s="1673" t="str">
        <f>IF(E2="办公",SUMIF(L1:L12,G2,N1:N12),"——")</f>
        <v>——</v>
      </c>
      <c r="G61" s="998"/>
      <c r="H61" s="1001" t="str">
        <f t="shared" ref="H61:H69" si="14">IFERROR(ROUNDDOWN($F$61*I61/2,4),"——")</f>
        <v>——</v>
      </c>
      <c r="I61" s="3066">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51">
      <c r="A62" s="1968" t="s">
        <v>2053</v>
      </c>
      <c r="B62" s="1260" t="str">
        <f>估价对象房地状况!C18</f>
        <v>估价对象周边有316路、342路、582路、587路等多条公交线路及地铁6号线通州北关站，综合评价交通便捷度较好</v>
      </c>
      <c r="C62" s="1885"/>
      <c r="D62" s="1000">
        <f t="shared" si="13"/>
        <v>0</v>
      </c>
      <c r="E62" s="701"/>
      <c r="F62" s="1673"/>
      <c r="G62" s="998"/>
      <c r="H62" s="1001" t="str">
        <f t="shared" si="14"/>
        <v>——</v>
      </c>
      <c r="I62" s="3066">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68" t="s">
        <v>3266</v>
      </c>
      <c r="B63" s="1260">
        <f>估价对象房地状况!C19</f>
        <v>0</v>
      </c>
      <c r="C63" s="1885"/>
      <c r="D63" s="1000">
        <f t="shared" si="13"/>
        <v>0</v>
      </c>
      <c r="E63" s="701"/>
      <c r="F63" s="1673"/>
      <c r="G63" s="998"/>
      <c r="H63" s="1001" t="str">
        <f t="shared" si="14"/>
        <v>——</v>
      </c>
      <c r="I63" s="3066">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8" t="s">
        <v>2054</v>
      </c>
      <c r="B64" s="1972" t="s">
        <v>2055</v>
      </c>
      <c r="C64" s="1885"/>
      <c r="D64" s="1000">
        <f t="shared" si="13"/>
        <v>0</v>
      </c>
      <c r="E64" s="701"/>
      <c r="F64" s="1673"/>
      <c r="G64" s="998"/>
      <c r="H64" s="1001" t="str">
        <f t="shared" si="14"/>
        <v>——</v>
      </c>
      <c r="I64" s="3066">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3"/>
        <v>0</v>
      </c>
      <c r="E65" s="701"/>
      <c r="F65" s="1673"/>
      <c r="G65" s="998"/>
      <c r="H65" s="1001" t="str">
        <f t="shared" si="14"/>
        <v>——</v>
      </c>
      <c r="I65" s="3066">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8" t="s">
        <v>2057</v>
      </c>
      <c r="B66" s="1973" t="s">
        <v>2058</v>
      </c>
      <c r="C66" s="1885"/>
      <c r="D66" s="1000">
        <f t="shared" si="13"/>
        <v>0</v>
      </c>
      <c r="E66" s="701"/>
      <c r="F66" s="1673"/>
      <c r="G66" s="998"/>
      <c r="H66" s="1001" t="str">
        <f t="shared" si="14"/>
        <v>——</v>
      </c>
      <c r="I66" s="3066">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191.25">
      <c r="A67" s="1968" t="s">
        <v>2059</v>
      </c>
      <c r="B67"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67" s="1885"/>
      <c r="D67" s="1000">
        <f t="shared" si="13"/>
        <v>0</v>
      </c>
      <c r="E67" s="701"/>
      <c r="F67" s="1673"/>
      <c r="G67" s="998"/>
      <c r="H67" s="1001" t="str">
        <f t="shared" si="14"/>
        <v>——</v>
      </c>
      <c r="I67" s="3066">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5.5">
      <c r="A68" s="1968" t="s">
        <v>2060</v>
      </c>
      <c r="B68" s="1238" t="str">
        <f>估价对象房地状况!C22</f>
        <v>估价对象所在区域基础设施水平</v>
      </c>
      <c r="C68" s="1885"/>
      <c r="D68" s="1000">
        <f t="shared" si="13"/>
        <v>0</v>
      </c>
      <c r="E68" s="701"/>
      <c r="F68" s="1673"/>
      <c r="G68" s="998"/>
      <c r="H68" s="1001" t="str">
        <f t="shared" si="14"/>
        <v>——</v>
      </c>
      <c r="I68" s="3066">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51.75" thickBot="1">
      <c r="A69" s="1975" t="s">
        <v>2061</v>
      </c>
      <c r="B69" s="1977" t="str">
        <f>估价对象房地状况!C20</f>
        <v>估价对象周边有北关清真寺、三教庙等人文景观，西海子公园、北运河水系等自然景观，综合评价环境状况较好。</v>
      </c>
      <c r="C69" s="1885"/>
      <c r="D69" s="1000">
        <f t="shared" si="13"/>
        <v>0</v>
      </c>
      <c r="E69" s="702"/>
      <c r="F69" s="1673"/>
      <c r="G69" s="998"/>
      <c r="H69" s="1001" t="str">
        <f t="shared" si="14"/>
        <v>——</v>
      </c>
      <c r="I69" s="3067">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699"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1">
      <c r="A72" s="1968" t="s">
        <v>2066</v>
      </c>
      <c r="B72" s="1971" t="str">
        <f>估价对象房地状况!C15</f>
        <v>估价对象周边居住用地比例、居住小区规模和社区发展完善程度，综合评价居住社区成熟度一般</v>
      </c>
      <c r="C72" s="1885"/>
      <c r="D72" s="1000">
        <f t="shared" ref="D72:D80" si="18">SUMIF($J$71:$N$71,C72,J72:N72)</f>
        <v>0</v>
      </c>
      <c r="E72" s="700">
        <f>ROUND(SUM(D72:D80),4)</f>
        <v>0</v>
      </c>
      <c r="F72" s="1673" t="str">
        <f>IF(E2="住宅",SUMIF(L1:L12,G2,N1:N12),"——")</f>
        <v>——</v>
      </c>
      <c r="G72" s="998"/>
      <c r="H72" s="1001" t="str">
        <f t="shared" ref="H72:H80" si="19">IFERROR(ROUNDDOWN($F$72*I72/2,4),"——")</f>
        <v>——</v>
      </c>
      <c r="I72" s="3066">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51">
      <c r="A73" s="1968" t="s">
        <v>2053</v>
      </c>
      <c r="B73" s="1260" t="str">
        <f>估价对象房地状况!C18</f>
        <v>估价对象周边有316路、342路、582路、587路等多条公交线路及地铁6号线通州北关站，综合评价交通便捷度较好</v>
      </c>
      <c r="C73" s="1885"/>
      <c r="D73" s="1000">
        <f t="shared" si="18"/>
        <v>0</v>
      </c>
      <c r="E73" s="703"/>
      <c r="F73" s="1673"/>
      <c r="G73" s="998"/>
      <c r="H73" s="1001" t="str">
        <f t="shared" si="19"/>
        <v>——</v>
      </c>
      <c r="I73" s="3066">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8" t="s">
        <v>3266</v>
      </c>
      <c r="B74" s="1260">
        <f>估价对象房地状况!C19</f>
        <v>0</v>
      </c>
      <c r="C74" s="1885"/>
      <c r="D74" s="1000">
        <f t="shared" si="18"/>
        <v>0</v>
      </c>
      <c r="E74" s="703"/>
      <c r="F74" s="1673"/>
      <c r="G74" s="998"/>
      <c r="H74" s="1001" t="str">
        <f t="shared" si="19"/>
        <v>——</v>
      </c>
      <c r="I74" s="3066">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8"/>
        <v>0</v>
      </c>
      <c r="E75" s="703"/>
      <c r="F75" s="1673"/>
      <c r="G75" s="998"/>
      <c r="H75" s="1001" t="str">
        <f t="shared" si="19"/>
        <v>——</v>
      </c>
      <c r="I75" s="3066">
        <v>0.05</v>
      </c>
      <c r="J75" s="999">
        <f t="shared" si="20"/>
        <v>0</v>
      </c>
      <c r="K75" s="999">
        <f t="shared" si="21"/>
        <v>0</v>
      </c>
      <c r="L75" s="999">
        <v>0</v>
      </c>
      <c r="M75" s="999">
        <f t="shared" si="22"/>
        <v>0</v>
      </c>
      <c r="N75" s="999">
        <f t="shared" si="22"/>
        <v>0</v>
      </c>
      <c r="O75" s="1054"/>
      <c r="P75" s="1054"/>
      <c r="Q75" s="1842"/>
      <c r="Z75" s="1843"/>
      <c r="AA75" s="1893"/>
      <c r="AG75" s="1056"/>
      <c r="AK75" s="1893"/>
    </row>
    <row r="76" spans="1:37" ht="191.25">
      <c r="A76" s="1968" t="s">
        <v>2059</v>
      </c>
      <c r="B76"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76" s="1885"/>
      <c r="D76" s="1000">
        <f t="shared" si="18"/>
        <v>0</v>
      </c>
      <c r="E76" s="703"/>
      <c r="F76" s="1673"/>
      <c r="G76" s="998"/>
      <c r="H76" s="1001" t="str">
        <f t="shared" si="19"/>
        <v>——</v>
      </c>
      <c r="I76" s="3066">
        <v>0.08</v>
      </c>
      <c r="J76" s="999">
        <f t="shared" si="20"/>
        <v>0</v>
      </c>
      <c r="K76" s="999">
        <f t="shared" si="21"/>
        <v>0</v>
      </c>
      <c r="L76" s="999">
        <v>0</v>
      </c>
      <c r="M76" s="999">
        <f t="shared" si="22"/>
        <v>0</v>
      </c>
      <c r="N76" s="999">
        <f t="shared" si="22"/>
        <v>0</v>
      </c>
      <c r="O76" s="1054"/>
      <c r="P76" s="1054"/>
      <c r="Z76" s="1843"/>
      <c r="AA76" s="1893"/>
      <c r="AG76" s="1056"/>
      <c r="AK76" s="1893"/>
    </row>
    <row r="77" spans="1:37" ht="25.5">
      <c r="A77" s="1968" t="s">
        <v>2060</v>
      </c>
      <c r="B77" s="1238" t="str">
        <f>估价对象房地状况!C22</f>
        <v>估价对象所在区域基础设施水平</v>
      </c>
      <c r="C77" s="1885"/>
      <c r="D77" s="1000">
        <f t="shared" si="18"/>
        <v>0</v>
      </c>
      <c r="E77" s="703"/>
      <c r="F77" s="1673"/>
      <c r="G77" s="998"/>
      <c r="H77" s="1001" t="str">
        <f t="shared" si="19"/>
        <v>——</v>
      </c>
      <c r="I77" s="3066">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2057</v>
      </c>
      <c r="B78" s="1973" t="s">
        <v>2058</v>
      </c>
      <c r="C78" s="1885"/>
      <c r="D78" s="1000">
        <f t="shared" si="18"/>
        <v>0</v>
      </c>
      <c r="E78" s="703"/>
      <c r="F78" s="1673"/>
      <c r="G78" s="998"/>
      <c r="H78" s="1001" t="str">
        <f t="shared" si="19"/>
        <v>——</v>
      </c>
      <c r="I78" s="3066">
        <v>0.05</v>
      </c>
      <c r="J78" s="999">
        <f t="shared" si="20"/>
        <v>0</v>
      </c>
      <c r="K78" s="999">
        <f t="shared" si="21"/>
        <v>0</v>
      </c>
      <c r="L78" s="999">
        <v>0</v>
      </c>
      <c r="M78" s="999">
        <f t="shared" si="22"/>
        <v>0</v>
      </c>
      <c r="N78" s="999">
        <f t="shared" si="22"/>
        <v>0</v>
      </c>
      <c r="O78" s="1842"/>
      <c r="P78" s="1842"/>
      <c r="Z78" s="1843"/>
      <c r="AA78" s="1893"/>
      <c r="AG78" s="1056"/>
      <c r="AK78" s="1893"/>
    </row>
    <row r="79" spans="1:37" ht="51">
      <c r="A79" s="1968" t="s">
        <v>2061</v>
      </c>
      <c r="B79" s="1971" t="str">
        <f>估价对象房地状况!C20</f>
        <v>估价对象周边有北关清真寺、三教庙等人文景观，西海子公园、北运河水系等自然景观，综合评价环境状况较好。</v>
      </c>
      <c r="C79" s="1885"/>
      <c r="D79" s="1000">
        <f t="shared" si="18"/>
        <v>0</v>
      </c>
      <c r="E79" s="703"/>
      <c r="F79" s="1673"/>
      <c r="G79" s="998"/>
      <c r="H79" s="1001" t="str">
        <f t="shared" si="19"/>
        <v>——</v>
      </c>
      <c r="I79" s="3066">
        <v>0.12</v>
      </c>
      <c r="J79" s="999">
        <f t="shared" si="20"/>
        <v>0</v>
      </c>
      <c r="K79" s="999">
        <f t="shared" si="21"/>
        <v>0</v>
      </c>
      <c r="L79" s="999">
        <v>0</v>
      </c>
      <c r="M79" s="999">
        <f t="shared" si="22"/>
        <v>0</v>
      </c>
      <c r="N79" s="999">
        <f t="shared" si="22"/>
        <v>0</v>
      </c>
      <c r="Z79" s="1843"/>
      <c r="AA79" s="1893"/>
      <c r="AG79" s="1056"/>
      <c r="AK79" s="1893"/>
    </row>
    <row r="80" spans="1:37" ht="24.75" thickBot="1">
      <c r="A80" s="1975" t="s">
        <v>2068</v>
      </c>
      <c r="B80" s="1979"/>
      <c r="C80" s="1885"/>
      <c r="D80" s="1000">
        <f t="shared" si="18"/>
        <v>0</v>
      </c>
      <c r="E80" s="704"/>
      <c r="F80" s="1673"/>
      <c r="G80" s="998"/>
      <c r="H80" s="1001" t="str">
        <f t="shared" si="19"/>
        <v>——</v>
      </c>
      <c r="I80" s="3067">
        <v>0.05</v>
      </c>
      <c r="J80" s="999">
        <f t="shared" si="20"/>
        <v>0</v>
      </c>
      <c r="K80" s="999">
        <f t="shared" si="21"/>
        <v>0</v>
      </c>
      <c r="L80" s="999">
        <v>0</v>
      </c>
      <c r="M80" s="999">
        <f t="shared" si="22"/>
        <v>0</v>
      </c>
      <c r="N80" s="999">
        <f t="shared" si="22"/>
        <v>0</v>
      </c>
      <c r="Z80" s="1843"/>
      <c r="AA80" s="1893"/>
      <c r="AG80" s="1056"/>
      <c r="AK80" s="1893"/>
    </row>
    <row r="81" spans="1:37" ht="15">
      <c r="A81" s="1965" t="s">
        <v>2069</v>
      </c>
      <c r="B81" s="1966">
        <f>1+E83</f>
        <v>1</v>
      </c>
      <c r="C81" s="697"/>
      <c r="D81" s="697"/>
      <c r="E81" s="698"/>
      <c r="F81" s="1967"/>
      <c r="G81" s="3"/>
      <c r="H81" s="3"/>
      <c r="I81" s="3"/>
      <c r="J81" s="4"/>
      <c r="K81" s="4"/>
      <c r="L81" s="4"/>
      <c r="M81" s="4"/>
      <c r="N81" s="4"/>
      <c r="Z81" s="1843"/>
      <c r="AA81" s="1893"/>
      <c r="AG81" s="1056"/>
      <c r="AK81" s="1893"/>
    </row>
    <row r="82" spans="1:37" ht="24.75">
      <c r="A82" s="1968" t="s">
        <v>2044</v>
      </c>
      <c r="B82" s="1260"/>
      <c r="C82" s="1260" t="s">
        <v>2046</v>
      </c>
      <c r="D82" s="1260" t="s">
        <v>2047</v>
      </c>
      <c r="E82" s="699"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8.25">
      <c r="A83" s="1968" t="s">
        <v>2070</v>
      </c>
      <c r="B83" s="1260" t="str">
        <f>估价对象房地状况!G15</f>
        <v>估价对象位于XX开发区，园区建设成熟度XX，产业集聚程度XX</v>
      </c>
      <c r="C83" s="1885"/>
      <c r="D83" s="1000">
        <f t="shared" ref="D83:D90" si="23">SUMIF($J$82:$N$82,C83,J83:N83)</f>
        <v>0</v>
      </c>
      <c r="E83" s="700">
        <f>ROUND(SUM(D83:D90),4)</f>
        <v>0</v>
      </c>
      <c r="F83" s="1673" t="str">
        <f>IF(E2="工业",SUMIF(L1:L12,G2,N1:N12),"——")</f>
        <v>——</v>
      </c>
      <c r="G83" s="998"/>
      <c r="H83" s="1001" t="str">
        <f t="shared" ref="H83:H90" si="24">IFERROR(ROUNDDOWN($F$83*I83/2,4),"——")</f>
        <v>——</v>
      </c>
      <c r="I83" s="3066">
        <v>0.26</v>
      </c>
      <c r="J83" s="999">
        <f t="shared" ref="J83:J90" si="25">K83+$G83</f>
        <v>0</v>
      </c>
      <c r="K83" s="999">
        <f t="shared" ref="K83:K90" si="26">$L83+$G83</f>
        <v>0</v>
      </c>
      <c r="L83" s="999">
        <v>0</v>
      </c>
      <c r="M83" s="999">
        <f t="shared" ref="M83:N90" si="27">L83-$G83</f>
        <v>0</v>
      </c>
      <c r="N83" s="999">
        <f t="shared" si="27"/>
        <v>0</v>
      </c>
      <c r="Z83" s="1843"/>
      <c r="AA83" s="1893"/>
      <c r="AG83" s="1056"/>
      <c r="AK83" s="1893"/>
    </row>
    <row r="84" spans="1:37" ht="38.25">
      <c r="A84" s="1968" t="s">
        <v>2053</v>
      </c>
      <c r="B84" s="1260" t="str">
        <f>估价对象房地状况!G16</f>
        <v>估价对象周边道路状况、公共交通通达情况、停车便捷程度，综合评价交通便捷度较好</v>
      </c>
      <c r="C84" s="1885"/>
      <c r="D84" s="1000">
        <f t="shared" si="23"/>
        <v>0</v>
      </c>
      <c r="E84" s="703"/>
      <c r="F84" s="1673"/>
      <c r="G84" s="998"/>
      <c r="H84" s="1001" t="str">
        <f t="shared" si="24"/>
        <v>——</v>
      </c>
      <c r="I84" s="3066">
        <v>0.3</v>
      </c>
      <c r="J84" s="999">
        <f t="shared" si="25"/>
        <v>0</v>
      </c>
      <c r="K84" s="999">
        <f t="shared" si="26"/>
        <v>0</v>
      </c>
      <c r="L84" s="999">
        <v>0</v>
      </c>
      <c r="M84" s="999">
        <f t="shared" si="27"/>
        <v>0</v>
      </c>
      <c r="N84" s="999">
        <f t="shared" si="27"/>
        <v>0</v>
      </c>
      <c r="Z84" s="1843"/>
      <c r="AA84" s="1893"/>
      <c r="AG84" s="1056"/>
      <c r="AK84" s="1893"/>
    </row>
    <row r="85" spans="1:37" ht="36">
      <c r="A85" s="3068" t="s">
        <v>3267</v>
      </c>
      <c r="B85" s="1260">
        <f>估价对象房地状况!G17</f>
        <v>0</v>
      </c>
      <c r="C85" s="1885"/>
      <c r="D85" s="1000">
        <f t="shared" si="23"/>
        <v>0</v>
      </c>
      <c r="E85" s="703"/>
      <c r="F85" s="1673"/>
      <c r="G85" s="998"/>
      <c r="H85" s="1001" t="str">
        <f t="shared" si="24"/>
        <v>——</v>
      </c>
      <c r="I85" s="3066">
        <v>0.1</v>
      </c>
      <c r="J85" s="999">
        <f t="shared" si="25"/>
        <v>0</v>
      </c>
      <c r="K85" s="999">
        <f t="shared" si="26"/>
        <v>0</v>
      </c>
      <c r="L85" s="999">
        <v>0</v>
      </c>
      <c r="M85" s="999">
        <f t="shared" si="27"/>
        <v>0</v>
      </c>
      <c r="N85" s="999">
        <f t="shared" si="27"/>
        <v>0</v>
      </c>
      <c r="Z85" s="1843"/>
      <c r="AA85" s="1893"/>
      <c r="AG85" s="1056"/>
      <c r="AK85" s="1893"/>
    </row>
    <row r="86" spans="1:37" ht="14.25">
      <c r="A86" s="1968" t="s">
        <v>2067</v>
      </c>
      <c r="B86" s="1260">
        <f>估价对象房地状况!G22</f>
        <v>0</v>
      </c>
      <c r="C86" s="1885"/>
      <c r="D86" s="1000">
        <f t="shared" si="23"/>
        <v>0</v>
      </c>
      <c r="E86" s="703"/>
      <c r="F86" s="1673"/>
      <c r="G86" s="998"/>
      <c r="H86" s="1001" t="str">
        <f t="shared" si="24"/>
        <v>——</v>
      </c>
      <c r="I86" s="3066">
        <v>0.05</v>
      </c>
      <c r="J86" s="999">
        <f t="shared" si="25"/>
        <v>0</v>
      </c>
      <c r="K86" s="999">
        <f t="shared" si="26"/>
        <v>0</v>
      </c>
      <c r="L86" s="999">
        <v>0</v>
      </c>
      <c r="M86" s="999">
        <f t="shared" si="27"/>
        <v>0</v>
      </c>
      <c r="N86" s="999">
        <f t="shared" si="27"/>
        <v>0</v>
      </c>
      <c r="Z86" s="1843"/>
      <c r="AA86" s="1893"/>
      <c r="AG86" s="1056"/>
      <c r="AK86" s="1893"/>
    </row>
    <row r="87" spans="1:37" ht="25.5">
      <c r="A87" s="1968" t="s">
        <v>2059</v>
      </c>
      <c r="B87" s="1238" t="str">
        <f>估价对象房地状况!G19</f>
        <v>估价对象所在区域公共配套设施齐备情况</v>
      </c>
      <c r="C87" s="1885"/>
      <c r="D87" s="1000">
        <f t="shared" si="23"/>
        <v>0</v>
      </c>
      <c r="E87" s="703"/>
      <c r="F87" s="1673"/>
      <c r="G87" s="998"/>
      <c r="H87" s="1001" t="str">
        <f t="shared" si="24"/>
        <v>——</v>
      </c>
      <c r="I87" s="3066">
        <v>0.06</v>
      </c>
      <c r="J87" s="999">
        <f t="shared" si="25"/>
        <v>0</v>
      </c>
      <c r="K87" s="999">
        <f t="shared" si="26"/>
        <v>0</v>
      </c>
      <c r="L87" s="999">
        <v>0</v>
      </c>
      <c r="M87" s="999">
        <f t="shared" si="27"/>
        <v>0</v>
      </c>
      <c r="N87" s="999">
        <f t="shared" si="27"/>
        <v>0</v>
      </c>
    </row>
    <row r="88" spans="1:37" ht="25.5">
      <c r="A88" s="1968" t="s">
        <v>2060</v>
      </c>
      <c r="B88" s="1238" t="str">
        <f>估价对象房地状况!G20</f>
        <v>估价对象所在区域基础设施水平</v>
      </c>
      <c r="C88" s="1885"/>
      <c r="D88" s="1000">
        <f t="shared" si="23"/>
        <v>0</v>
      </c>
      <c r="E88" s="703"/>
      <c r="F88" s="1673"/>
      <c r="G88" s="998"/>
      <c r="H88" s="1001" t="str">
        <f t="shared" si="24"/>
        <v>——</v>
      </c>
      <c r="I88" s="3066">
        <v>0.12</v>
      </c>
      <c r="J88" s="999">
        <f t="shared" si="25"/>
        <v>0</v>
      </c>
      <c r="K88" s="999">
        <f t="shared" si="26"/>
        <v>0</v>
      </c>
      <c r="L88" s="999">
        <v>0</v>
      </c>
      <c r="M88" s="999">
        <f t="shared" si="27"/>
        <v>0</v>
      </c>
      <c r="N88" s="999">
        <f t="shared" si="27"/>
        <v>0</v>
      </c>
    </row>
    <row r="89" spans="1:37" ht="24">
      <c r="A89" s="1968" t="s">
        <v>2057</v>
      </c>
      <c r="B89" s="1973" t="s">
        <v>2071</v>
      </c>
      <c r="C89" s="1885"/>
      <c r="D89" s="1000">
        <f t="shared" si="23"/>
        <v>0</v>
      </c>
      <c r="E89" s="703"/>
      <c r="F89" s="1673"/>
      <c r="G89" s="998"/>
      <c r="H89" s="1001" t="str">
        <f t="shared" si="24"/>
        <v>——</v>
      </c>
      <c r="I89" s="3066">
        <v>0.06</v>
      </c>
      <c r="J89" s="999">
        <f t="shared" si="25"/>
        <v>0</v>
      </c>
      <c r="K89" s="999">
        <f t="shared" si="26"/>
        <v>0</v>
      </c>
      <c r="L89" s="999">
        <v>0</v>
      </c>
      <c r="M89" s="999">
        <f t="shared" si="27"/>
        <v>0</v>
      </c>
      <c r="N89" s="999">
        <f t="shared" si="27"/>
        <v>0</v>
      </c>
    </row>
    <row r="90" spans="1:37" ht="39" thickBot="1">
      <c r="A90" s="1975" t="s">
        <v>2072</v>
      </c>
      <c r="B90" s="1980" t="str">
        <f>估价对象房地状况!G18</f>
        <v>该园区内是否有污染型企业，绿化情况，卫生条件，整体环境状况判断</v>
      </c>
      <c r="C90" s="1885"/>
      <c r="D90" s="1000">
        <f t="shared" si="23"/>
        <v>0</v>
      </c>
      <c r="E90" s="704"/>
      <c r="F90" s="1673"/>
      <c r="G90" s="998"/>
      <c r="H90" s="1001" t="str">
        <f t="shared" si="24"/>
        <v>——</v>
      </c>
      <c r="I90" s="3067">
        <v>0.05</v>
      </c>
      <c r="J90" s="999">
        <f t="shared" si="25"/>
        <v>0</v>
      </c>
      <c r="K90" s="999">
        <f t="shared" si="26"/>
        <v>0</v>
      </c>
      <c r="L90" s="999">
        <v>0</v>
      </c>
      <c r="M90" s="999">
        <f t="shared" si="27"/>
        <v>0</v>
      </c>
      <c r="N90" s="999">
        <f t="shared" si="27"/>
        <v>0</v>
      </c>
    </row>
    <row r="91" spans="1:37" ht="15">
      <c r="A91" s="3076" t="s">
        <v>2609</v>
      </c>
      <c r="B91" s="3077">
        <f>1+E93</f>
        <v>1</v>
      </c>
      <c r="C91" s="3070"/>
      <c r="D91" s="3071"/>
      <c r="E91" s="1673"/>
      <c r="F91" s="1673"/>
      <c r="G91" s="3072"/>
      <c r="H91" s="3073"/>
      <c r="I91" s="3074"/>
      <c r="J91" s="3075"/>
      <c r="K91" s="3075"/>
      <c r="L91" s="3075"/>
      <c r="M91" s="3075"/>
      <c r="N91" s="3075"/>
    </row>
    <row r="92" spans="1:37" ht="24.75">
      <c r="A92" s="3078" t="s">
        <v>3268</v>
      </c>
      <c r="B92" s="2307"/>
      <c r="C92" s="2307" t="s">
        <v>3277</v>
      </c>
      <c r="D92" s="2307" t="s">
        <v>3278</v>
      </c>
      <c r="E92" s="3050" t="s">
        <v>3279</v>
      </c>
      <c r="F92" s="3080" t="s">
        <v>3280</v>
      </c>
      <c r="G92" s="2307" t="s">
        <v>3281</v>
      </c>
      <c r="H92" s="3087" t="s">
        <v>3284</v>
      </c>
      <c r="I92" s="2307" t="s">
        <v>3285</v>
      </c>
      <c r="J92" s="2148" t="s">
        <v>3286</v>
      </c>
      <c r="K92" s="2148" t="s">
        <v>3287</v>
      </c>
      <c r="L92" s="2148" t="s">
        <v>3288</v>
      </c>
      <c r="M92" s="2148" t="s">
        <v>3289</v>
      </c>
      <c r="N92" s="2148" t="s">
        <v>3290</v>
      </c>
    </row>
    <row r="93" spans="1:37" ht="24">
      <c r="A93" s="3068" t="s">
        <v>3269</v>
      </c>
      <c r="B93" s="1219"/>
      <c r="C93" s="1885"/>
      <c r="D93" s="2307">
        <f>SUMIF($J$92:$N$92,C93,J93:N93)</f>
        <v>0</v>
      </c>
      <c r="E93" s="3081">
        <f>ROUND(SUM(D93:D101),4)</f>
        <v>0</v>
      </c>
      <c r="F93" s="1673" t="str">
        <f>IF(E2="公共服务",SUMIF(L1:L12,G2,N1:N12),"——")</f>
        <v>——</v>
      </c>
      <c r="G93" s="3072"/>
      <c r="H93" s="3117" t="str">
        <f>IFERROR(ROUNDDOWN($F$93*I93/2,4),"——")</f>
        <v>——</v>
      </c>
      <c r="I93" s="3066">
        <v>0.25</v>
      </c>
      <c r="J93" s="1910">
        <f t="shared" ref="J93:J101" si="28">K93+$G93</f>
        <v>0</v>
      </c>
      <c r="K93" s="1910">
        <f t="shared" ref="K93:K101" si="29">$L93+$G93</f>
        <v>0</v>
      </c>
      <c r="L93" s="1910">
        <v>0</v>
      </c>
      <c r="M93" s="1910">
        <f t="shared" ref="M93:N101" si="30">L93-$G93</f>
        <v>0</v>
      </c>
      <c r="N93" s="1910">
        <f t="shared" si="30"/>
        <v>0</v>
      </c>
    </row>
    <row r="94" spans="1:37" ht="51">
      <c r="A94" s="3078" t="s">
        <v>3270</v>
      </c>
      <c r="B94" s="3069" t="str">
        <f>估价对象房地状况!C18</f>
        <v>估价对象周边有316路、342路、582路、587路等多条公交线路及地铁6号线通州北关站，综合评价交通便捷度较好</v>
      </c>
      <c r="C94" s="1885"/>
      <c r="D94" s="2307">
        <f t="shared" ref="D94:D101" si="31">SUMIF($J$60:$N$60,C94,J94:N94)</f>
        <v>0</v>
      </c>
      <c r="E94" s="3082"/>
      <c r="F94" s="1673"/>
      <c r="G94" s="3072"/>
      <c r="H94" s="3117" t="str">
        <f>IFERROR(ROUNDDOWN($F$93*I94/2,4),"——")</f>
        <v>——</v>
      </c>
      <c r="I94" s="3066">
        <v>0.26</v>
      </c>
      <c r="J94" s="1910">
        <f t="shared" si="28"/>
        <v>0</v>
      </c>
      <c r="K94" s="1910">
        <f t="shared" si="29"/>
        <v>0</v>
      </c>
      <c r="L94" s="1910">
        <v>0</v>
      </c>
      <c r="M94" s="1910">
        <f t="shared" si="30"/>
        <v>0</v>
      </c>
      <c r="N94" s="1910">
        <f t="shared" si="30"/>
        <v>0</v>
      </c>
    </row>
    <row r="95" spans="1:37" ht="36">
      <c r="A95" s="3068" t="s">
        <v>3266</v>
      </c>
      <c r="B95" s="3069">
        <f>估价对象房地状况!C19</f>
        <v>0</v>
      </c>
      <c r="C95" s="1885"/>
      <c r="D95" s="2307">
        <f t="shared" si="31"/>
        <v>0</v>
      </c>
      <c r="E95" s="3082"/>
      <c r="F95" s="1673"/>
      <c r="G95" s="3072"/>
      <c r="H95" s="3117" t="str">
        <f t="shared" ref="H95:H101" si="32">IFERROR(ROUNDDOWN($F$93*I95/2,4),"——")</f>
        <v>——</v>
      </c>
      <c r="I95" s="3066">
        <v>0.11</v>
      </c>
      <c r="J95" s="1910">
        <f t="shared" si="28"/>
        <v>0</v>
      </c>
      <c r="K95" s="1910">
        <f t="shared" si="29"/>
        <v>0</v>
      </c>
      <c r="L95" s="1910">
        <v>0</v>
      </c>
      <c r="M95" s="1910">
        <f t="shared" si="30"/>
        <v>0</v>
      </c>
      <c r="N95" s="1910">
        <f t="shared" si="30"/>
        <v>0</v>
      </c>
    </row>
    <row r="96" spans="1:37" ht="36.75">
      <c r="A96" s="3078" t="s">
        <v>3271</v>
      </c>
      <c r="B96" s="3084" t="s">
        <v>3282</v>
      </c>
      <c r="C96" s="1885"/>
      <c r="D96" s="2307">
        <f t="shared" si="31"/>
        <v>0</v>
      </c>
      <c r="E96" s="3082"/>
      <c r="F96" s="1673"/>
      <c r="G96" s="3072"/>
      <c r="H96" s="3117" t="str">
        <f t="shared" si="32"/>
        <v>——</v>
      </c>
      <c r="I96" s="3066">
        <v>0.05</v>
      </c>
      <c r="J96" s="1910">
        <f t="shared" si="28"/>
        <v>0</v>
      </c>
      <c r="K96" s="1910">
        <f t="shared" si="29"/>
        <v>0</v>
      </c>
      <c r="L96" s="1910">
        <v>0</v>
      </c>
      <c r="M96" s="1910">
        <f t="shared" si="30"/>
        <v>0</v>
      </c>
      <c r="N96" s="1910">
        <f t="shared" si="30"/>
        <v>0</v>
      </c>
    </row>
    <row r="97" spans="1:14" ht="24">
      <c r="A97" s="3078" t="s">
        <v>3272</v>
      </c>
      <c r="B97" s="3069">
        <f>估价对象房地状况!C24</f>
        <v>0</v>
      </c>
      <c r="C97" s="1885"/>
      <c r="D97" s="2307">
        <f t="shared" si="31"/>
        <v>0</v>
      </c>
      <c r="E97" s="3082"/>
      <c r="F97" s="1673"/>
      <c r="G97" s="3072"/>
      <c r="H97" s="3117" t="str">
        <f t="shared" si="32"/>
        <v>——</v>
      </c>
      <c r="I97" s="3066">
        <v>0.05</v>
      </c>
      <c r="J97" s="1910">
        <f t="shared" si="28"/>
        <v>0</v>
      </c>
      <c r="K97" s="1910">
        <f t="shared" si="29"/>
        <v>0</v>
      </c>
      <c r="L97" s="1910">
        <v>0</v>
      </c>
      <c r="M97" s="1910">
        <f t="shared" si="30"/>
        <v>0</v>
      </c>
      <c r="N97" s="1910">
        <f t="shared" si="30"/>
        <v>0</v>
      </c>
    </row>
    <row r="98" spans="1:14" ht="24">
      <c r="A98" s="3078" t="s">
        <v>3273</v>
      </c>
      <c r="B98" s="3085" t="s">
        <v>3283</v>
      </c>
      <c r="C98" s="1885"/>
      <c r="D98" s="2307">
        <f t="shared" si="31"/>
        <v>0</v>
      </c>
      <c r="E98" s="3082"/>
      <c r="F98" s="1673"/>
      <c r="G98" s="3072"/>
      <c r="H98" s="3117" t="str">
        <f t="shared" si="32"/>
        <v>——</v>
      </c>
      <c r="I98" s="3066">
        <v>0.06</v>
      </c>
      <c r="J98" s="1910">
        <f t="shared" si="28"/>
        <v>0</v>
      </c>
      <c r="K98" s="1910">
        <f t="shared" si="29"/>
        <v>0</v>
      </c>
      <c r="L98" s="1910">
        <v>0</v>
      </c>
      <c r="M98" s="1910">
        <f t="shared" si="30"/>
        <v>0</v>
      </c>
      <c r="N98" s="1910">
        <f t="shared" si="30"/>
        <v>0</v>
      </c>
    </row>
    <row r="99" spans="1:14" ht="191.25">
      <c r="A99" s="3078" t="s">
        <v>3274</v>
      </c>
      <c r="B99" s="3069"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99" s="1885"/>
      <c r="D99" s="2307">
        <f t="shared" si="31"/>
        <v>0</v>
      </c>
      <c r="E99" s="3082"/>
      <c r="F99" s="1673"/>
      <c r="G99" s="3072"/>
      <c r="H99" s="3117" t="str">
        <f t="shared" si="32"/>
        <v>——</v>
      </c>
      <c r="I99" s="3066">
        <v>0.06</v>
      </c>
      <c r="J99" s="1910">
        <f t="shared" si="28"/>
        <v>0</v>
      </c>
      <c r="K99" s="1910">
        <f t="shared" si="29"/>
        <v>0</v>
      </c>
      <c r="L99" s="1910">
        <v>0</v>
      </c>
      <c r="M99" s="1910">
        <f t="shared" si="30"/>
        <v>0</v>
      </c>
      <c r="N99" s="1910">
        <f t="shared" si="30"/>
        <v>0</v>
      </c>
    </row>
    <row r="100" spans="1:14" ht="25.5">
      <c r="A100" s="3078" t="s">
        <v>3275</v>
      </c>
      <c r="B100" s="3069" t="str">
        <f>估价对象房地状况!C22</f>
        <v>估价对象所在区域基础设施水平</v>
      </c>
      <c r="C100" s="1885"/>
      <c r="D100" s="2307">
        <f t="shared" si="31"/>
        <v>0</v>
      </c>
      <c r="E100" s="3082"/>
      <c r="F100" s="1673"/>
      <c r="G100" s="3072"/>
      <c r="H100" s="3117" t="str">
        <f t="shared" si="32"/>
        <v>——</v>
      </c>
      <c r="I100" s="3066">
        <v>0.09</v>
      </c>
      <c r="J100" s="1910">
        <f t="shared" si="28"/>
        <v>0</v>
      </c>
      <c r="K100" s="1910">
        <f t="shared" si="29"/>
        <v>0</v>
      </c>
      <c r="L100" s="1910">
        <v>0</v>
      </c>
      <c r="M100" s="1910">
        <f t="shared" si="30"/>
        <v>0</v>
      </c>
      <c r="N100" s="1910">
        <f t="shared" si="30"/>
        <v>0</v>
      </c>
    </row>
    <row r="101" spans="1:14" ht="51.75" thickBot="1">
      <c r="A101" s="3079" t="s">
        <v>3276</v>
      </c>
      <c r="B101" s="3086" t="str">
        <f>估价对象房地状况!C20</f>
        <v>估价对象周边有北关清真寺、三教庙等人文景观，西海子公园、北运河水系等自然景观，综合评价环境状况较好。</v>
      </c>
      <c r="C101" s="1885"/>
      <c r="D101" s="2307">
        <f t="shared" si="31"/>
        <v>0</v>
      </c>
      <c r="E101" s="3083"/>
      <c r="F101" s="1673"/>
      <c r="G101" s="3072"/>
      <c r="H101" s="3117" t="str">
        <f t="shared" si="32"/>
        <v>——</v>
      </c>
      <c r="I101" s="3067">
        <v>7.0000000000000007E-2</v>
      </c>
      <c r="J101" s="1910">
        <f t="shared" si="28"/>
        <v>0</v>
      </c>
      <c r="K101" s="1910">
        <f t="shared" si="29"/>
        <v>0</v>
      </c>
      <c r="L101" s="1910">
        <v>0</v>
      </c>
      <c r="M101" s="1910">
        <f t="shared" si="30"/>
        <v>0</v>
      </c>
      <c r="N101" s="1910">
        <f t="shared" si="30"/>
        <v>0</v>
      </c>
    </row>
    <row r="103" spans="1:14">
      <c r="A103" s="3480" t="s">
        <v>3291</v>
      </c>
      <c r="B103" s="3480"/>
      <c r="C103" s="3480"/>
      <c r="D103" s="3480"/>
      <c r="E103" s="3480"/>
      <c r="F103" s="3480"/>
      <c r="G103" s="3480"/>
      <c r="H103" s="3480"/>
      <c r="I103" s="3480"/>
      <c r="J103" s="3480"/>
      <c r="K103" s="1665"/>
      <c r="L103" s="1665"/>
      <c r="M103" s="1665"/>
      <c r="N103" s="1665"/>
    </row>
    <row r="104" spans="1:14">
      <c r="A104" s="3481" t="s">
        <v>3292</v>
      </c>
      <c r="B104" s="3481" t="s">
        <v>3293</v>
      </c>
      <c r="C104" s="3088" t="s">
        <v>3294</v>
      </c>
      <c r="D104" s="3089"/>
      <c r="E104" s="3089"/>
      <c r="F104" s="3089"/>
      <c r="G104" s="3089"/>
      <c r="H104" s="3089"/>
      <c r="I104" s="3089"/>
      <c r="J104" s="3090"/>
      <c r="K104" s="3091"/>
      <c r="L104" s="3091"/>
      <c r="M104" s="3091"/>
      <c r="N104" s="3091"/>
    </row>
    <row r="105" spans="1:14">
      <c r="A105" s="3481"/>
      <c r="B105" s="3481"/>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482"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3265</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484"/>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485" t="s">
        <v>3308</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3309</v>
      </c>
      <c r="B116" s="3112">
        <f>G3</f>
        <v>7.87</v>
      </c>
      <c r="C116" s="3097" t="s">
        <v>3310</v>
      </c>
      <c r="D116" s="3098">
        <f>SUMPRODUCT((A118:A122=F116)*(B117:M117=H116)*B118:M122)</f>
        <v>0.83879999999999999</v>
      </c>
      <c r="E116" s="162" t="s">
        <v>3311</v>
      </c>
      <c r="F116" s="3099" t="str">
        <f>E2</f>
        <v>商业</v>
      </c>
      <c r="G116" s="162" t="s">
        <v>3312</v>
      </c>
      <c r="H116" s="3099" t="str">
        <f>G2</f>
        <v>四级</v>
      </c>
      <c r="I116" s="162"/>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0.91020000000000001</v>
      </c>
      <c r="C118" s="3087">
        <f>B118</f>
        <v>0.91020000000000001</v>
      </c>
      <c r="D118" s="3087">
        <f>ROUND(0.949-0.014*B116,4)</f>
        <v>0.83879999999999999</v>
      </c>
      <c r="E118" s="3087">
        <f>D118</f>
        <v>0.83879999999999999</v>
      </c>
      <c r="F118" s="3087">
        <f>E118</f>
        <v>0.83879999999999999</v>
      </c>
      <c r="G118" s="3087">
        <f>F118</f>
        <v>0.83879999999999999</v>
      </c>
      <c r="H118" s="3087">
        <f>G118</f>
        <v>0.83879999999999999</v>
      </c>
      <c r="I118" s="3087">
        <f>ROUND(0.8486-0.018*B116,4)</f>
        <v>0.70689999999999997</v>
      </c>
      <c r="J118" s="3087">
        <f t="shared" ref="J118:M122" si="36">I118</f>
        <v>0.70689999999999997</v>
      </c>
      <c r="K118" s="3087">
        <f t="shared" si="36"/>
        <v>0.70689999999999997</v>
      </c>
      <c r="L118" s="3087">
        <f t="shared" si="36"/>
        <v>0.70689999999999997</v>
      </c>
      <c r="M118" s="3107">
        <f t="shared" si="36"/>
        <v>0.70689999999999997</v>
      </c>
      <c r="N118" s="3095"/>
    </row>
    <row r="119" spans="1:14">
      <c r="A119" s="3055" t="s">
        <v>3326</v>
      </c>
      <c r="B119" s="3087">
        <f>ROUND(0.993-0.0112*B116,4)</f>
        <v>0.90490000000000004</v>
      </c>
      <c r="C119" s="3087">
        <f>B119</f>
        <v>0.90490000000000004</v>
      </c>
      <c r="D119" s="3087">
        <f>ROUND(0.9415-0.0142*B116,4)</f>
        <v>0.82969999999999999</v>
      </c>
      <c r="E119" s="3087">
        <f t="shared" ref="E119:H120" si="37">D119</f>
        <v>0.82969999999999999</v>
      </c>
      <c r="F119" s="3087">
        <f t="shared" si="37"/>
        <v>0.82969999999999999</v>
      </c>
      <c r="G119" s="3087">
        <f t="shared" si="37"/>
        <v>0.82969999999999999</v>
      </c>
      <c r="H119" s="3087">
        <f t="shared" si="37"/>
        <v>0.82969999999999999</v>
      </c>
      <c r="I119" s="3087">
        <f>ROUND(0.838-0.0182*B116,4)</f>
        <v>0.69479999999999997</v>
      </c>
      <c r="J119" s="3087">
        <f t="shared" si="36"/>
        <v>0.69479999999999997</v>
      </c>
      <c r="K119" s="3087">
        <f t="shared" si="36"/>
        <v>0.69479999999999997</v>
      </c>
      <c r="L119" s="3087">
        <f t="shared" si="36"/>
        <v>0.69479999999999997</v>
      </c>
      <c r="M119" s="3107">
        <f t="shared" si="36"/>
        <v>0.69479999999999997</v>
      </c>
      <c r="N119" s="3095"/>
    </row>
    <row r="120" spans="1:14">
      <c r="A120" s="3055" t="s">
        <v>3327</v>
      </c>
      <c r="B120" s="3087">
        <f>ROUND(0.9448-0.0115*B116,4)</f>
        <v>0.85429999999999995</v>
      </c>
      <c r="C120" s="3087">
        <f>B120</f>
        <v>0.85429999999999995</v>
      </c>
      <c r="D120" s="3087">
        <f>ROUND(0.937-0.0145*B116,4)</f>
        <v>0.82289999999999996</v>
      </c>
      <c r="E120" s="3087">
        <f t="shared" si="37"/>
        <v>0.82289999999999996</v>
      </c>
      <c r="F120" s="3087">
        <f t="shared" si="37"/>
        <v>0.82289999999999996</v>
      </c>
      <c r="G120" s="3087">
        <f t="shared" si="37"/>
        <v>0.82289999999999996</v>
      </c>
      <c r="H120" s="3087">
        <f t="shared" si="37"/>
        <v>0.82289999999999996</v>
      </c>
      <c r="I120" s="3087">
        <f>ROUND(0.7965-0.0185*B116,4)</f>
        <v>0.65090000000000003</v>
      </c>
      <c r="J120" s="3087">
        <f t="shared" si="36"/>
        <v>0.65090000000000003</v>
      </c>
      <c r="K120" s="3087">
        <f t="shared" si="36"/>
        <v>0.65090000000000003</v>
      </c>
      <c r="L120" s="3087">
        <f t="shared" si="36"/>
        <v>0.65090000000000003</v>
      </c>
      <c r="M120" s="3107">
        <f t="shared" si="36"/>
        <v>0.65090000000000003</v>
      </c>
      <c r="N120" s="3095"/>
    </row>
    <row r="121" spans="1:14" ht="13.5" thickBot="1">
      <c r="A121" s="3108" t="s">
        <v>3328</v>
      </c>
      <c r="B121" s="3109">
        <f>ROUND(0.7836-0.012*B116,4)</f>
        <v>0.68920000000000003</v>
      </c>
      <c r="C121" s="3109">
        <f>B121</f>
        <v>0.68920000000000003</v>
      </c>
      <c r="D121" s="3109">
        <f>ROUND(0.753-0.015*B116,4)</f>
        <v>0.63500000000000001</v>
      </c>
      <c r="E121" s="3109">
        <f>D121</f>
        <v>0.63500000000000001</v>
      </c>
      <c r="F121" s="3109">
        <f>E121</f>
        <v>0.63500000000000001</v>
      </c>
      <c r="G121" s="3109">
        <f>ROUND(0.6612-0.018*B116,4)</f>
        <v>0.51949999999999996</v>
      </c>
      <c r="H121" s="3109">
        <f>G121</f>
        <v>0.51949999999999996</v>
      </c>
      <c r="I121" s="3109">
        <f>ROUND(0.5905-0.019*B116,4)</f>
        <v>0.441</v>
      </c>
      <c r="J121" s="3109">
        <f t="shared" si="36"/>
        <v>0.441</v>
      </c>
      <c r="K121" s="3109">
        <f t="shared" si="36"/>
        <v>0.441</v>
      </c>
      <c r="L121" s="3109">
        <f t="shared" si="36"/>
        <v>0.441</v>
      </c>
      <c r="M121" s="3110">
        <f t="shared" si="36"/>
        <v>0.441</v>
      </c>
      <c r="N121" s="3095"/>
    </row>
    <row r="122" spans="1:14">
      <c r="A122" s="3111" t="s">
        <v>2609</v>
      </c>
      <c r="B122" s="3087">
        <f>ROUND(0.9404-0.0106*B116,4)</f>
        <v>0.85699999999999998</v>
      </c>
      <c r="C122" s="3087">
        <f>B122</f>
        <v>0.85699999999999998</v>
      </c>
      <c r="D122" s="3087">
        <f>ROUND(0.8955-0.0135*B116,4)</f>
        <v>0.7893</v>
      </c>
      <c r="E122" s="3087">
        <f t="shared" ref="E122:H122" si="38">D122</f>
        <v>0.7893</v>
      </c>
      <c r="F122" s="3087">
        <f t="shared" si="38"/>
        <v>0.7893</v>
      </c>
      <c r="G122" s="3087">
        <f t="shared" si="38"/>
        <v>0.7893</v>
      </c>
      <c r="H122" s="3087">
        <f t="shared" si="38"/>
        <v>0.7893</v>
      </c>
      <c r="I122" s="3087">
        <f>ROUND(0.7632-0.0166*B116,4)</f>
        <v>0.63260000000000005</v>
      </c>
      <c r="J122" s="3087">
        <f t="shared" si="36"/>
        <v>0.63260000000000005</v>
      </c>
      <c r="K122" s="3087">
        <f t="shared" si="36"/>
        <v>0.63260000000000005</v>
      </c>
      <c r="L122" s="3087">
        <f t="shared" si="36"/>
        <v>0.63260000000000005</v>
      </c>
      <c r="M122" s="3107">
        <f t="shared" si="36"/>
        <v>0.63260000000000005</v>
      </c>
      <c r="N122" s="30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估价结果一览表</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房地产市场价值</v>
      </c>
      <c r="I2" s="3198"/>
    </row>
    <row r="3" spans="1:9" ht="15">
      <c r="A3" s="3193"/>
      <c r="B3" s="3193"/>
      <c r="C3" s="3193"/>
      <c r="D3" s="799" t="s">
        <v>925</v>
      </c>
      <c r="E3" s="799" t="s">
        <v>931</v>
      </c>
      <c r="F3" s="799" t="s">
        <v>925</v>
      </c>
      <c r="G3" s="799" t="s">
        <v>926</v>
      </c>
      <c r="H3" s="799" t="s">
        <v>925</v>
      </c>
      <c r="I3" s="799" t="s">
        <v>926</v>
      </c>
    </row>
    <row r="4" spans="1:9" ht="15">
      <c r="A4" s="1401" t="str">
        <f>项目基本情况!S2</f>
        <v>北京市房地产</v>
      </c>
      <c r="B4" s="799">
        <f>项目基本情况!C17</f>
        <v>41825.5</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193" t="s">
        <v>927</v>
      </c>
      <c r="B5" s="3193"/>
      <c r="C5" s="3193"/>
      <c r="D5" s="3193" t="e">
        <f ca="1">结果表!D119</f>
        <v>#REF!</v>
      </c>
      <c r="E5" s="3193"/>
      <c r="F5" s="3193" t="e">
        <f ca="1">结果表!F119</f>
        <v>#REF!</v>
      </c>
      <c r="G5" s="3193"/>
      <c r="H5" s="3193" t="e">
        <f ca="1">结果表!H119</f>
        <v>#REF!</v>
      </c>
      <c r="I5" s="3193"/>
    </row>
    <row r="6" spans="1:9" ht="15.75">
      <c r="A6" s="3192" t="str">
        <f>结果表!A120</f>
        <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75">
      <c r="A8" s="3192" t="str">
        <f>结果表!A122</f>
        <v/>
      </c>
      <c r="B8" s="3192"/>
      <c r="C8" s="3192"/>
      <c r="D8" s="3192" t="e">
        <f ca="1">结果表!D122</f>
        <v>#REF!</v>
      </c>
      <c r="E8" s="3192"/>
      <c r="F8" s="3192"/>
      <c r="G8" s="3192"/>
      <c r="H8" s="3192"/>
      <c r="I8" s="3192"/>
    </row>
    <row r="9" spans="1:9" ht="15">
      <c r="A9" s="3193" t="s">
        <v>927</v>
      </c>
      <c r="B9" s="3193"/>
      <c r="C9" s="3193"/>
      <c r="D9" s="3193" t="e">
        <f ca="1">结果表!D123</f>
        <v>#REF!</v>
      </c>
      <c r="E9" s="3193"/>
      <c r="F9" s="3193"/>
      <c r="G9" s="3193"/>
      <c r="H9" s="3193"/>
      <c r="I9" s="3193"/>
    </row>
    <row r="10" spans="1:9" ht="15.75">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75">
      <c r="A12" s="3192" t="str">
        <f>结果表!A126</f>
        <v/>
      </c>
      <c r="B12" s="3192"/>
      <c r="C12" s="3192"/>
      <c r="D12" s="3192" t="str">
        <f>结果表!D126</f>
        <v>——</v>
      </c>
      <c r="E12" s="3192"/>
      <c r="F12" s="3192"/>
      <c r="G12" s="3192"/>
      <c r="H12" s="3192"/>
      <c r="I12" s="3192"/>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497" t="s">
        <v>2604</v>
      </c>
      <c r="B20" s="3490" t="s">
        <v>2625</v>
      </c>
      <c r="C20" s="3166" t="s">
        <v>2436</v>
      </c>
      <c r="D20" s="3166"/>
      <c r="E20" s="2842">
        <v>1</v>
      </c>
      <c r="F20" s="2843" t="s">
        <v>2437</v>
      </c>
      <c r="G20" s="2843"/>
    </row>
    <row r="21" spans="1:13" ht="19.5" customHeight="1">
      <c r="A21" s="3498"/>
      <c r="B21" s="3486"/>
      <c r="C21" s="2855" t="s">
        <v>2438</v>
      </c>
      <c r="D21" s="2855"/>
      <c r="E21" s="2846">
        <v>1</v>
      </c>
      <c r="F21" s="2843" t="s">
        <v>2439</v>
      </c>
      <c r="G21" s="2843"/>
    </row>
    <row r="22" spans="1:13" ht="19.5" customHeight="1">
      <c r="A22" s="3498"/>
      <c r="B22" s="3486"/>
      <c r="C22" s="2855" t="s">
        <v>2440</v>
      </c>
      <c r="D22" s="2855"/>
      <c r="E22" s="2846">
        <v>0.9</v>
      </c>
      <c r="F22" s="2843" t="s">
        <v>2441</v>
      </c>
      <c r="G22" s="2843"/>
    </row>
    <row r="23" spans="1:13" ht="19.5" customHeight="1">
      <c r="A23" s="3498"/>
      <c r="B23" s="3486"/>
      <c r="C23" s="2855" t="s">
        <v>2442</v>
      </c>
      <c r="D23" s="2855"/>
      <c r="E23" s="2846">
        <v>0.9</v>
      </c>
      <c r="F23" s="2843" t="s">
        <v>2443</v>
      </c>
      <c r="G23" s="2843"/>
    </row>
    <row r="24" spans="1:13" ht="19.5" customHeight="1">
      <c r="A24" s="3498"/>
      <c r="B24" s="3486"/>
      <c r="C24" s="2855" t="s">
        <v>2444</v>
      </c>
      <c r="D24" s="2855"/>
      <c r="E24" s="2846">
        <v>0.8</v>
      </c>
      <c r="F24" s="2843" t="s">
        <v>2445</v>
      </c>
      <c r="G24" s="2843"/>
    </row>
    <row r="25" spans="1:13" ht="19.5" customHeight="1">
      <c r="A25" s="3498"/>
      <c r="B25" s="3486"/>
      <c r="C25" s="2855" t="s">
        <v>2446</v>
      </c>
      <c r="D25" s="2855"/>
      <c r="E25" s="2846">
        <v>0.8</v>
      </c>
      <c r="F25" s="2843"/>
      <c r="G25" s="2843"/>
    </row>
    <row r="26" spans="1:13" ht="19.5" customHeight="1">
      <c r="A26" s="3498"/>
      <c r="B26" s="3486"/>
      <c r="C26" s="2855" t="s">
        <v>3409</v>
      </c>
      <c r="D26" s="2855"/>
      <c r="E26" s="2846">
        <v>0.43</v>
      </c>
      <c r="F26" s="2843"/>
      <c r="G26" s="2843"/>
    </row>
    <row r="27" spans="1:13" ht="19.5" customHeight="1" thickBot="1">
      <c r="A27" s="3499"/>
      <c r="B27" s="3491"/>
      <c r="C27" s="3162" t="s">
        <v>3410</v>
      </c>
      <c r="D27" s="3162"/>
      <c r="E27" s="2849">
        <f>E26*0.9</f>
        <v>0.38700000000000001</v>
      </c>
      <c r="F27" s="2843" t="s">
        <v>2447</v>
      </c>
      <c r="G27" s="2843"/>
    </row>
    <row r="28" spans="1:13" ht="19.5" customHeight="1" thickBot="1">
      <c r="A28" s="3161" t="s">
        <v>2626</v>
      </c>
      <c r="B28" s="3160" t="s">
        <v>2625</v>
      </c>
      <c r="C28" s="3163" t="s">
        <v>2627</v>
      </c>
      <c r="D28" s="3164"/>
      <c r="E28" s="3165">
        <v>1</v>
      </c>
      <c r="F28" s="2843" t="s">
        <v>2448</v>
      </c>
      <c r="G28" s="2843"/>
    </row>
    <row r="29" spans="1:13" ht="19.5" customHeight="1">
      <c r="A29" s="3492" t="s">
        <v>2628</v>
      </c>
      <c r="B29" s="3495" t="s">
        <v>2609</v>
      </c>
      <c r="C29" s="2840" t="s">
        <v>2449</v>
      </c>
      <c r="D29" s="2841"/>
      <c r="E29" s="2842">
        <v>1</v>
      </c>
      <c r="F29" s="2843" t="s">
        <v>2450</v>
      </c>
      <c r="G29" s="2843"/>
    </row>
    <row r="30" spans="1:13" ht="19.5" customHeight="1">
      <c r="A30" s="3493"/>
      <c r="B30" s="3489"/>
      <c r="C30" s="2844" t="s">
        <v>2451</v>
      </c>
      <c r="D30" s="2845"/>
      <c r="E30" s="2846">
        <v>1</v>
      </c>
      <c r="F30" s="2843" t="s">
        <v>2452</v>
      </c>
      <c r="G30" s="2843"/>
    </row>
    <row r="31" spans="1:13" ht="19.5" customHeight="1">
      <c r="A31" s="3493"/>
      <c r="B31" s="3489"/>
      <c r="C31" s="2844" t="s">
        <v>2453</v>
      </c>
      <c r="D31" s="2845"/>
      <c r="E31" s="2846">
        <v>0.8</v>
      </c>
      <c r="F31" s="2843" t="s">
        <v>2454</v>
      </c>
      <c r="G31" s="2843"/>
    </row>
    <row r="32" spans="1:13" ht="19.5" customHeight="1">
      <c r="A32" s="3493"/>
      <c r="B32" s="3489"/>
      <c r="C32" s="2844" t="s">
        <v>2455</v>
      </c>
      <c r="D32" s="2845"/>
      <c r="E32" s="2846">
        <v>0.8</v>
      </c>
      <c r="F32" s="2843" t="s">
        <v>2456</v>
      </c>
      <c r="G32" s="2843"/>
    </row>
    <row r="33" spans="1:7" ht="19.5" customHeight="1">
      <c r="A33" s="3493"/>
      <c r="B33" s="3489"/>
      <c r="C33" s="2844" t="s">
        <v>2457</v>
      </c>
      <c r="D33" s="2845"/>
      <c r="E33" s="2846">
        <v>0.8</v>
      </c>
      <c r="F33" s="2843" t="s">
        <v>2458</v>
      </c>
      <c r="G33" s="2843"/>
    </row>
    <row r="34" spans="1:7" ht="19.5" customHeight="1">
      <c r="A34" s="3493"/>
      <c r="B34" s="3489"/>
      <c r="C34" s="2844" t="s">
        <v>2459</v>
      </c>
      <c r="D34" s="2845"/>
      <c r="E34" s="2846">
        <v>0.7</v>
      </c>
      <c r="F34" s="2843" t="s">
        <v>2460</v>
      </c>
      <c r="G34" s="2843"/>
    </row>
    <row r="35" spans="1:7" ht="19.5" customHeight="1">
      <c r="A35" s="3493"/>
      <c r="B35" s="3489"/>
      <c r="C35" s="2844" t="s">
        <v>2461</v>
      </c>
      <c r="D35" s="2845"/>
      <c r="E35" s="2846">
        <v>0.8</v>
      </c>
      <c r="F35" s="2843" t="s">
        <v>2462</v>
      </c>
      <c r="G35" s="2843"/>
    </row>
    <row r="36" spans="1:7" ht="19.5" customHeight="1">
      <c r="A36" s="3493"/>
      <c r="B36" s="3489"/>
      <c r="C36" s="2844" t="s">
        <v>2463</v>
      </c>
      <c r="D36" s="2845"/>
      <c r="E36" s="2846">
        <v>0.6</v>
      </c>
      <c r="F36" s="2843" t="s">
        <v>2464</v>
      </c>
      <c r="G36" s="2843"/>
    </row>
    <row r="37" spans="1:7" ht="19.5" customHeight="1">
      <c r="A37" s="3493"/>
      <c r="B37" s="3489"/>
      <c r="C37" s="2844" t="s">
        <v>2465</v>
      </c>
      <c r="D37" s="2845"/>
      <c r="E37" s="2846">
        <v>0.2</v>
      </c>
      <c r="F37" s="2843" t="s">
        <v>2466</v>
      </c>
      <c r="G37" s="2843"/>
    </row>
    <row r="38" spans="1:7" ht="19.5" customHeight="1">
      <c r="A38" s="3493"/>
      <c r="B38" s="3489"/>
      <c r="C38" s="2844" t="s">
        <v>2467</v>
      </c>
      <c r="D38" s="2845"/>
      <c r="E38" s="2846">
        <v>0.2</v>
      </c>
      <c r="F38" s="2843" t="s">
        <v>2468</v>
      </c>
      <c r="G38" s="2843"/>
    </row>
    <row r="39" spans="1:7" ht="19.5" customHeight="1">
      <c r="A39" s="3493"/>
      <c r="B39" s="3487" t="s">
        <v>2629</v>
      </c>
      <c r="C39" s="2844" t="s">
        <v>2469</v>
      </c>
      <c r="D39" s="2845"/>
      <c r="E39" s="2846">
        <v>0.6</v>
      </c>
      <c r="F39" s="2843" t="s">
        <v>2470</v>
      </c>
      <c r="G39" s="2843"/>
    </row>
    <row r="40" spans="1:7" ht="19.5" customHeight="1">
      <c r="A40" s="3493"/>
      <c r="B40" s="3489"/>
      <c r="C40" s="2844" t="s">
        <v>2471</v>
      </c>
      <c r="D40" s="2845"/>
      <c r="E40" s="2846">
        <v>0.6</v>
      </c>
      <c r="F40" s="2843" t="s">
        <v>2472</v>
      </c>
      <c r="G40" s="2843"/>
    </row>
    <row r="41" spans="1:7" ht="19.5" customHeight="1" thickBot="1">
      <c r="A41" s="3494"/>
      <c r="B41" s="3496"/>
      <c r="C41" s="2847" t="s">
        <v>2473</v>
      </c>
      <c r="D41" s="2848"/>
      <c r="E41" s="2849">
        <v>0.6</v>
      </c>
      <c r="F41" s="2843" t="s">
        <v>2474</v>
      </c>
      <c r="G41" s="2843"/>
    </row>
    <row r="42" spans="1:7" ht="19.5" customHeight="1" thickBot="1">
      <c r="A42" s="2850" t="s">
        <v>2606</v>
      </c>
      <c r="B42" s="2851" t="s">
        <v>2606</v>
      </c>
      <c r="C42" s="2852" t="s">
        <v>2630</v>
      </c>
      <c r="D42" s="2853"/>
      <c r="E42" s="2854">
        <v>1</v>
      </c>
      <c r="F42" s="2843" t="s">
        <v>2475</v>
      </c>
      <c r="G42" s="2843"/>
    </row>
    <row r="43" spans="1:7" ht="19.5" customHeight="1">
      <c r="A43" s="3497" t="s">
        <v>2607</v>
      </c>
      <c r="B43" s="3495" t="s">
        <v>2631</v>
      </c>
      <c r="C43" s="2840" t="s">
        <v>2476</v>
      </c>
      <c r="D43" s="2841"/>
      <c r="E43" s="2842">
        <v>1</v>
      </c>
      <c r="F43" s="2843" t="s">
        <v>2477</v>
      </c>
      <c r="G43" s="2843"/>
    </row>
    <row r="44" spans="1:7" ht="19.5" customHeight="1">
      <c r="A44" s="3498"/>
      <c r="B44" s="3489"/>
      <c r="C44" s="2844" t="s">
        <v>2478</v>
      </c>
      <c r="D44" s="2845"/>
      <c r="E44" s="2846">
        <v>1</v>
      </c>
      <c r="F44" s="2843" t="s">
        <v>2479</v>
      </c>
      <c r="G44" s="2843"/>
    </row>
    <row r="45" spans="1:7" ht="19.5" customHeight="1">
      <c r="A45" s="3498"/>
      <c r="B45" s="3488"/>
      <c r="C45" s="2844" t="s">
        <v>2480</v>
      </c>
      <c r="D45" s="2845"/>
      <c r="E45" s="2846">
        <v>1.5</v>
      </c>
      <c r="F45" s="2843" t="s">
        <v>2481</v>
      </c>
      <c r="G45" s="2843"/>
    </row>
    <row r="46" spans="1:7" ht="19.5" customHeight="1">
      <c r="A46" s="3498"/>
      <c r="B46" s="2855" t="s">
        <v>2632</v>
      </c>
      <c r="C46" s="2844" t="s">
        <v>2633</v>
      </c>
      <c r="D46" s="2845"/>
      <c r="E46" s="2846">
        <v>2</v>
      </c>
      <c r="F46" s="2843" t="s">
        <v>2482</v>
      </c>
      <c r="G46" s="2843"/>
    </row>
    <row r="47" spans="1:7" ht="19.5" customHeight="1">
      <c r="A47" s="3498"/>
      <c r="B47" s="3487" t="s">
        <v>2634</v>
      </c>
      <c r="C47" s="2844" t="s">
        <v>2483</v>
      </c>
      <c r="D47" s="2845"/>
      <c r="E47" s="2846">
        <v>1</v>
      </c>
      <c r="F47" s="2843" t="s">
        <v>2484</v>
      </c>
      <c r="G47" s="2843"/>
    </row>
    <row r="48" spans="1:7" ht="19.5" customHeight="1">
      <c r="A48" s="3498"/>
      <c r="B48" s="3489"/>
      <c r="C48" s="2844" t="s">
        <v>2485</v>
      </c>
      <c r="D48" s="2845"/>
      <c r="E48" s="2846">
        <v>1</v>
      </c>
      <c r="F48" s="2843" t="s">
        <v>2486</v>
      </c>
      <c r="G48" s="2843"/>
    </row>
    <row r="49" spans="1:7" ht="19.5" customHeight="1">
      <c r="A49" s="3498"/>
      <c r="B49" s="3489"/>
      <c r="C49" s="2844" t="s">
        <v>2487</v>
      </c>
      <c r="D49" s="2845"/>
      <c r="E49" s="2846">
        <v>1</v>
      </c>
      <c r="F49" s="2843" t="s">
        <v>2488</v>
      </c>
      <c r="G49" s="2843"/>
    </row>
    <row r="50" spans="1:7" ht="19.5" customHeight="1">
      <c r="A50" s="3498"/>
      <c r="B50" s="3489"/>
      <c r="C50" s="2844" t="s">
        <v>2489</v>
      </c>
      <c r="D50" s="2845"/>
      <c r="E50" s="2846">
        <v>1</v>
      </c>
      <c r="F50" s="2843" t="s">
        <v>2490</v>
      </c>
      <c r="G50" s="2843"/>
    </row>
    <row r="51" spans="1:7" ht="19.5" customHeight="1">
      <c r="A51" s="3498"/>
      <c r="B51" s="3489"/>
      <c r="C51" s="2844" t="s">
        <v>2491</v>
      </c>
      <c r="D51" s="2845"/>
      <c r="E51" s="2846">
        <v>1</v>
      </c>
      <c r="F51" s="2843" t="s">
        <v>2492</v>
      </c>
      <c r="G51" s="2843"/>
    </row>
    <row r="52" spans="1:7" ht="19.5" customHeight="1">
      <c r="A52" s="3498"/>
      <c r="B52" s="3489"/>
      <c r="C52" s="2844" t="s">
        <v>2493</v>
      </c>
      <c r="D52" s="2845"/>
      <c r="E52" s="2846">
        <v>1</v>
      </c>
      <c r="F52" s="2843" t="s">
        <v>2494</v>
      </c>
      <c r="G52" s="2843"/>
    </row>
    <row r="53" spans="1:7" ht="19.5" customHeight="1" thickBot="1">
      <c r="A53" s="3499"/>
      <c r="B53" s="3496"/>
      <c r="C53" s="2847" t="s">
        <v>2495</v>
      </c>
      <c r="D53" s="2848"/>
      <c r="E53" s="2849">
        <v>1</v>
      </c>
      <c r="F53" s="2843" t="s">
        <v>2496</v>
      </c>
      <c r="G53" s="2843"/>
    </row>
    <row r="54" spans="1:7" ht="19.5" customHeight="1">
      <c r="A54" s="2856"/>
      <c r="B54" s="2856"/>
      <c r="C54" s="2856"/>
      <c r="D54" s="2856"/>
      <c r="E54" s="2856"/>
      <c r="F54" s="2856"/>
      <c r="G54" s="2856"/>
    </row>
    <row r="56" spans="1:7" ht="19.5" customHeight="1">
      <c r="A56" s="2857"/>
      <c r="B56" s="2829" t="s">
        <v>2635</v>
      </c>
      <c r="C56" s="2829" t="s">
        <v>2635</v>
      </c>
      <c r="D56" s="2829" t="s">
        <v>2635</v>
      </c>
      <c r="E56" s="2832" t="s">
        <v>2635</v>
      </c>
      <c r="F56" s="2832" t="s">
        <v>2636</v>
      </c>
      <c r="G56" s="2832" t="s">
        <v>2637</v>
      </c>
    </row>
    <row r="57" spans="1:7" ht="19.5" customHeight="1">
      <c r="A57" s="2858"/>
      <c r="B57" s="2832" t="s">
        <v>2604</v>
      </c>
      <c r="C57" s="2832" t="s">
        <v>2604</v>
      </c>
      <c r="D57" s="2832" t="s">
        <v>2604</v>
      </c>
      <c r="E57" s="2829" t="s">
        <v>2605</v>
      </c>
      <c r="F57" s="2829" t="s">
        <v>2607</v>
      </c>
      <c r="G57" s="2829" t="s">
        <v>2638</v>
      </c>
    </row>
    <row r="58" spans="1:7" ht="19.5" customHeight="1">
      <c r="A58" s="2859"/>
      <c r="B58" s="2829">
        <v>1</v>
      </c>
      <c r="C58" s="2829">
        <v>2</v>
      </c>
      <c r="D58" s="2829">
        <v>3</v>
      </c>
      <c r="E58" s="2860" t="s">
        <v>2639</v>
      </c>
      <c r="F58" s="2860" t="s">
        <v>2639</v>
      </c>
      <c r="G58" s="2860" t="s">
        <v>2639</v>
      </c>
    </row>
    <row r="59" spans="1:7" ht="19.5" customHeight="1">
      <c r="A59" s="2861" t="s">
        <v>2592</v>
      </c>
      <c r="B59" s="2829">
        <v>0.7</v>
      </c>
      <c r="C59" s="2829">
        <v>0.4</v>
      </c>
      <c r="D59" s="2829">
        <v>0.3</v>
      </c>
      <c r="E59" s="2860">
        <v>0.3</v>
      </c>
      <c r="F59" s="2829">
        <v>0.3</v>
      </c>
      <c r="G59" s="2829">
        <v>0.2</v>
      </c>
    </row>
    <row r="60" spans="1:7" ht="19.5" customHeight="1">
      <c r="A60" s="2861" t="s">
        <v>2593</v>
      </c>
      <c r="B60" s="2829">
        <v>0.7</v>
      </c>
      <c r="C60" s="2829">
        <v>0.4</v>
      </c>
      <c r="D60" s="2829">
        <v>0.3</v>
      </c>
      <c r="E60" s="2829">
        <v>0.3</v>
      </c>
      <c r="F60" s="2829">
        <v>0.3</v>
      </c>
      <c r="G60" s="2829">
        <v>0.2</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0.6</v>
      </c>
      <c r="C64" s="2829">
        <v>0.3</v>
      </c>
      <c r="D64" s="2829">
        <v>0.25</v>
      </c>
      <c r="E64" s="2829">
        <v>0.25</v>
      </c>
      <c r="F64" s="2829">
        <v>0.25</v>
      </c>
      <c r="G64" s="2829">
        <v>0.15</v>
      </c>
    </row>
    <row r="65" spans="1:7" ht="19.5" customHeight="1">
      <c r="A65" s="2861" t="s">
        <v>2598</v>
      </c>
      <c r="B65" s="2829">
        <v>0.6</v>
      </c>
      <c r="C65" s="2829">
        <v>0.3</v>
      </c>
      <c r="D65" s="2829">
        <v>0.25</v>
      </c>
      <c r="E65" s="2829">
        <v>0.25</v>
      </c>
      <c r="F65" s="2829">
        <v>0.25</v>
      </c>
      <c r="G65" s="2829">
        <v>0.15</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69" spans="1:7" ht="19.5" customHeight="1">
      <c r="A69" s="2861" t="s">
        <v>2602</v>
      </c>
      <c r="B69" s="2829">
        <v>0.5</v>
      </c>
      <c r="C69" s="2829">
        <v>0.2</v>
      </c>
      <c r="D69" s="2829">
        <v>0.2</v>
      </c>
      <c r="E69" s="2829">
        <v>0.2</v>
      </c>
      <c r="F69" s="2829">
        <v>0.2</v>
      </c>
      <c r="G69" s="2829">
        <v>0.1</v>
      </c>
    </row>
    <row r="70" spans="1:7" ht="19.5" customHeight="1">
      <c r="A70" s="2861" t="s">
        <v>2603</v>
      </c>
      <c r="B70" s="2829">
        <v>0.5</v>
      </c>
      <c r="C70" s="2829">
        <v>0.2</v>
      </c>
      <c r="D70" s="2829">
        <v>0.2</v>
      </c>
      <c r="E70" s="2829">
        <v>0.2</v>
      </c>
      <c r="F70" s="2829">
        <v>0.2</v>
      </c>
      <c r="G70" s="2829">
        <v>0.1</v>
      </c>
    </row>
    <row r="72" spans="1:7" ht="19.5" customHeight="1">
      <c r="A72" s="2843"/>
      <c r="B72" s="2862"/>
      <c r="C72" s="2862"/>
      <c r="D72" s="2862" t="s">
        <v>2640</v>
      </c>
      <c r="E72" s="2862"/>
      <c r="F72" s="2862"/>
    </row>
    <row r="73" spans="1:7" ht="19.5" customHeight="1">
      <c r="A73" s="2855" t="s">
        <v>2641</v>
      </c>
      <c r="B73" s="2855" t="s">
        <v>2642</v>
      </c>
      <c r="C73" s="2855" t="s">
        <v>2643</v>
      </c>
      <c r="D73" s="2855" t="s">
        <v>2644</v>
      </c>
      <c r="E73" s="2855" t="s">
        <v>2645</v>
      </c>
      <c r="F73" s="2855" t="s">
        <v>2646</v>
      </c>
    </row>
    <row r="74" spans="1:7" ht="13.5">
      <c r="A74" s="2855"/>
      <c r="B74" s="2855"/>
      <c r="C74" s="2855" t="s">
        <v>2647</v>
      </c>
      <c r="D74" s="2855"/>
      <c r="E74" s="2855" t="s">
        <v>2618</v>
      </c>
      <c r="F74" s="2855" t="s">
        <v>2618</v>
      </c>
    </row>
    <row r="75" spans="1:7" ht="13.5">
      <c r="A75" s="2855">
        <v>1</v>
      </c>
      <c r="B75" s="3487" t="s">
        <v>2648</v>
      </c>
      <c r="C75" s="2829" t="s">
        <v>2649</v>
      </c>
      <c r="D75" s="2829" t="s">
        <v>2650</v>
      </c>
      <c r="E75" s="2855">
        <v>0.2</v>
      </c>
      <c r="F75" s="2855">
        <v>25</v>
      </c>
    </row>
    <row r="76" spans="1:7" ht="24">
      <c r="A76" s="2855">
        <v>2</v>
      </c>
      <c r="B76" s="3489"/>
      <c r="C76" s="2829" t="s">
        <v>2651</v>
      </c>
      <c r="D76" s="2829" t="s">
        <v>2652</v>
      </c>
      <c r="E76" s="2855">
        <v>0.2</v>
      </c>
      <c r="F76" s="2855">
        <v>25</v>
      </c>
    </row>
    <row r="77" spans="1:7" ht="24">
      <c r="A77" s="2855">
        <v>3</v>
      </c>
      <c r="B77" s="3489"/>
      <c r="C77" s="2829" t="s">
        <v>2653</v>
      </c>
      <c r="D77" s="2829" t="s">
        <v>2654</v>
      </c>
      <c r="E77" s="2855">
        <v>0.2</v>
      </c>
      <c r="F77" s="2855">
        <v>25</v>
      </c>
    </row>
    <row r="78" spans="1:7" ht="13.5">
      <c r="A78" s="2855">
        <v>4</v>
      </c>
      <c r="B78" s="3489"/>
      <c r="C78" s="2829" t="s">
        <v>2655</v>
      </c>
      <c r="D78" s="2829" t="s">
        <v>2656</v>
      </c>
      <c r="E78" s="2855">
        <v>0.15</v>
      </c>
      <c r="F78" s="2855">
        <v>20</v>
      </c>
    </row>
    <row r="79" spans="1:7" ht="24">
      <c r="A79" s="2855">
        <v>5</v>
      </c>
      <c r="B79" s="3489"/>
      <c r="C79" s="2829" t="s">
        <v>2657</v>
      </c>
      <c r="D79" s="2829" t="s">
        <v>2658</v>
      </c>
      <c r="E79" s="2855">
        <v>0.15</v>
      </c>
      <c r="F79" s="2855">
        <v>20</v>
      </c>
    </row>
    <row r="80" spans="1:7" ht="24">
      <c r="A80" s="2855">
        <v>6</v>
      </c>
      <c r="B80" s="3489"/>
      <c r="C80" s="2829" t="s">
        <v>2659</v>
      </c>
      <c r="D80" s="2829" t="s">
        <v>2660</v>
      </c>
      <c r="E80" s="2855">
        <v>0.15</v>
      </c>
      <c r="F80" s="2855">
        <v>20</v>
      </c>
    </row>
    <row r="81" spans="1:6" ht="24">
      <c r="A81" s="2855">
        <v>7</v>
      </c>
      <c r="B81" s="3489"/>
      <c r="C81" s="2829" t="s">
        <v>2661</v>
      </c>
      <c r="D81" s="2829" t="s">
        <v>2662</v>
      </c>
      <c r="E81" s="2855">
        <v>0.15</v>
      </c>
      <c r="F81" s="2855">
        <v>20</v>
      </c>
    </row>
    <row r="82" spans="1:6" ht="24">
      <c r="A82" s="2855">
        <v>8</v>
      </c>
      <c r="B82" s="3489"/>
      <c r="C82" s="2829" t="s">
        <v>2663</v>
      </c>
      <c r="D82" s="2829" t="s">
        <v>2664</v>
      </c>
      <c r="E82" s="2855">
        <v>0.1</v>
      </c>
      <c r="F82" s="2855">
        <v>15</v>
      </c>
    </row>
    <row r="83" spans="1:6" ht="24">
      <c r="A83" s="2855">
        <v>9</v>
      </c>
      <c r="B83" s="3489"/>
      <c r="C83" s="2829" t="s">
        <v>2665</v>
      </c>
      <c r="D83" s="2829" t="s">
        <v>2666</v>
      </c>
      <c r="E83" s="2855">
        <v>0.1</v>
      </c>
      <c r="F83" s="2855">
        <v>15</v>
      </c>
    </row>
    <row r="84" spans="1:6" ht="24">
      <c r="A84" s="2855">
        <v>10</v>
      </c>
      <c r="B84" s="3489"/>
      <c r="C84" s="2829" t="s">
        <v>2667</v>
      </c>
      <c r="D84" s="2829" t="s">
        <v>2668</v>
      </c>
      <c r="E84" s="2855">
        <v>0.1</v>
      </c>
      <c r="F84" s="2855">
        <v>15</v>
      </c>
    </row>
    <row r="85" spans="1:6" ht="24">
      <c r="A85" s="2855">
        <v>11</v>
      </c>
      <c r="B85" s="3489"/>
      <c r="C85" s="2829" t="s">
        <v>2669</v>
      </c>
      <c r="D85" s="2829" t="s">
        <v>2670</v>
      </c>
      <c r="E85" s="2855">
        <v>0.1</v>
      </c>
      <c r="F85" s="2855">
        <v>15</v>
      </c>
    </row>
    <row r="86" spans="1:6" ht="24">
      <c r="A86" s="2855">
        <v>12</v>
      </c>
      <c r="B86" s="3489"/>
      <c r="C86" s="2829" t="s">
        <v>2671</v>
      </c>
      <c r="D86" s="2829" t="s">
        <v>2672</v>
      </c>
      <c r="E86" s="2855">
        <v>0.1</v>
      </c>
      <c r="F86" s="2855">
        <v>15</v>
      </c>
    </row>
    <row r="87" spans="1:6" ht="13.5">
      <c r="A87" s="2855">
        <v>13</v>
      </c>
      <c r="B87" s="3489"/>
      <c r="C87" s="2829" t="s">
        <v>2673</v>
      </c>
      <c r="D87" s="2829" t="s">
        <v>2674</v>
      </c>
      <c r="E87" s="2855">
        <v>0.1</v>
      </c>
      <c r="F87" s="2855">
        <v>15</v>
      </c>
    </row>
    <row r="88" spans="1:6" ht="13.5">
      <c r="A88" s="2855">
        <v>14</v>
      </c>
      <c r="B88" s="3489"/>
      <c r="C88" s="2829" t="s">
        <v>2675</v>
      </c>
      <c r="D88" s="2829" t="s">
        <v>2676</v>
      </c>
      <c r="E88" s="2855">
        <v>0.1</v>
      </c>
      <c r="F88" s="2855">
        <v>15</v>
      </c>
    </row>
    <row r="89" spans="1:6" ht="13.5">
      <c r="A89" s="2855">
        <v>15</v>
      </c>
      <c r="B89" s="3489"/>
      <c r="C89" s="2829" t="s">
        <v>2677</v>
      </c>
      <c r="D89" s="2829" t="s">
        <v>2678</v>
      </c>
      <c r="E89" s="2855">
        <v>0.1</v>
      </c>
      <c r="F89" s="2855">
        <v>15</v>
      </c>
    </row>
    <row r="90" spans="1:6" ht="24">
      <c r="A90" s="2855">
        <v>16</v>
      </c>
      <c r="B90" s="3489"/>
      <c r="C90" s="2829" t="s">
        <v>2679</v>
      </c>
      <c r="D90" s="2829" t="s">
        <v>2680</v>
      </c>
      <c r="E90" s="2855">
        <v>0.1</v>
      </c>
      <c r="F90" s="2855">
        <v>15</v>
      </c>
    </row>
    <row r="91" spans="1:6" ht="24">
      <c r="A91" s="2855">
        <v>17</v>
      </c>
      <c r="B91" s="3488"/>
      <c r="C91" s="2829" t="s">
        <v>2681</v>
      </c>
      <c r="D91" s="2829" t="s">
        <v>2682</v>
      </c>
      <c r="E91" s="2855">
        <v>0.1</v>
      </c>
      <c r="F91" s="2855">
        <v>15</v>
      </c>
    </row>
    <row r="92" spans="1:6" ht="13.5">
      <c r="A92" s="2855">
        <v>18</v>
      </c>
      <c r="B92" s="3487" t="s">
        <v>2683</v>
      </c>
      <c r="C92" s="2829" t="s">
        <v>2684</v>
      </c>
      <c r="D92" s="2829" t="s">
        <v>2685</v>
      </c>
      <c r="E92" s="2855">
        <v>0.2</v>
      </c>
      <c r="F92" s="2855">
        <v>25</v>
      </c>
    </row>
    <row r="93" spans="1:6" ht="24">
      <c r="A93" s="2855">
        <v>19</v>
      </c>
      <c r="B93" s="3489"/>
      <c r="C93" s="2829" t="s">
        <v>2686</v>
      </c>
      <c r="D93" s="2829" t="s">
        <v>2687</v>
      </c>
      <c r="E93" s="2855">
        <v>0.2</v>
      </c>
      <c r="F93" s="2855">
        <v>25</v>
      </c>
    </row>
    <row r="94" spans="1:6" ht="13.5">
      <c r="A94" s="2855">
        <v>20</v>
      </c>
      <c r="B94" s="3489"/>
      <c r="C94" s="2829" t="s">
        <v>2688</v>
      </c>
      <c r="D94" s="2829" t="s">
        <v>2689</v>
      </c>
      <c r="E94" s="2855">
        <v>0.15</v>
      </c>
      <c r="F94" s="2855">
        <v>20</v>
      </c>
    </row>
    <row r="95" spans="1:6" ht="13.5">
      <c r="A95" s="2855">
        <v>21</v>
      </c>
      <c r="B95" s="3489"/>
      <c r="C95" s="2829" t="s">
        <v>2690</v>
      </c>
      <c r="D95" s="2829" t="s">
        <v>2691</v>
      </c>
      <c r="E95" s="2855">
        <v>0.15</v>
      </c>
      <c r="F95" s="2855">
        <v>20</v>
      </c>
    </row>
    <row r="96" spans="1:6" ht="13.5">
      <c r="A96" s="2855">
        <v>22</v>
      </c>
      <c r="B96" s="3489"/>
      <c r="C96" s="2829" t="s">
        <v>2692</v>
      </c>
      <c r="D96" s="2829" t="s">
        <v>2693</v>
      </c>
      <c r="E96" s="2855">
        <v>0.15</v>
      </c>
      <c r="F96" s="2855">
        <v>20</v>
      </c>
    </row>
    <row r="97" spans="1:6" ht="36">
      <c r="A97" s="2855">
        <v>23</v>
      </c>
      <c r="B97" s="3489"/>
      <c r="C97" s="2829" t="s">
        <v>2694</v>
      </c>
      <c r="D97" s="2829" t="s">
        <v>2695</v>
      </c>
      <c r="E97" s="2855">
        <v>0.15</v>
      </c>
      <c r="F97" s="2855">
        <v>20</v>
      </c>
    </row>
    <row r="98" spans="1:6" ht="13.5">
      <c r="A98" s="2855">
        <v>24</v>
      </c>
      <c r="B98" s="3489"/>
      <c r="C98" s="2829" t="s">
        <v>2696</v>
      </c>
      <c r="D98" s="2829" t="s">
        <v>2697</v>
      </c>
      <c r="E98" s="2855">
        <v>0.1</v>
      </c>
      <c r="F98" s="2855">
        <v>15</v>
      </c>
    </row>
    <row r="99" spans="1:6" ht="13.5">
      <c r="A99" s="2855">
        <v>25</v>
      </c>
      <c r="B99" s="3489"/>
      <c r="C99" s="2829" t="s">
        <v>2698</v>
      </c>
      <c r="D99" s="2829" t="s">
        <v>2699</v>
      </c>
      <c r="E99" s="2855">
        <v>0.1</v>
      </c>
      <c r="F99" s="2855">
        <v>15</v>
      </c>
    </row>
    <row r="100" spans="1:6" ht="24">
      <c r="A100" s="2855">
        <v>26</v>
      </c>
      <c r="B100" s="3489"/>
      <c r="C100" s="2829" t="s">
        <v>2700</v>
      </c>
      <c r="D100" s="2829" t="s">
        <v>2701</v>
      </c>
      <c r="E100" s="2855">
        <v>0.1</v>
      </c>
      <c r="F100" s="2855">
        <v>15</v>
      </c>
    </row>
    <row r="101" spans="1:6" ht="24">
      <c r="A101" s="2855">
        <v>27</v>
      </c>
      <c r="B101" s="3489"/>
      <c r="C101" s="2829" t="s">
        <v>2702</v>
      </c>
      <c r="D101" s="2829" t="s">
        <v>2703</v>
      </c>
      <c r="E101" s="2855">
        <v>0.1</v>
      </c>
      <c r="F101" s="2855">
        <v>15</v>
      </c>
    </row>
    <row r="102" spans="1:6" ht="13.5">
      <c r="A102" s="2855">
        <v>28</v>
      </c>
      <c r="B102" s="3489"/>
      <c r="C102" s="2829" t="s">
        <v>2704</v>
      </c>
      <c r="D102" s="2829" t="s">
        <v>2705</v>
      </c>
      <c r="E102" s="2855">
        <v>0.1</v>
      </c>
      <c r="F102" s="2855">
        <v>15</v>
      </c>
    </row>
    <row r="103" spans="1:6" ht="13.5">
      <c r="A103" s="2855">
        <v>29</v>
      </c>
      <c r="B103" s="3489"/>
      <c r="C103" s="2829" t="s">
        <v>2706</v>
      </c>
      <c r="D103" s="2829" t="s">
        <v>2707</v>
      </c>
      <c r="E103" s="2855">
        <v>0.1</v>
      </c>
      <c r="F103" s="2855">
        <v>15</v>
      </c>
    </row>
    <row r="104" spans="1:6" ht="13.5">
      <c r="A104" s="2855">
        <v>30</v>
      </c>
      <c r="B104" s="3489"/>
      <c r="C104" s="2829" t="s">
        <v>2708</v>
      </c>
      <c r="D104" s="2829" t="s">
        <v>2709</v>
      </c>
      <c r="E104" s="2855">
        <v>0.1</v>
      </c>
      <c r="F104" s="2855">
        <v>15</v>
      </c>
    </row>
    <row r="105" spans="1:6" ht="24">
      <c r="A105" s="2855">
        <v>31</v>
      </c>
      <c r="B105" s="3489"/>
      <c r="C105" s="2829" t="s">
        <v>2710</v>
      </c>
      <c r="D105" s="2829" t="s">
        <v>2711</v>
      </c>
      <c r="E105" s="2855">
        <v>0.1</v>
      </c>
      <c r="F105" s="2855">
        <v>15</v>
      </c>
    </row>
    <row r="106" spans="1:6" ht="24">
      <c r="A106" s="2855">
        <v>32</v>
      </c>
      <c r="B106" s="3489"/>
      <c r="C106" s="2829" t="s">
        <v>2712</v>
      </c>
      <c r="D106" s="2829" t="s">
        <v>2713</v>
      </c>
      <c r="E106" s="2855">
        <v>0.1</v>
      </c>
      <c r="F106" s="2855">
        <v>15</v>
      </c>
    </row>
    <row r="107" spans="1:6" ht="24">
      <c r="A107" s="2855">
        <v>33</v>
      </c>
      <c r="B107" s="3489"/>
      <c r="C107" s="2829" t="s">
        <v>2714</v>
      </c>
      <c r="D107" s="2829" t="s">
        <v>2715</v>
      </c>
      <c r="E107" s="2855">
        <v>0.1</v>
      </c>
      <c r="F107" s="2855">
        <v>15</v>
      </c>
    </row>
    <row r="108" spans="1:6" ht="24">
      <c r="A108" s="2855">
        <v>34</v>
      </c>
      <c r="B108" s="3488"/>
      <c r="C108" s="2829" t="s">
        <v>2716</v>
      </c>
      <c r="D108" s="2829" t="s">
        <v>2717</v>
      </c>
      <c r="E108" s="2855">
        <v>0.1</v>
      </c>
      <c r="F108" s="2855">
        <v>15</v>
      </c>
    </row>
    <row r="109" spans="1:6" ht="24">
      <c r="A109" s="2855">
        <v>35</v>
      </c>
      <c r="B109" s="3487" t="s">
        <v>2718</v>
      </c>
      <c r="C109" s="2855" t="s">
        <v>2719</v>
      </c>
      <c r="D109" s="2829" t="s">
        <v>2720</v>
      </c>
      <c r="E109" s="2855">
        <v>0.15</v>
      </c>
      <c r="F109" s="2855">
        <v>20</v>
      </c>
    </row>
    <row r="110" spans="1:6" ht="13.5">
      <c r="A110" s="2855">
        <v>36</v>
      </c>
      <c r="B110" s="3489"/>
      <c r="C110" s="2855" t="s">
        <v>2721</v>
      </c>
      <c r="D110" s="2829" t="s">
        <v>2722</v>
      </c>
      <c r="E110" s="2855">
        <v>0.15</v>
      </c>
      <c r="F110" s="2855">
        <v>20</v>
      </c>
    </row>
    <row r="111" spans="1:6" ht="13.5">
      <c r="A111" s="2855">
        <v>37</v>
      </c>
      <c r="B111" s="3489"/>
      <c r="C111" s="2855" t="s">
        <v>2723</v>
      </c>
      <c r="D111" s="2829" t="s">
        <v>2724</v>
      </c>
      <c r="E111" s="2855">
        <v>0.15</v>
      </c>
      <c r="F111" s="2855">
        <v>20</v>
      </c>
    </row>
    <row r="112" spans="1:6" ht="13.5">
      <c r="A112" s="2855">
        <v>38</v>
      </c>
      <c r="B112" s="3489"/>
      <c r="C112" s="2855" t="s">
        <v>2725</v>
      </c>
      <c r="D112" s="2829" t="s">
        <v>2726</v>
      </c>
      <c r="E112" s="2855">
        <v>0.1</v>
      </c>
      <c r="F112" s="2855">
        <v>15</v>
      </c>
    </row>
    <row r="113" spans="1:6" ht="24">
      <c r="A113" s="2855">
        <v>39</v>
      </c>
      <c r="B113" s="3489"/>
      <c r="C113" s="2855" t="s">
        <v>2727</v>
      </c>
      <c r="D113" s="2829" t="s">
        <v>2728</v>
      </c>
      <c r="E113" s="2855">
        <v>0.1</v>
      </c>
      <c r="F113" s="2855">
        <v>15</v>
      </c>
    </row>
    <row r="114" spans="1:6" ht="24">
      <c r="A114" s="2855">
        <v>40</v>
      </c>
      <c r="B114" s="3488"/>
      <c r="C114" s="2855" t="s">
        <v>2729</v>
      </c>
      <c r="D114" s="2829" t="s">
        <v>2730</v>
      </c>
      <c r="E114" s="2855">
        <v>0.1</v>
      </c>
      <c r="F114" s="2855">
        <v>15</v>
      </c>
    </row>
    <row r="115" spans="1:6" ht="13.5">
      <c r="A115" s="2855">
        <v>41</v>
      </c>
      <c r="B115" s="3486" t="s">
        <v>2731</v>
      </c>
      <c r="C115" s="2855" t="s">
        <v>2732</v>
      </c>
      <c r="D115" s="2829" t="s">
        <v>2733</v>
      </c>
      <c r="E115" s="2855">
        <v>0.1</v>
      </c>
      <c r="F115" s="2855">
        <v>15</v>
      </c>
    </row>
    <row r="116" spans="1:6" ht="13.5">
      <c r="A116" s="2855">
        <v>42</v>
      </c>
      <c r="B116" s="3486"/>
      <c r="C116" s="2855" t="s">
        <v>2734</v>
      </c>
      <c r="D116" s="2829" t="s">
        <v>2735</v>
      </c>
      <c r="E116" s="2855">
        <v>0.1</v>
      </c>
      <c r="F116" s="2855">
        <v>15</v>
      </c>
    </row>
    <row r="117" spans="1:6" ht="24">
      <c r="A117" s="2855">
        <v>43</v>
      </c>
      <c r="B117" s="3486"/>
      <c r="C117" s="2855" t="s">
        <v>2736</v>
      </c>
      <c r="D117" s="2829" t="s">
        <v>2737</v>
      </c>
      <c r="E117" s="2855">
        <v>0.1</v>
      </c>
      <c r="F117" s="2855">
        <v>15</v>
      </c>
    </row>
    <row r="118" spans="1:6" ht="13.5">
      <c r="A118" s="2855">
        <v>44</v>
      </c>
      <c r="B118" s="3487" t="s">
        <v>2738</v>
      </c>
      <c r="C118" s="2855" t="s">
        <v>2739</v>
      </c>
      <c r="D118" s="2829" t="s">
        <v>2740</v>
      </c>
      <c r="E118" s="2855">
        <v>0.1</v>
      </c>
      <c r="F118" s="2855">
        <v>15</v>
      </c>
    </row>
    <row r="119" spans="1:6" ht="24">
      <c r="A119" s="2855">
        <v>45</v>
      </c>
      <c r="B119" s="3488"/>
      <c r="C119" s="2829" t="s">
        <v>2741</v>
      </c>
      <c r="D119" s="2829" t="s">
        <v>2742</v>
      </c>
      <c r="E119" s="2855">
        <v>0.1</v>
      </c>
      <c r="F119" s="2855">
        <v>15</v>
      </c>
    </row>
    <row r="120" spans="1:6" ht="24">
      <c r="A120" s="2855">
        <v>46</v>
      </c>
      <c r="B120" s="3487" t="s">
        <v>2743</v>
      </c>
      <c r="C120" s="2855" t="s">
        <v>2744</v>
      </c>
      <c r="D120" s="2829" t="s">
        <v>2745</v>
      </c>
      <c r="E120" s="2855">
        <v>0.1</v>
      </c>
      <c r="F120" s="2855">
        <v>15</v>
      </c>
    </row>
    <row r="121" spans="1:6" ht="24">
      <c r="A121" s="2855">
        <v>47</v>
      </c>
      <c r="B121" s="3488"/>
      <c r="C121" s="2855" t="s">
        <v>2746</v>
      </c>
      <c r="D121" s="2829" t="s">
        <v>2747</v>
      </c>
      <c r="E121" s="2855">
        <v>0.1</v>
      </c>
      <c r="F121" s="2855">
        <v>15</v>
      </c>
    </row>
    <row r="122" spans="1:6" ht="13.5">
      <c r="A122" s="2855">
        <v>48</v>
      </c>
      <c r="B122" s="3487" t="s">
        <v>2748</v>
      </c>
      <c r="C122" s="2855" t="s">
        <v>2749</v>
      </c>
      <c r="D122" s="2829" t="s">
        <v>2750</v>
      </c>
      <c r="E122" s="2855">
        <v>0.1</v>
      </c>
      <c r="F122" s="2855">
        <v>15</v>
      </c>
    </row>
    <row r="123" spans="1:6" ht="13.5">
      <c r="A123" s="2855">
        <v>49</v>
      </c>
      <c r="B123" s="3488"/>
      <c r="C123" s="2855" t="s">
        <v>2751</v>
      </c>
      <c r="D123" s="2829" t="s">
        <v>2752</v>
      </c>
      <c r="E123" s="2855">
        <v>0.1</v>
      </c>
      <c r="F123" s="2855">
        <v>15</v>
      </c>
    </row>
    <row r="124" spans="1:6" ht="24">
      <c r="A124" s="2855">
        <v>50</v>
      </c>
      <c r="B124" s="3486" t="s">
        <v>2753</v>
      </c>
      <c r="C124" s="2855" t="s">
        <v>2754</v>
      </c>
      <c r="D124" s="2829" t="s">
        <v>2755</v>
      </c>
      <c r="E124" s="2855">
        <v>0.1</v>
      </c>
      <c r="F124" s="2855">
        <v>15</v>
      </c>
    </row>
    <row r="125" spans="1:6" ht="24">
      <c r="A125" s="2855">
        <v>51</v>
      </c>
      <c r="B125" s="3486"/>
      <c r="C125" s="2855" t="s">
        <v>2756</v>
      </c>
      <c r="D125" s="2829" t="s">
        <v>2757</v>
      </c>
      <c r="E125" s="2855">
        <v>0.1</v>
      </c>
      <c r="F125" s="2855">
        <v>15</v>
      </c>
    </row>
    <row r="126" spans="1:6" ht="24">
      <c r="A126" s="2855">
        <v>52</v>
      </c>
      <c r="B126" s="3486" t="s">
        <v>2758</v>
      </c>
      <c r="C126" s="2855" t="s">
        <v>2759</v>
      </c>
      <c r="D126" s="2829" t="s">
        <v>2760</v>
      </c>
      <c r="E126" s="2855">
        <v>0.1</v>
      </c>
      <c r="F126" s="2855">
        <v>15</v>
      </c>
    </row>
    <row r="127" spans="1:6" ht="24">
      <c r="A127" s="2855">
        <v>53</v>
      </c>
      <c r="B127" s="3486"/>
      <c r="C127" s="2855" t="s">
        <v>2761</v>
      </c>
      <c r="D127" s="2829" t="s">
        <v>2762</v>
      </c>
      <c r="E127" s="2855">
        <v>0.1</v>
      </c>
      <c r="F127" s="2855">
        <v>15</v>
      </c>
    </row>
    <row r="128" spans="1:6" ht="13.5">
      <c r="A128" s="2855">
        <v>54</v>
      </c>
      <c r="B128" s="2855" t="s">
        <v>2763</v>
      </c>
      <c r="C128" s="2855" t="s">
        <v>2764</v>
      </c>
      <c r="D128" s="2829" t="s">
        <v>2765</v>
      </c>
      <c r="E128" s="2855">
        <v>0.1</v>
      </c>
      <c r="F128" s="2855">
        <v>15</v>
      </c>
    </row>
    <row r="129" spans="1:6" ht="13.5">
      <c r="A129" s="2855">
        <v>55</v>
      </c>
      <c r="B129" s="3486" t="s">
        <v>2766</v>
      </c>
      <c r="C129" s="2855" t="s">
        <v>2767</v>
      </c>
      <c r="D129" s="2829" t="s">
        <v>2768</v>
      </c>
      <c r="E129" s="2855">
        <v>0.1</v>
      </c>
      <c r="F129" s="2855">
        <v>15</v>
      </c>
    </row>
    <row r="130" spans="1:6" ht="13.5">
      <c r="A130" s="2855">
        <v>56</v>
      </c>
      <c r="B130" s="3486"/>
      <c r="C130" s="2855" t="s">
        <v>2769</v>
      </c>
      <c r="D130" s="2829" t="s">
        <v>2770</v>
      </c>
      <c r="E130" s="2855">
        <v>0.1</v>
      </c>
      <c r="F130" s="2855">
        <v>15</v>
      </c>
    </row>
    <row r="131" spans="1:6" ht="24">
      <c r="A131" s="2855">
        <v>57</v>
      </c>
      <c r="B131" s="3486"/>
      <c r="C131" s="2855" t="s">
        <v>2771</v>
      </c>
      <c r="D131" s="2829" t="s">
        <v>2772</v>
      </c>
      <c r="E131" s="2855">
        <v>0.1</v>
      </c>
      <c r="F131" s="2855">
        <v>15</v>
      </c>
    </row>
    <row r="132" spans="1:6" ht="24">
      <c r="A132" s="2855">
        <v>58</v>
      </c>
      <c r="B132" s="3486" t="s">
        <v>2773</v>
      </c>
      <c r="C132" s="2855" t="s">
        <v>2774</v>
      </c>
      <c r="D132" s="2829" t="s">
        <v>2775</v>
      </c>
      <c r="E132" s="2855">
        <v>0.1</v>
      </c>
      <c r="F132" s="2855">
        <v>15</v>
      </c>
    </row>
    <row r="133" spans="1:6" ht="13.5">
      <c r="A133" s="2855">
        <v>59</v>
      </c>
      <c r="B133" s="3486"/>
      <c r="C133" s="2855" t="s">
        <v>2776</v>
      </c>
      <c r="D133" s="2829" t="s">
        <v>2777</v>
      </c>
      <c r="E133" s="2855">
        <v>0.1</v>
      </c>
      <c r="F133" s="2855">
        <v>15</v>
      </c>
    </row>
    <row r="134" spans="1:6" ht="13.5">
      <c r="A134" s="2855">
        <v>60</v>
      </c>
      <c r="B134" s="3487" t="s">
        <v>2778</v>
      </c>
      <c r="C134" s="2855" t="s">
        <v>2779</v>
      </c>
      <c r="D134" s="2829" t="s">
        <v>2780</v>
      </c>
      <c r="E134" s="2855">
        <v>0.1</v>
      </c>
      <c r="F134" s="2855">
        <v>15</v>
      </c>
    </row>
    <row r="135" spans="1:6" ht="13.5">
      <c r="A135" s="2855">
        <v>61</v>
      </c>
      <c r="B135" s="3488"/>
      <c r="C135" s="2855" t="s">
        <v>2781</v>
      </c>
      <c r="D135" s="2829" t="s">
        <v>2782</v>
      </c>
      <c r="E135" s="2855">
        <v>0.1</v>
      </c>
      <c r="F135" s="2855">
        <v>15</v>
      </c>
    </row>
    <row r="136" spans="1:6" ht="24">
      <c r="A136" s="2855">
        <v>62</v>
      </c>
      <c r="B136" s="2855" t="s">
        <v>2783</v>
      </c>
      <c r="C136" s="2855" t="s">
        <v>2784</v>
      </c>
      <c r="D136" s="2829" t="s">
        <v>2785</v>
      </c>
      <c r="E136" s="2855">
        <v>0.1</v>
      </c>
      <c r="F136" s="2855">
        <v>15</v>
      </c>
    </row>
    <row r="137" spans="1:6" ht="13.5">
      <c r="A137" s="2855">
        <v>63</v>
      </c>
      <c r="B137" s="3486" t="s">
        <v>2786</v>
      </c>
      <c r="C137" s="2855" t="s">
        <v>2787</v>
      </c>
      <c r="D137" s="2829" t="s">
        <v>2788</v>
      </c>
      <c r="E137" s="2855">
        <v>0.1</v>
      </c>
      <c r="F137" s="2855">
        <v>15</v>
      </c>
    </row>
    <row r="138" spans="1:6" ht="13.5">
      <c r="A138" s="2855">
        <v>64</v>
      </c>
      <c r="B138" s="3486"/>
      <c r="C138" s="2855" t="s">
        <v>2789</v>
      </c>
      <c r="D138" s="2829" t="s">
        <v>2790</v>
      </c>
      <c r="E138" s="2855">
        <v>0.1</v>
      </c>
      <c r="F138" s="2855">
        <v>15</v>
      </c>
    </row>
    <row r="139" spans="1:6" ht="13.5">
      <c r="A139" s="2855">
        <v>65</v>
      </c>
      <c r="B139" s="2855" t="s">
        <v>2791</v>
      </c>
      <c r="C139" s="2855" t="s">
        <v>2792</v>
      </c>
      <c r="D139" s="2829" t="s">
        <v>2793</v>
      </c>
      <c r="E139" s="2855">
        <v>0.1</v>
      </c>
      <c r="F139" s="2855">
        <v>15</v>
      </c>
    </row>
    <row r="140" spans="1:6" ht="13.5">
      <c r="A140" s="2855"/>
      <c r="B140" s="2855"/>
      <c r="C140" s="2855"/>
      <c r="D140" s="2855"/>
      <c r="E140" s="2855" t="s">
        <v>2794</v>
      </c>
      <c r="F140" s="2855"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2795</v>
      </c>
      <c r="B1" s="2863"/>
      <c r="C1" s="2863"/>
      <c r="D1" s="2863"/>
      <c r="E1" s="2863"/>
      <c r="F1" s="2863"/>
      <c r="G1" s="2863"/>
      <c r="H1" s="2863"/>
      <c r="I1" s="2863"/>
      <c r="J1" s="2863"/>
      <c r="K1" s="2863"/>
      <c r="L1" s="2863"/>
      <c r="M1" s="2863"/>
      <c r="N1" s="705"/>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SUMPRODUCT((A95:A184=ROUNDDOWN('基准地价修正-商业'!G3,1))*(B94:M94='基准地价修正-商业'!G2)*(B95:M184))</f>
        <v>0.83530000000000004</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SUMPRODUCT((A371:A460=ROUNDDOWN('基准地价修正-商业'!G3,1))*(B370:M370='基准地价修正-商业'!G2)*(B371:M460))</f>
        <v>0.79449999999999998</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47660</v>
      </c>
      <c r="C2" s="2" t="s">
        <v>106</v>
      </c>
      <c r="D2" s="191"/>
      <c r="E2" s="191"/>
      <c r="F2" s="191"/>
      <c r="G2" s="191"/>
    </row>
    <row r="3" spans="1:7" s="192" customFormat="1" ht="18" customHeight="1" thickBot="1">
      <c r="A3" s="195" t="s">
        <v>58</v>
      </c>
      <c r="B3" s="196">
        <f ca="1">ROUND(B2*10000/'数据-汇总表'!E3,0)</f>
        <v>11395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0</v>
      </c>
      <c r="F9" s="213"/>
      <c r="G9" s="218"/>
    </row>
    <row r="10" spans="1:7" s="206" customFormat="1" ht="13.5" customHeight="1">
      <c r="A10" s="731" t="s">
        <v>356</v>
      </c>
      <c r="B10" s="216" t="s">
        <v>67</v>
      </c>
      <c r="C10" s="217">
        <f>ROUND(D10*E10/10000,0)</f>
        <v>837</v>
      </c>
      <c r="D10" s="793">
        <f>'数据-汇总表'!E6</f>
        <v>41825.5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837</v>
      </c>
      <c r="D19" s="204">
        <f>'数据-汇总表'!E3</f>
        <v>41825.5</v>
      </c>
      <c r="E19" s="203">
        <f>'数据-取费表'!B31</f>
        <v>200</v>
      </c>
      <c r="F19" s="223"/>
      <c r="G19" s="1" t="s">
        <v>436</v>
      </c>
    </row>
    <row r="20" spans="1:7" s="206" customFormat="1" ht="13.5" customHeight="1">
      <c r="A20" s="729" t="s">
        <v>419</v>
      </c>
      <c r="B20" s="202" t="s">
        <v>77</v>
      </c>
      <c r="C20" s="224">
        <f>ROUND((C5+C19)*F20,0)</f>
        <v>429</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2008</v>
      </c>
      <c r="D22" s="227">
        <f ca="1">C26</f>
        <v>8.9999999999999998E-4</v>
      </c>
      <c r="E22" s="228" t="s">
        <v>99</v>
      </c>
      <c r="F22" s="229">
        <f ca="1">'数据-取费表'!B40</f>
        <v>0.03</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1911</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78</v>
      </c>
      <c r="D24" s="230"/>
      <c r="E24" s="230"/>
      <c r="F24" s="231"/>
      <c r="G24" s="232" t="s">
        <v>82</v>
      </c>
    </row>
    <row r="25" spans="1:7" s="206" customFormat="1" ht="24">
      <c r="A25" s="732" t="s">
        <v>348</v>
      </c>
      <c r="B25" s="207" t="s">
        <v>420</v>
      </c>
      <c r="C25" s="1040">
        <f ca="1">ROUND(IF('数据-取费表'!B22&lt;=1,C20*F22*'数据-取费表'!B23/2,C20*(POWER((1+F22),'数据-取费表'!B23/2)-1)),0)</f>
        <v>19</v>
      </c>
      <c r="D25" s="230"/>
      <c r="E25" s="233"/>
      <c r="F25" s="231"/>
      <c r="G25" s="234" t="s">
        <v>83</v>
      </c>
    </row>
    <row r="26" spans="1:7" s="206" customFormat="1">
      <c r="A26" s="732" t="s">
        <v>350</v>
      </c>
      <c r="B26" s="207" t="s">
        <v>422</v>
      </c>
      <c r="C26" s="230">
        <f ca="1">ROUND(IF('数据-取费表'!B22&lt;=1,F21*F22*'数据-取费表'!B23/2,F21*(POWER((1+F22),'数据-取费表'!B23/2)-1)),4)</f>
        <v>8.9999999999999998E-4</v>
      </c>
      <c r="D26" s="230"/>
      <c r="E26" s="233"/>
      <c r="F26" s="231"/>
      <c r="G26" s="235"/>
    </row>
    <row r="27" spans="1:7" s="206" customFormat="1" ht="24.75">
      <c r="A27" s="729" t="s">
        <v>342</v>
      </c>
      <c r="B27" s="236" t="s">
        <v>85</v>
      </c>
      <c r="C27" s="237">
        <f>C28</f>
        <v>1531</v>
      </c>
      <c r="D27" s="227">
        <f>C29</f>
        <v>1.4E-3</v>
      </c>
      <c r="E27" s="228" t="s">
        <v>99</v>
      </c>
      <c r="F27" s="238">
        <f>'数据-取费表'!Q16</f>
        <v>7.0000000000000007E-2</v>
      </c>
      <c r="G27" s="239" t="s">
        <v>431</v>
      </c>
    </row>
    <row r="28" spans="1:7" s="206" customFormat="1" ht="13.5" customHeight="1">
      <c r="A28" s="732" t="s">
        <v>349</v>
      </c>
      <c r="B28" s="240" t="s">
        <v>424</v>
      </c>
      <c r="C28" s="241">
        <f>ROUND((C5+C19+C20)*F27*'数据-取费表'!B21/'数据-取费表'!B20,0)</f>
        <v>1531</v>
      </c>
      <c r="D28" s="227"/>
      <c r="E28" s="228"/>
      <c r="F28" s="238"/>
      <c r="G28" s="239"/>
    </row>
    <row r="29" spans="1:7" s="206" customFormat="1" ht="13.5" customHeight="1">
      <c r="A29" s="732" t="s">
        <v>347</v>
      </c>
      <c r="B29" s="240" t="s">
        <v>425</v>
      </c>
      <c r="C29" s="230">
        <f>ROUND(C21*F27*'数据-取费表'!B21/'数据-取费表'!B20,4)</f>
        <v>1.4E-3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27495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17247</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15703</v>
      </c>
      <c r="D34" s="209"/>
      <c r="E34" s="212"/>
      <c r="F34" s="249">
        <f>IF('数据-取费表'!B24=0,1,'数据-取费表'!N16)</f>
        <v>1</v>
      </c>
      <c r="G34" s="211" t="s">
        <v>89</v>
      </c>
    </row>
    <row r="35" spans="1:7" ht="13.5" customHeight="1">
      <c r="A35" s="732" t="s">
        <v>351</v>
      </c>
      <c r="B35" s="207" t="s">
        <v>33</v>
      </c>
      <c r="C35" s="212">
        <f>ROUND(C34*F35,0)</f>
        <v>471</v>
      </c>
      <c r="D35" s="212"/>
      <c r="E35" s="212"/>
      <c r="F35" s="251">
        <f>'数据-取费表'!B33</f>
        <v>0.03</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2" t="s">
        <v>353</v>
      </c>
      <c r="B37" s="207" t="s">
        <v>91</v>
      </c>
      <c r="C37" s="241">
        <f>ROUND(E37*D37*F34/10000,0)</f>
        <v>837</v>
      </c>
      <c r="D37" s="209">
        <f>'数据-汇总表'!E3</f>
        <v>41825.5</v>
      </c>
      <c r="E37" s="241">
        <f>'数据-取费表'!B35</f>
        <v>200</v>
      </c>
      <c r="F37" s="251"/>
      <c r="G37" s="253" t="s">
        <v>92</v>
      </c>
    </row>
    <row r="38" spans="1:7" ht="13.5" customHeight="1">
      <c r="A38" s="732" t="s">
        <v>354</v>
      </c>
      <c r="B38" s="207" t="s">
        <v>36</v>
      </c>
      <c r="C38" s="212">
        <f>ROUND(C34*F38,0)</f>
        <v>236</v>
      </c>
      <c r="D38" s="212"/>
      <c r="E38" s="212"/>
      <c r="F38" s="251">
        <f>'数据-取费表'!B36</f>
        <v>1.4999999999999999E-2</v>
      </c>
      <c r="G38" s="211" t="s">
        <v>90</v>
      </c>
    </row>
    <row r="39" spans="1:7" s="206" customFormat="1" ht="13.5" customHeight="1">
      <c r="A39" s="729" t="s">
        <v>338</v>
      </c>
      <c r="B39" s="202" t="s">
        <v>77</v>
      </c>
      <c r="C39" s="224">
        <f>ROUND(C33*F20,0)</f>
        <v>345</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798</v>
      </c>
      <c r="D41" s="227">
        <f ca="1">C44</f>
        <v>8.9999999999999998E-4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782</v>
      </c>
      <c r="D42" s="230"/>
      <c r="E42" s="230"/>
      <c r="F42" s="231"/>
      <c r="G42" s="3363" t="s">
        <v>94</v>
      </c>
    </row>
    <row r="43" spans="1:7" ht="13.5" customHeight="1">
      <c r="A43" s="732" t="s">
        <v>347</v>
      </c>
      <c r="B43" s="207" t="s">
        <v>426</v>
      </c>
      <c r="C43" s="230">
        <f ca="1">ROUND(IF('数据-取费表'!B22&lt;=1,C39*F22*'数据-取费表'!B21/2,C39*(POWER((1+F22),'数据-取费表'!B21/2)-1)),0)</f>
        <v>16</v>
      </c>
      <c r="D43" s="230"/>
      <c r="E43" s="230"/>
      <c r="F43" s="231"/>
      <c r="G43" s="3364"/>
    </row>
    <row r="44" spans="1:7" ht="13.5" customHeight="1">
      <c r="A44" s="732" t="s">
        <v>348</v>
      </c>
      <c r="B44" s="207" t="s">
        <v>428</v>
      </c>
      <c r="C44" s="230">
        <f ca="1">ROUND(IF('数据-取费表'!B22&lt;=1,C40*F22*'数据-取费表'!B21/2,C40*(POWER((1+F22),'数据-取费表'!B21/2)-1)),4)</f>
        <v>8.9999999999999998E-4</v>
      </c>
      <c r="D44" s="230"/>
      <c r="E44" s="230"/>
      <c r="F44" s="231"/>
      <c r="G44" s="3365"/>
    </row>
    <row r="45" spans="1:7" s="206" customFormat="1" ht="13.5" customHeight="1">
      <c r="A45" s="729" t="s">
        <v>341</v>
      </c>
      <c r="B45" s="236" t="s">
        <v>85</v>
      </c>
      <c r="C45" s="237">
        <f>C46</f>
        <v>1231</v>
      </c>
      <c r="D45" s="227">
        <f>C47</f>
        <v>1.4E-3</v>
      </c>
      <c r="E45" s="228" t="s">
        <v>102</v>
      </c>
      <c r="F45" s="238"/>
      <c r="G45" s="239" t="s">
        <v>434</v>
      </c>
    </row>
    <row r="46" spans="1:7" s="206" customFormat="1" ht="13.5" customHeight="1">
      <c r="A46" s="732" t="s">
        <v>349</v>
      </c>
      <c r="B46" s="240" t="s">
        <v>427</v>
      </c>
      <c r="C46" s="241">
        <f>ROUND((C33+C39)*F27,0)</f>
        <v>1231</v>
      </c>
      <c r="D46" s="255"/>
      <c r="E46" s="228"/>
      <c r="F46" s="238"/>
      <c r="G46" s="239"/>
    </row>
    <row r="47" spans="1:7" s="206" customFormat="1" ht="13.5" customHeight="1">
      <c r="A47" s="732" t="s">
        <v>347</v>
      </c>
      <c r="B47" s="240" t="s">
        <v>429</v>
      </c>
      <c r="C47" s="230">
        <f>ROUND(C40*F27,4)</f>
        <v>1.4E-3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21226</v>
      </c>
      <c r="D49" s="224"/>
      <c r="E49" s="224"/>
      <c r="F49" s="256"/>
      <c r="G49" s="226" t="s">
        <v>435</v>
      </c>
    </row>
    <row r="50" spans="1:7" s="250" customFormat="1" ht="24">
      <c r="A50" s="729" t="s">
        <v>344</v>
      </c>
      <c r="B50" s="202" t="s">
        <v>97</v>
      </c>
      <c r="C50" s="224"/>
      <c r="D50" s="224"/>
      <c r="E50" s="224"/>
      <c r="F50" s="256">
        <f>IF('数据-取费表'!B24=0,'数据-取费表'!N16,1)</f>
        <v>0.95</v>
      </c>
      <c r="G50" s="239" t="s">
        <v>98</v>
      </c>
    </row>
    <row r="51" spans="1:7" ht="16.5" customHeight="1">
      <c r="A51" s="729" t="s">
        <v>345</v>
      </c>
      <c r="B51" s="202" t="s">
        <v>105</v>
      </c>
      <c r="C51" s="224">
        <f ca="1">ROUND(C49*F50,0)</f>
        <v>20165</v>
      </c>
      <c r="D51" s="224"/>
      <c r="E51" s="224"/>
      <c r="F51" s="256"/>
      <c r="G51" s="226" t="s">
        <v>37</v>
      </c>
    </row>
    <row r="52" spans="1:7" s="200" customFormat="1" ht="16.5" thickBot="1">
      <c r="A52" s="257" t="s">
        <v>38</v>
      </c>
      <c r="B52" s="258"/>
      <c r="C52" s="259">
        <f ca="1">C31+C51</f>
        <v>47660</v>
      </c>
      <c r="D52" s="258"/>
      <c r="E52" s="258"/>
      <c r="F52" s="258"/>
      <c r="G52" s="260"/>
    </row>
    <row r="55" spans="1:7" ht="15">
      <c r="B55" s="262" t="s">
        <v>39</v>
      </c>
      <c r="C55" s="263"/>
    </row>
    <row r="56" spans="1:7">
      <c r="B56" s="265" t="s">
        <v>40</v>
      </c>
      <c r="C56" s="266">
        <f ca="1">ROUND(C51/C52,3)</f>
        <v>0.42299999999999999</v>
      </c>
    </row>
    <row r="57" spans="1:7">
      <c r="B57" s="265" t="s">
        <v>41</v>
      </c>
      <c r="C57" s="267">
        <f ca="1">1-C56</f>
        <v>0.57699999999999996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0" t="s">
        <v>3178</v>
      </c>
      <c r="B1" s="3500"/>
    </row>
    <row r="2" spans="1:7" ht="14.25" thickBot="1">
      <c r="A2" s="2966"/>
      <c r="B2" s="2966"/>
    </row>
    <row r="3" spans="1:7" ht="14.25" thickBot="1">
      <c r="A3" s="2966"/>
      <c r="B3" s="2966"/>
      <c r="C3" s="2967" t="s">
        <v>2808</v>
      </c>
      <c r="D3" s="2967" t="s">
        <v>2864</v>
      </c>
      <c r="E3" s="2967" t="s">
        <v>2810</v>
      </c>
      <c r="F3" s="2967" t="s">
        <v>2865</v>
      </c>
      <c r="G3" s="2967" t="s">
        <v>2628</v>
      </c>
    </row>
    <row r="4" spans="1:7" ht="14.25" thickBot="1">
      <c r="A4" s="2968" t="s">
        <v>2863</v>
      </c>
      <c r="B4" s="2969" t="s">
        <v>2869</v>
      </c>
      <c r="C4" s="2967"/>
      <c r="D4" s="2967"/>
      <c r="E4" s="2967"/>
      <c r="F4" s="2967"/>
      <c r="G4" s="2967"/>
    </row>
    <row r="5" spans="1:7">
      <c r="A5" s="2970" t="s">
        <v>2837</v>
      </c>
      <c r="B5" s="2971" t="s">
        <v>2851</v>
      </c>
      <c r="C5" s="2972">
        <v>9.8000000000000004E-2</v>
      </c>
      <c r="D5" s="2972">
        <v>8.6999999999999994E-2</v>
      </c>
      <c r="E5" s="2972">
        <v>8.6999999999999994E-2</v>
      </c>
      <c r="F5" s="2972">
        <v>9.8000000000000004E-2</v>
      </c>
      <c r="G5" s="2973">
        <v>9.5000000000000001E-2</v>
      </c>
    </row>
    <row r="6" spans="1:7">
      <c r="A6" s="2974" t="s">
        <v>144</v>
      </c>
      <c r="B6" s="2975" t="s">
        <v>2866</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2852</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2902</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2920</v>
      </c>
      <c r="C29" s="2984"/>
      <c r="D29" s="2980">
        <v>5.1999999999999998E-2</v>
      </c>
      <c r="E29" s="2980">
        <v>7.0000000000000007E-2</v>
      </c>
      <c r="F29" s="2984"/>
      <c r="G29" s="2982">
        <v>7.0999999999999994E-2</v>
      </c>
    </row>
    <row r="30" spans="1:7">
      <c r="A30" s="2985" t="s">
        <v>296</v>
      </c>
      <c r="B30" s="2971" t="s">
        <v>2853</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2839</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2923</v>
      </c>
      <c r="C50" s="2976">
        <v>9.8000000000000004E-2</v>
      </c>
      <c r="D50" s="2976">
        <v>7.2999999999999995E-2</v>
      </c>
      <c r="E50" s="2976">
        <v>7.0999999999999994E-2</v>
      </c>
      <c r="F50" s="2987"/>
      <c r="G50" s="2977">
        <v>7.2999999999999995E-2</v>
      </c>
    </row>
    <row r="51" spans="1:7">
      <c r="A51" s="2986" t="s">
        <v>296</v>
      </c>
      <c r="B51" s="2975" t="s">
        <v>2925</v>
      </c>
      <c r="C51" s="2976">
        <v>9.9000000000000005E-2</v>
      </c>
      <c r="D51" s="2976">
        <v>8.5000000000000006E-2</v>
      </c>
      <c r="E51" s="2976">
        <v>6.3E-2</v>
      </c>
      <c r="F51" s="2987"/>
      <c r="G51" s="2977">
        <v>9.6000000000000002E-2</v>
      </c>
    </row>
    <row r="52" spans="1:7">
      <c r="A52" s="2986" t="s">
        <v>296</v>
      </c>
      <c r="B52" s="2975" t="s">
        <v>2929</v>
      </c>
      <c r="C52" s="2976">
        <v>7.3999999999999996E-2</v>
      </c>
      <c r="D52" s="2976">
        <v>9.6000000000000002E-2</v>
      </c>
      <c r="E52" s="2976">
        <v>0.05</v>
      </c>
      <c r="F52" s="2987"/>
      <c r="G52" s="2977">
        <v>9.8000000000000004E-2</v>
      </c>
    </row>
    <row r="53" spans="1:7">
      <c r="A53" s="2986" t="s">
        <v>296</v>
      </c>
      <c r="B53" s="2975" t="s">
        <v>2934</v>
      </c>
      <c r="C53" s="2976">
        <v>8.5999999999999993E-2</v>
      </c>
      <c r="D53" s="2987"/>
      <c r="E53" s="2976">
        <v>9.1999999999999998E-2</v>
      </c>
      <c r="F53" s="2987"/>
      <c r="G53" s="2988"/>
    </row>
    <row r="54" spans="1:7" ht="14.25" thickBot="1">
      <c r="A54" s="2989" t="s">
        <v>296</v>
      </c>
      <c r="B54" s="2979" t="s">
        <v>2937</v>
      </c>
      <c r="C54" s="2980">
        <v>9.6000000000000002E-2</v>
      </c>
      <c r="D54" s="2981"/>
      <c r="E54" s="2990"/>
      <c r="F54" s="2981"/>
      <c r="G54" s="2991"/>
    </row>
    <row r="55" spans="1:7">
      <c r="A55" s="2985" t="s">
        <v>110</v>
      </c>
      <c r="B55" s="2971" t="s">
        <v>2854</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2935</v>
      </c>
      <c r="C78" s="2976">
        <v>0.1</v>
      </c>
      <c r="D78" s="2976">
        <v>8.5000000000000006E-2</v>
      </c>
      <c r="E78" s="2976">
        <v>9.6000000000000002E-2</v>
      </c>
      <c r="F78" s="2987"/>
      <c r="G78" s="2977">
        <v>9.6000000000000002E-2</v>
      </c>
    </row>
    <row r="79" spans="1:7">
      <c r="A79" s="2986" t="s">
        <v>110</v>
      </c>
      <c r="B79" s="2975" t="s">
        <v>2938</v>
      </c>
      <c r="C79" s="2976">
        <v>0.05</v>
      </c>
      <c r="D79" s="2976">
        <v>9.6000000000000002E-2</v>
      </c>
      <c r="E79" s="2976">
        <v>9.5000000000000001E-2</v>
      </c>
      <c r="F79" s="2987"/>
      <c r="G79" s="2977">
        <v>9.8000000000000004E-2</v>
      </c>
    </row>
    <row r="80" spans="1:7">
      <c r="A80" s="2986" t="s">
        <v>110</v>
      </c>
      <c r="B80" s="2975" t="s">
        <v>2942</v>
      </c>
      <c r="C80" s="2976">
        <v>8.5999999999999993E-2</v>
      </c>
      <c r="D80" s="2992"/>
      <c r="E80" s="2976">
        <v>0.1</v>
      </c>
      <c r="F80" s="2987"/>
      <c r="G80" s="2988"/>
    </row>
    <row r="81" spans="1:7">
      <c r="A81" s="2986" t="s">
        <v>110</v>
      </c>
      <c r="B81" s="2975" t="s">
        <v>2947</v>
      </c>
      <c r="C81" s="2976">
        <v>9.6000000000000002E-2</v>
      </c>
      <c r="D81" s="2987"/>
      <c r="E81" s="2976">
        <v>9.8000000000000004E-2</v>
      </c>
      <c r="F81" s="2987"/>
      <c r="G81" s="2988"/>
    </row>
    <row r="82" spans="1:7">
      <c r="A82" s="2986" t="s">
        <v>110</v>
      </c>
      <c r="B82" s="2975" t="s">
        <v>2954</v>
      </c>
      <c r="C82" s="2992"/>
      <c r="D82" s="2987"/>
      <c r="E82" s="2976">
        <v>7.6999999999999999E-2</v>
      </c>
      <c r="F82" s="2987"/>
      <c r="G82" s="2988"/>
    </row>
    <row r="83" spans="1:7">
      <c r="A83" s="2986" t="s">
        <v>110</v>
      </c>
      <c r="B83" s="2975" t="s">
        <v>2960</v>
      </c>
      <c r="C83" s="2987"/>
      <c r="D83" s="2987"/>
      <c r="E83" s="2987"/>
      <c r="F83" s="2976">
        <v>0.1</v>
      </c>
      <c r="G83" s="2993"/>
    </row>
    <row r="84" spans="1:7">
      <c r="A84" s="2986" t="s">
        <v>110</v>
      </c>
      <c r="B84" s="2975" t="s">
        <v>2967</v>
      </c>
      <c r="C84" s="2987"/>
      <c r="D84" s="2987"/>
      <c r="E84" s="2987"/>
      <c r="F84" s="2976">
        <v>0.1</v>
      </c>
      <c r="G84" s="2993"/>
    </row>
    <row r="85" spans="1:7">
      <c r="A85" s="2986" t="s">
        <v>110</v>
      </c>
      <c r="B85" s="2975" t="s">
        <v>2974</v>
      </c>
      <c r="C85" s="2987"/>
      <c r="D85" s="2987"/>
      <c r="E85" s="2987"/>
      <c r="F85" s="2976">
        <v>0.1</v>
      </c>
      <c r="G85" s="2993"/>
    </row>
    <row r="86" spans="1:7" ht="14.25" thickBot="1">
      <c r="A86" s="2989" t="s">
        <v>110</v>
      </c>
      <c r="B86" s="2979" t="s">
        <v>2979</v>
      </c>
      <c r="C86" s="2980">
        <v>9.8000000000000004E-2</v>
      </c>
      <c r="D86" s="2980">
        <v>9.8000000000000004E-2</v>
      </c>
      <c r="E86" s="2980">
        <v>9.6000000000000002E-2</v>
      </c>
      <c r="F86" s="2990"/>
      <c r="G86" s="2982">
        <v>0.1</v>
      </c>
    </row>
    <row r="87" spans="1:7">
      <c r="A87" s="2985" t="s">
        <v>303</v>
      </c>
      <c r="B87" s="2971" t="s">
        <v>2855</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2948</v>
      </c>
      <c r="C113" s="2976">
        <v>0.1</v>
      </c>
      <c r="D113" s="2976">
        <v>0.1</v>
      </c>
      <c r="E113" s="2987"/>
      <c r="F113" s="2987"/>
      <c r="G113" s="2977">
        <v>0.1</v>
      </c>
    </row>
    <row r="114" spans="1:7">
      <c r="A114" s="2986" t="s">
        <v>303</v>
      </c>
      <c r="B114" s="2975" t="s">
        <v>2955</v>
      </c>
      <c r="C114" s="2976">
        <v>9.7000000000000003E-2</v>
      </c>
      <c r="D114" s="2976">
        <v>9.7000000000000003E-2</v>
      </c>
      <c r="E114" s="2987"/>
      <c r="F114" s="2987"/>
      <c r="G114" s="2977">
        <v>9.9000000000000005E-2</v>
      </c>
    </row>
    <row r="115" spans="1:7">
      <c r="A115" s="2986" t="s">
        <v>303</v>
      </c>
      <c r="B115" s="2975" t="s">
        <v>2961</v>
      </c>
      <c r="C115" s="2976">
        <v>0.1</v>
      </c>
      <c r="D115" s="2976">
        <v>0.1</v>
      </c>
      <c r="E115" s="2987"/>
      <c r="F115" s="2987"/>
      <c r="G115" s="2977">
        <v>0.1</v>
      </c>
    </row>
    <row r="116" spans="1:7">
      <c r="A116" s="2986" t="s">
        <v>303</v>
      </c>
      <c r="B116" s="2975" t="s">
        <v>2968</v>
      </c>
      <c r="C116" s="2976">
        <v>0.1</v>
      </c>
      <c r="D116" s="2976">
        <v>0.1</v>
      </c>
      <c r="E116" s="2987"/>
      <c r="F116" s="2987"/>
      <c r="G116" s="2977">
        <v>0.1</v>
      </c>
    </row>
    <row r="117" spans="1:7">
      <c r="A117" s="2986" t="s">
        <v>303</v>
      </c>
      <c r="B117" s="2975" t="s">
        <v>2975</v>
      </c>
      <c r="C117" s="2976">
        <v>9.7000000000000003E-2</v>
      </c>
      <c r="D117" s="2976">
        <v>9.7000000000000003E-2</v>
      </c>
      <c r="E117" s="2987"/>
      <c r="F117" s="2987"/>
      <c r="G117" s="2977">
        <v>9.7000000000000003E-2</v>
      </c>
    </row>
    <row r="118" spans="1:7">
      <c r="A118" s="2986" t="s">
        <v>303</v>
      </c>
      <c r="B118" s="2975" t="s">
        <v>2980</v>
      </c>
      <c r="C118" s="2976">
        <v>0.1</v>
      </c>
      <c r="D118" s="2976">
        <v>0.1</v>
      </c>
      <c r="E118" s="2987"/>
      <c r="F118" s="2987"/>
      <c r="G118" s="2977">
        <v>0.1</v>
      </c>
    </row>
    <row r="119" spans="1:7">
      <c r="A119" s="2986" t="s">
        <v>303</v>
      </c>
      <c r="B119" s="2975" t="s">
        <v>2984</v>
      </c>
      <c r="C119" s="2976">
        <v>5.0999999999999997E-2</v>
      </c>
      <c r="D119" s="2976">
        <v>5.1999999999999998E-2</v>
      </c>
      <c r="E119" s="2987"/>
      <c r="F119" s="2992"/>
      <c r="G119" s="2977">
        <v>0.06</v>
      </c>
    </row>
    <row r="120" spans="1:7">
      <c r="A120" s="2986" t="s">
        <v>303</v>
      </c>
      <c r="B120" s="2975" t="s">
        <v>2988</v>
      </c>
      <c r="C120" s="2987"/>
      <c r="D120" s="2987"/>
      <c r="E120" s="2987"/>
      <c r="F120" s="2976">
        <v>0.1</v>
      </c>
      <c r="G120" s="2993"/>
    </row>
    <row r="121" spans="1:7">
      <c r="A121" s="2986" t="s">
        <v>303</v>
      </c>
      <c r="B121" s="2975" t="s">
        <v>2993</v>
      </c>
      <c r="C121" s="2987"/>
      <c r="D121" s="2987"/>
      <c r="E121" s="2987"/>
      <c r="F121" s="2976">
        <v>0.1</v>
      </c>
      <c r="G121" s="2993"/>
    </row>
    <row r="122" spans="1:7">
      <c r="A122" s="2986" t="s">
        <v>303</v>
      </c>
      <c r="B122" s="2975" t="s">
        <v>2998</v>
      </c>
      <c r="C122" s="2976">
        <v>0.1</v>
      </c>
      <c r="D122" s="2976">
        <v>0.1</v>
      </c>
      <c r="E122" s="2976">
        <v>9.8000000000000004E-2</v>
      </c>
      <c r="F122" s="2976">
        <v>0.1</v>
      </c>
      <c r="G122" s="2977">
        <v>0.1</v>
      </c>
    </row>
    <row r="123" spans="1:7">
      <c r="A123" s="2986" t="s">
        <v>303</v>
      </c>
      <c r="B123" s="2975" t="s">
        <v>3003</v>
      </c>
      <c r="C123" s="2976">
        <v>0.1</v>
      </c>
      <c r="D123" s="2976">
        <v>0.1</v>
      </c>
      <c r="E123" s="2976">
        <v>9.8000000000000004E-2</v>
      </c>
      <c r="F123" s="2976">
        <v>0.1</v>
      </c>
      <c r="G123" s="2977">
        <v>0.1</v>
      </c>
    </row>
    <row r="124" spans="1:7">
      <c r="A124" s="2986" t="s">
        <v>303</v>
      </c>
      <c r="B124" s="2975" t="s">
        <v>3008</v>
      </c>
      <c r="C124" s="2976">
        <v>0.1</v>
      </c>
      <c r="D124" s="2976">
        <v>0.1</v>
      </c>
      <c r="E124" s="2976">
        <v>9.8000000000000004E-2</v>
      </c>
      <c r="F124" s="2992"/>
      <c r="G124" s="2977">
        <v>0.1</v>
      </c>
    </row>
    <row r="125" spans="1:7">
      <c r="A125" s="2986" t="s">
        <v>303</v>
      </c>
      <c r="B125" s="2975" t="s">
        <v>3013</v>
      </c>
      <c r="C125" s="2976">
        <v>9.8000000000000004E-2</v>
      </c>
      <c r="D125" s="2976">
        <v>9.8000000000000004E-2</v>
      </c>
      <c r="E125" s="2976">
        <v>9.6000000000000002E-2</v>
      </c>
      <c r="F125" s="2992"/>
      <c r="G125" s="2977">
        <v>0.1</v>
      </c>
    </row>
    <row r="126" spans="1:7" ht="14.25" thickBot="1">
      <c r="A126" s="2989" t="s">
        <v>303</v>
      </c>
      <c r="B126" s="2979" t="s">
        <v>3179</v>
      </c>
      <c r="C126" s="2980">
        <v>0.1</v>
      </c>
      <c r="D126" s="2980">
        <v>0.1</v>
      </c>
      <c r="E126" s="2980">
        <v>9.8000000000000004E-2</v>
      </c>
      <c r="F126" s="2980">
        <v>0.1</v>
      </c>
      <c r="G126" s="2982">
        <v>0.1</v>
      </c>
    </row>
    <row r="127" spans="1:7">
      <c r="A127" s="2985" t="s">
        <v>29</v>
      </c>
      <c r="B127" s="2971" t="s">
        <v>2856</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2926</v>
      </c>
      <c r="C148" s="2976">
        <v>0.13</v>
      </c>
      <c r="D148" s="2976">
        <v>0.13</v>
      </c>
      <c r="E148" s="2976">
        <v>0.13</v>
      </c>
      <c r="F148" s="2987"/>
      <c r="G148" s="2977">
        <v>0.13</v>
      </c>
    </row>
    <row r="149" spans="1:7">
      <c r="A149" s="2986" t="s">
        <v>29</v>
      </c>
      <c r="B149" s="2975" t="s">
        <v>2930</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2949</v>
      </c>
      <c r="C153" s="2976">
        <v>0.13</v>
      </c>
      <c r="D153" s="2976">
        <v>0.13</v>
      </c>
      <c r="E153" s="2976">
        <v>0.13</v>
      </c>
      <c r="F153" s="2976">
        <v>0.13</v>
      </c>
      <c r="G153" s="2977">
        <v>0.13</v>
      </c>
    </row>
    <row r="154" spans="1:7">
      <c r="A154" s="2986" t="s">
        <v>29</v>
      </c>
      <c r="B154" s="2975" t="s">
        <v>2956</v>
      </c>
      <c r="C154" s="2976">
        <v>0.121</v>
      </c>
      <c r="D154" s="2976">
        <v>0.121</v>
      </c>
      <c r="E154" s="2976">
        <v>0.105</v>
      </c>
      <c r="F154" s="2976">
        <v>0.121</v>
      </c>
      <c r="G154" s="2977">
        <v>0.123</v>
      </c>
    </row>
    <row r="155" spans="1:7">
      <c r="A155" s="2986" t="s">
        <v>29</v>
      </c>
      <c r="B155" s="2975" t="s">
        <v>2962</v>
      </c>
      <c r="C155" s="2976">
        <v>0.1</v>
      </c>
      <c r="D155" s="2976">
        <v>0.1</v>
      </c>
      <c r="E155" s="2976">
        <v>0.1</v>
      </c>
      <c r="F155" s="2976">
        <v>0.1</v>
      </c>
      <c r="G155" s="2977">
        <v>0.1</v>
      </c>
    </row>
    <row r="156" spans="1:7">
      <c r="A156" s="2986" t="s">
        <v>29</v>
      </c>
      <c r="B156" s="2975" t="s">
        <v>2969</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2989</v>
      </c>
      <c r="C160" s="2976">
        <v>0.13</v>
      </c>
      <c r="D160" s="2976">
        <v>0.13</v>
      </c>
      <c r="E160" s="2976">
        <v>0.124</v>
      </c>
      <c r="F160" s="2976">
        <v>0.126</v>
      </c>
      <c r="G160" s="2977">
        <v>0.13</v>
      </c>
    </row>
    <row r="161" spans="1:7">
      <c r="A161" s="2986" t="s">
        <v>29</v>
      </c>
      <c r="B161" s="2975" t="s">
        <v>2994</v>
      </c>
      <c r="C161" s="2976">
        <v>0.13</v>
      </c>
      <c r="D161" s="2976">
        <v>0.13</v>
      </c>
      <c r="E161" s="2976">
        <v>0.124</v>
      </c>
      <c r="F161" s="2976">
        <v>0.127</v>
      </c>
      <c r="G161" s="2977">
        <v>0.13</v>
      </c>
    </row>
    <row r="162" spans="1:7">
      <c r="A162" s="2986" t="s">
        <v>29</v>
      </c>
      <c r="B162" s="2975" t="s">
        <v>2999</v>
      </c>
      <c r="C162" s="2976">
        <v>0.1</v>
      </c>
      <c r="D162" s="2976">
        <v>0.1</v>
      </c>
      <c r="E162" s="2976">
        <v>0.1</v>
      </c>
      <c r="F162" s="2976">
        <v>0.121</v>
      </c>
      <c r="G162" s="2977">
        <v>0.105</v>
      </c>
    </row>
    <row r="163" spans="1:7">
      <c r="A163" s="2986" t="s">
        <v>29</v>
      </c>
      <c r="B163" s="2975" t="s">
        <v>3004</v>
      </c>
      <c r="C163" s="2976">
        <v>0.1</v>
      </c>
      <c r="D163" s="2976">
        <v>0.1</v>
      </c>
      <c r="E163" s="2976">
        <v>0.1</v>
      </c>
      <c r="F163" s="2976">
        <v>0.1</v>
      </c>
      <c r="G163" s="2977">
        <v>0.1</v>
      </c>
    </row>
    <row r="164" spans="1:7">
      <c r="A164" s="2986" t="s">
        <v>29</v>
      </c>
      <c r="B164" s="2975" t="s">
        <v>3009</v>
      </c>
      <c r="C164" s="2992"/>
      <c r="D164" s="2992"/>
      <c r="E164" s="2992"/>
      <c r="F164" s="2976">
        <v>0.1</v>
      </c>
      <c r="G164" s="2988"/>
    </row>
    <row r="165" spans="1:7">
      <c r="A165" s="2986" t="s">
        <v>29</v>
      </c>
      <c r="B165" s="2975" t="s">
        <v>3180</v>
      </c>
      <c r="C165" s="2976">
        <v>0.126</v>
      </c>
      <c r="D165" s="2976">
        <v>0.126</v>
      </c>
      <c r="E165" s="2976">
        <v>0.11899999999999999</v>
      </c>
      <c r="F165" s="2976">
        <v>0.13</v>
      </c>
      <c r="G165" s="2977">
        <v>0.128</v>
      </c>
    </row>
    <row r="166" spans="1:7">
      <c r="A166" s="2986" t="s">
        <v>29</v>
      </c>
      <c r="B166" s="2975" t="s">
        <v>3019</v>
      </c>
      <c r="C166" s="2976">
        <v>0.129</v>
      </c>
      <c r="D166" s="2976">
        <v>0.129</v>
      </c>
      <c r="E166" s="2976">
        <v>0.123</v>
      </c>
      <c r="F166" s="2976">
        <v>0.128</v>
      </c>
      <c r="G166" s="2977">
        <v>0.13</v>
      </c>
    </row>
    <row r="167" spans="1:7">
      <c r="A167" s="2986" t="s">
        <v>29</v>
      </c>
      <c r="B167" s="2975" t="s">
        <v>3023</v>
      </c>
      <c r="C167" s="2976">
        <v>0.125</v>
      </c>
      <c r="D167" s="2976">
        <v>0.125</v>
      </c>
      <c r="E167" s="2976">
        <v>0.11700000000000001</v>
      </c>
      <c r="F167" s="2976">
        <v>0.13</v>
      </c>
      <c r="G167" s="2977">
        <v>0.126</v>
      </c>
    </row>
    <row r="168" spans="1:7">
      <c r="A168" s="2986" t="s">
        <v>29</v>
      </c>
      <c r="B168" s="2975" t="s">
        <v>3028</v>
      </c>
      <c r="C168" s="2976">
        <v>0.128</v>
      </c>
      <c r="D168" s="2976">
        <v>0.128</v>
      </c>
      <c r="E168" s="2976">
        <v>0.123</v>
      </c>
      <c r="F168" s="2987"/>
      <c r="G168" s="2977">
        <v>0.13</v>
      </c>
    </row>
    <row r="169" spans="1:7">
      <c r="A169" s="2986" t="s">
        <v>29</v>
      </c>
      <c r="B169" s="2975" t="s">
        <v>3181</v>
      </c>
      <c r="C169" s="2992"/>
      <c r="D169" s="2992"/>
      <c r="E169" s="2992"/>
      <c r="F169" s="2976">
        <v>0.05</v>
      </c>
      <c r="G169" s="2988"/>
    </row>
    <row r="170" spans="1:7">
      <c r="A170" s="2986" t="s">
        <v>29</v>
      </c>
      <c r="B170" s="2975" t="s">
        <v>3182</v>
      </c>
      <c r="C170" s="2992"/>
      <c r="D170" s="2992"/>
      <c r="E170" s="2992"/>
      <c r="F170" s="2976">
        <v>0.05</v>
      </c>
      <c r="G170" s="2988"/>
    </row>
    <row r="171" spans="1:7">
      <c r="A171" s="2986" t="s">
        <v>29</v>
      </c>
      <c r="B171" s="2975" t="s">
        <v>3183</v>
      </c>
      <c r="C171" s="2992"/>
      <c r="D171" s="2992"/>
      <c r="E171" s="2992"/>
      <c r="F171" s="2976">
        <v>0.05</v>
      </c>
      <c r="G171" s="2993"/>
    </row>
    <row r="172" spans="1:7">
      <c r="A172" s="2986" t="s">
        <v>29</v>
      </c>
      <c r="B172" s="2975" t="s">
        <v>3184</v>
      </c>
      <c r="C172" s="2992"/>
      <c r="D172" s="2992"/>
      <c r="E172" s="2992"/>
      <c r="F172" s="2976">
        <v>0.05</v>
      </c>
      <c r="G172" s="2993"/>
    </row>
    <row r="173" spans="1:7">
      <c r="A173" s="2986" t="s">
        <v>29</v>
      </c>
      <c r="B173" s="2975" t="s">
        <v>3185</v>
      </c>
      <c r="C173" s="2992"/>
      <c r="D173" s="2992"/>
      <c r="E173" s="2992"/>
      <c r="F173" s="2976">
        <v>0.05</v>
      </c>
      <c r="G173" s="2988"/>
    </row>
    <row r="174" spans="1:7">
      <c r="A174" s="2986" t="s">
        <v>29</v>
      </c>
      <c r="B174" s="2975" t="s">
        <v>3186</v>
      </c>
      <c r="C174" s="2992"/>
      <c r="D174" s="2992"/>
      <c r="E174" s="2992"/>
      <c r="F174" s="2976">
        <v>0.05</v>
      </c>
      <c r="G174" s="2988"/>
    </row>
    <row r="175" spans="1:7">
      <c r="A175" s="2986" t="s">
        <v>29</v>
      </c>
      <c r="B175" s="2975" t="s">
        <v>3187</v>
      </c>
      <c r="C175" s="2992"/>
      <c r="D175" s="2992"/>
      <c r="E175" s="2992"/>
      <c r="F175" s="2976">
        <v>0.05</v>
      </c>
      <c r="G175" s="2988"/>
    </row>
    <row r="176" spans="1:7">
      <c r="A176" s="2986" t="s">
        <v>29</v>
      </c>
      <c r="B176" s="2975" t="s">
        <v>3188</v>
      </c>
      <c r="C176" s="2992"/>
      <c r="D176" s="2992"/>
      <c r="E176" s="2992"/>
      <c r="F176" s="2976">
        <v>0.05</v>
      </c>
      <c r="G176" s="2988"/>
    </row>
    <row r="177" spans="1:7">
      <c r="A177" s="2986" t="s">
        <v>29</v>
      </c>
      <c r="B177" s="2975" t="s">
        <v>3189</v>
      </c>
      <c r="C177" s="2987"/>
      <c r="D177" s="2987"/>
      <c r="E177" s="2987"/>
      <c r="F177" s="2976">
        <v>0.05</v>
      </c>
      <c r="G177" s="2993"/>
    </row>
    <row r="178" spans="1:7">
      <c r="A178" s="2986" t="s">
        <v>29</v>
      </c>
      <c r="B178" s="2975" t="s">
        <v>3190</v>
      </c>
      <c r="C178" s="2987"/>
      <c r="D178" s="2987"/>
      <c r="E178" s="2987"/>
      <c r="F178" s="2976">
        <v>0.05</v>
      </c>
      <c r="G178" s="2993"/>
    </row>
    <row r="179" spans="1:7">
      <c r="A179" s="2986" t="s">
        <v>29</v>
      </c>
      <c r="B179" s="2975" t="s">
        <v>3191</v>
      </c>
      <c r="C179" s="2987"/>
      <c r="D179" s="2987"/>
      <c r="E179" s="2987"/>
      <c r="F179" s="2976">
        <v>0.05</v>
      </c>
      <c r="G179" s="2993"/>
    </row>
    <row r="180" spans="1:7">
      <c r="A180" s="2986" t="s">
        <v>29</v>
      </c>
      <c r="B180" s="2975" t="s">
        <v>3192</v>
      </c>
      <c r="C180" s="2987"/>
      <c r="D180" s="2987"/>
      <c r="E180" s="2987"/>
      <c r="F180" s="2976">
        <v>0.05</v>
      </c>
      <c r="G180" s="2993"/>
    </row>
    <row r="181" spans="1:7">
      <c r="A181" s="2986" t="s">
        <v>29</v>
      </c>
      <c r="B181" s="2975" t="s">
        <v>3193</v>
      </c>
      <c r="C181" s="2987"/>
      <c r="D181" s="2987"/>
      <c r="E181" s="2987"/>
      <c r="F181" s="2976">
        <v>0.05</v>
      </c>
      <c r="G181" s="2993"/>
    </row>
    <row r="182" spans="1:7">
      <c r="A182" s="2986" t="s">
        <v>29</v>
      </c>
      <c r="B182" s="2975" t="s">
        <v>3194</v>
      </c>
      <c r="C182" s="2987"/>
      <c r="D182" s="2987"/>
      <c r="E182" s="2987"/>
      <c r="F182" s="2976">
        <v>0.05</v>
      </c>
      <c r="G182" s="2993"/>
    </row>
    <row r="183" spans="1:7">
      <c r="A183" s="2986" t="s">
        <v>29</v>
      </c>
      <c r="B183" s="2975" t="s">
        <v>3195</v>
      </c>
      <c r="C183" s="2987"/>
      <c r="D183" s="2987"/>
      <c r="E183" s="2987"/>
      <c r="F183" s="2976">
        <v>0.05</v>
      </c>
      <c r="G183" s="2993"/>
    </row>
    <row r="184" spans="1:7">
      <c r="A184" s="2986" t="s">
        <v>29</v>
      </c>
      <c r="B184" s="2975" t="s">
        <v>3196</v>
      </c>
      <c r="C184" s="2987"/>
      <c r="D184" s="2987"/>
      <c r="E184" s="2987"/>
      <c r="F184" s="2976">
        <v>0.05</v>
      </c>
      <c r="G184" s="2993"/>
    </row>
    <row r="185" spans="1:7">
      <c r="A185" s="2986" t="s">
        <v>29</v>
      </c>
      <c r="B185" s="2975" t="s">
        <v>3197</v>
      </c>
      <c r="C185" s="2987"/>
      <c r="D185" s="2987"/>
      <c r="E185" s="2987"/>
      <c r="F185" s="2976">
        <v>0.05</v>
      </c>
      <c r="G185" s="2993"/>
    </row>
    <row r="186" spans="1:7">
      <c r="A186" s="2986" t="s">
        <v>29</v>
      </c>
      <c r="B186" s="2975" t="s">
        <v>3198</v>
      </c>
      <c r="C186" s="2987"/>
      <c r="D186" s="2987"/>
      <c r="E186" s="2987"/>
      <c r="F186" s="2976">
        <v>0.05</v>
      </c>
      <c r="G186" s="2993"/>
    </row>
    <row r="187" spans="1:7">
      <c r="A187" s="2986" t="s">
        <v>29</v>
      </c>
      <c r="B187" s="2975" t="s">
        <v>3199</v>
      </c>
      <c r="C187" s="2987"/>
      <c r="D187" s="2987"/>
      <c r="E187" s="2987"/>
      <c r="F187" s="2976">
        <v>0.05</v>
      </c>
      <c r="G187" s="2993"/>
    </row>
    <row r="188" spans="1:7">
      <c r="A188" s="2986" t="s">
        <v>29</v>
      </c>
      <c r="B188" s="2975" t="s">
        <v>3200</v>
      </c>
      <c r="C188" s="2987"/>
      <c r="D188" s="2987"/>
      <c r="E188" s="2987"/>
      <c r="F188" s="2976">
        <v>0.05</v>
      </c>
      <c r="G188" s="2993"/>
    </row>
    <row r="189" spans="1:7" ht="14.25" thickBot="1">
      <c r="A189" s="2989" t="s">
        <v>29</v>
      </c>
      <c r="B189" s="2979" t="s">
        <v>3201</v>
      </c>
      <c r="C189" s="2981"/>
      <c r="D189" s="2981"/>
      <c r="E189" s="2981"/>
      <c r="F189" s="2980">
        <v>0.05</v>
      </c>
      <c r="G189" s="2994"/>
    </row>
    <row r="190" spans="1:7">
      <c r="A190" s="2985" t="s">
        <v>304</v>
      </c>
      <c r="B190" s="2971" t="s">
        <v>2857</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2893</v>
      </c>
      <c r="C199" s="2976">
        <v>0.13</v>
      </c>
      <c r="D199" s="2976">
        <v>0.13</v>
      </c>
      <c r="E199" s="2976">
        <v>0.13</v>
      </c>
      <c r="F199" s="2976">
        <v>0.13</v>
      </c>
      <c r="G199" s="2977">
        <v>0.13</v>
      </c>
    </row>
    <row r="200" spans="1:7">
      <c r="A200" s="2986" t="s">
        <v>304</v>
      </c>
      <c r="B200" s="2975" t="s">
        <v>2896</v>
      </c>
      <c r="C200" s="2992"/>
      <c r="D200" s="2992"/>
      <c r="E200" s="2992"/>
      <c r="F200" s="2976">
        <v>0.13</v>
      </c>
      <c r="G200" s="2988"/>
    </row>
    <row r="201" spans="1:7">
      <c r="A201" s="2986" t="s">
        <v>304</v>
      </c>
      <c r="B201" s="2975" t="s">
        <v>2901</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2904</v>
      </c>
      <c r="C203" s="2976">
        <v>0.129</v>
      </c>
      <c r="D203" s="2976">
        <v>0.129</v>
      </c>
      <c r="E203" s="2976">
        <v>0.13</v>
      </c>
      <c r="F203" s="2976">
        <v>0.13</v>
      </c>
      <c r="G203" s="2977">
        <v>0.13</v>
      </c>
    </row>
    <row r="204" spans="1:7">
      <c r="A204" s="2986" t="s">
        <v>304</v>
      </c>
      <c r="B204" s="2975" t="s">
        <v>2907</v>
      </c>
      <c r="C204" s="2976">
        <v>0.129</v>
      </c>
      <c r="D204" s="2976">
        <v>0.129</v>
      </c>
      <c r="E204" s="2976">
        <v>0.123</v>
      </c>
      <c r="F204" s="2976">
        <v>0.13</v>
      </c>
      <c r="G204" s="2977">
        <v>0.13</v>
      </c>
    </row>
    <row r="205" spans="1:7">
      <c r="A205" s="2986" t="s">
        <v>304</v>
      </c>
      <c r="B205" s="2975" t="s">
        <v>2909</v>
      </c>
      <c r="C205" s="2976">
        <v>0.13</v>
      </c>
      <c r="D205" s="2976">
        <v>0.13</v>
      </c>
      <c r="E205" s="2976">
        <v>0.13</v>
      </c>
      <c r="F205" s="2976">
        <v>0.13</v>
      </c>
      <c r="G205" s="2977">
        <v>0.13</v>
      </c>
    </row>
    <row r="206" spans="1:7">
      <c r="A206" s="2986" t="s">
        <v>304</v>
      </c>
      <c r="B206" s="2975" t="s">
        <v>2912</v>
      </c>
      <c r="C206" s="2976">
        <v>0.13</v>
      </c>
      <c r="D206" s="2976">
        <v>0.13</v>
      </c>
      <c r="E206" s="2976">
        <v>0.13</v>
      </c>
      <c r="F206" s="2976">
        <v>0.128</v>
      </c>
      <c r="G206" s="2977">
        <v>0.13</v>
      </c>
    </row>
    <row r="207" spans="1:7">
      <c r="A207" s="2986" t="s">
        <v>304</v>
      </c>
      <c r="B207" s="2975" t="s">
        <v>2914</v>
      </c>
      <c r="C207" s="2976">
        <v>0.13</v>
      </c>
      <c r="D207" s="2976">
        <v>0.13</v>
      </c>
      <c r="E207" s="2976">
        <v>0.13</v>
      </c>
      <c r="F207" s="2976">
        <v>0.13</v>
      </c>
      <c r="G207" s="2977">
        <v>0.13</v>
      </c>
    </row>
    <row r="208" spans="1:7">
      <c r="A208" s="2986" t="s">
        <v>304</v>
      </c>
      <c r="B208" s="2975" t="s">
        <v>2917</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2924</v>
      </c>
      <c r="C210" s="2976">
        <v>0.121</v>
      </c>
      <c r="D210" s="2976">
        <v>0.121</v>
      </c>
      <c r="E210" s="2976">
        <v>0.125</v>
      </c>
      <c r="F210" s="2976">
        <v>0.13</v>
      </c>
      <c r="G210" s="2977">
        <v>0.123</v>
      </c>
    </row>
    <row r="211" spans="1:7">
      <c r="A211" s="2986" t="s">
        <v>304</v>
      </c>
      <c r="B211" s="2975" t="s">
        <v>2927</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2939</v>
      </c>
      <c r="C214" s="2976">
        <v>0.128</v>
      </c>
      <c r="D214" s="2976">
        <v>0.128</v>
      </c>
      <c r="E214" s="2976">
        <v>0.13</v>
      </c>
      <c r="F214" s="2976">
        <v>0.13</v>
      </c>
      <c r="G214" s="2977">
        <v>0.13</v>
      </c>
    </row>
    <row r="215" spans="1:7">
      <c r="A215" s="2986" t="s">
        <v>304</v>
      </c>
      <c r="B215" s="2975" t="s">
        <v>2943</v>
      </c>
      <c r="C215" s="2976">
        <v>0.13</v>
      </c>
      <c r="D215" s="2976">
        <v>0.13</v>
      </c>
      <c r="E215" s="2976">
        <v>0.13</v>
      </c>
      <c r="F215" s="2976">
        <v>0.129</v>
      </c>
      <c r="G215" s="2977">
        <v>0.13</v>
      </c>
    </row>
    <row r="216" spans="1:7">
      <c r="A216" s="2986" t="s">
        <v>304</v>
      </c>
      <c r="B216" s="2975" t="s">
        <v>2950</v>
      </c>
      <c r="C216" s="2976">
        <v>0.13</v>
      </c>
      <c r="D216" s="2976">
        <v>0.13</v>
      </c>
      <c r="E216" s="2976">
        <v>0.13</v>
      </c>
      <c r="F216" s="2976">
        <v>0.13</v>
      </c>
      <c r="G216" s="2977">
        <v>0.13</v>
      </c>
    </row>
    <row r="217" spans="1:7">
      <c r="A217" s="2986" t="s">
        <v>304</v>
      </c>
      <c r="B217" s="2975" t="s">
        <v>2957</v>
      </c>
      <c r="C217" s="2976">
        <v>0.129</v>
      </c>
      <c r="D217" s="2976">
        <v>0.129</v>
      </c>
      <c r="E217" s="2976">
        <v>0.13</v>
      </c>
      <c r="F217" s="2976">
        <v>0.13</v>
      </c>
      <c r="G217" s="2977">
        <v>0.13</v>
      </c>
    </row>
    <row r="218" spans="1:7">
      <c r="A218" s="2986" t="s">
        <v>304</v>
      </c>
      <c r="B218" s="2975" t="s">
        <v>2963</v>
      </c>
      <c r="C218" s="2987"/>
      <c r="D218" s="2987"/>
      <c r="E218" s="2987"/>
      <c r="F218" s="2976">
        <v>0.05</v>
      </c>
      <c r="G218" s="2993"/>
    </row>
    <row r="219" spans="1:7">
      <c r="A219" s="2986" t="s">
        <v>304</v>
      </c>
      <c r="B219" s="2975" t="s">
        <v>2970</v>
      </c>
      <c r="C219" s="2987"/>
      <c r="D219" s="2987"/>
      <c r="E219" s="2987"/>
      <c r="F219" s="2976">
        <v>0.05</v>
      </c>
      <c r="G219" s="2993"/>
    </row>
    <row r="220" spans="1:7">
      <c r="A220" s="2986" t="s">
        <v>304</v>
      </c>
      <c r="B220" s="2975" t="s">
        <v>2976</v>
      </c>
      <c r="C220" s="2987"/>
      <c r="D220" s="2987"/>
      <c r="E220" s="2987"/>
      <c r="F220" s="2976">
        <v>0.05</v>
      </c>
      <c r="G220" s="2993"/>
    </row>
    <row r="221" spans="1:7">
      <c r="A221" s="2986" t="s">
        <v>304</v>
      </c>
      <c r="B221" s="2975" t="s">
        <v>2981</v>
      </c>
      <c r="C221" s="2987"/>
      <c r="D221" s="2987"/>
      <c r="E221" s="2987"/>
      <c r="F221" s="2976">
        <v>0.05</v>
      </c>
      <c r="G221" s="2993"/>
    </row>
    <row r="222" spans="1:7">
      <c r="A222" s="2986" t="s">
        <v>304</v>
      </c>
      <c r="B222" s="2975" t="s">
        <v>2985</v>
      </c>
      <c r="C222" s="2987"/>
      <c r="D222" s="2987"/>
      <c r="E222" s="2987"/>
      <c r="F222" s="2976">
        <v>0.05</v>
      </c>
      <c r="G222" s="2993"/>
    </row>
    <row r="223" spans="1:7">
      <c r="A223" s="2986" t="s">
        <v>304</v>
      </c>
      <c r="B223" s="2975" t="s">
        <v>2990</v>
      </c>
      <c r="C223" s="2987"/>
      <c r="D223" s="2987"/>
      <c r="E223" s="2987"/>
      <c r="F223" s="2976">
        <v>0.05</v>
      </c>
      <c r="G223" s="2993"/>
    </row>
    <row r="224" spans="1:7">
      <c r="A224" s="2986" t="s">
        <v>304</v>
      </c>
      <c r="B224" s="2975" t="s">
        <v>2995</v>
      </c>
      <c r="C224" s="2987"/>
      <c r="D224" s="2987"/>
      <c r="E224" s="2987"/>
      <c r="F224" s="2976">
        <v>0.05</v>
      </c>
      <c r="G224" s="2993"/>
    </row>
    <row r="225" spans="1:7">
      <c r="A225" s="2986" t="s">
        <v>304</v>
      </c>
      <c r="B225" s="2975" t="s">
        <v>3000</v>
      </c>
      <c r="C225" s="2987"/>
      <c r="D225" s="2987"/>
      <c r="E225" s="2987"/>
      <c r="F225" s="2976">
        <v>0.05</v>
      </c>
      <c r="G225" s="2993"/>
    </row>
    <row r="226" spans="1:7">
      <c r="A226" s="2986" t="s">
        <v>304</v>
      </c>
      <c r="B226" s="2975" t="s">
        <v>3202</v>
      </c>
      <c r="C226" s="2987"/>
      <c r="D226" s="2987"/>
      <c r="E226" s="2987"/>
      <c r="F226" s="2976">
        <v>0.05</v>
      </c>
      <c r="G226" s="2993"/>
    </row>
    <row r="227" spans="1:7">
      <c r="A227" s="2986" t="s">
        <v>304</v>
      </c>
      <c r="B227" s="2975" t="s">
        <v>3203</v>
      </c>
      <c r="C227" s="2987"/>
      <c r="D227" s="2987"/>
      <c r="E227" s="2987"/>
      <c r="F227" s="2976">
        <v>0.05</v>
      </c>
      <c r="G227" s="2993"/>
    </row>
    <row r="228" spans="1:7">
      <c r="A228" s="2986" t="s">
        <v>304</v>
      </c>
      <c r="B228" s="2975" t="s">
        <v>3204</v>
      </c>
      <c r="C228" s="2987"/>
      <c r="D228" s="2987"/>
      <c r="E228" s="2987"/>
      <c r="F228" s="2976">
        <v>0.05</v>
      </c>
      <c r="G228" s="2993"/>
    </row>
    <row r="229" spans="1:7">
      <c r="A229" s="2986" t="s">
        <v>304</v>
      </c>
      <c r="B229" s="2975" t="s">
        <v>3205</v>
      </c>
      <c r="C229" s="2987"/>
      <c r="D229" s="2987"/>
      <c r="E229" s="2987"/>
      <c r="F229" s="2976">
        <v>0.05</v>
      </c>
      <c r="G229" s="2993"/>
    </row>
    <row r="230" spans="1:7">
      <c r="A230" s="2986" t="s">
        <v>304</v>
      </c>
      <c r="B230" s="2975" t="s">
        <v>3206</v>
      </c>
      <c r="C230" s="2987"/>
      <c r="D230" s="2987"/>
      <c r="E230" s="2987"/>
      <c r="F230" s="2976">
        <v>0.05</v>
      </c>
      <c r="G230" s="2993"/>
    </row>
    <row r="231" spans="1:7">
      <c r="A231" s="2986" t="s">
        <v>304</v>
      </c>
      <c r="B231" s="2975" t="s">
        <v>3207</v>
      </c>
      <c r="C231" s="2987"/>
      <c r="D231" s="2987"/>
      <c r="E231" s="2987"/>
      <c r="F231" s="2976">
        <v>0.05</v>
      </c>
      <c r="G231" s="2993"/>
    </row>
    <row r="232" spans="1:7">
      <c r="A232" s="2986" t="s">
        <v>304</v>
      </c>
      <c r="B232" s="2975" t="s">
        <v>3208</v>
      </c>
      <c r="C232" s="2987"/>
      <c r="D232" s="2987"/>
      <c r="E232" s="2987"/>
      <c r="F232" s="2976">
        <v>0.05</v>
      </c>
      <c r="G232" s="2993"/>
    </row>
    <row r="233" spans="1:7" ht="14.25" thickBot="1">
      <c r="A233" s="2989" t="s">
        <v>304</v>
      </c>
      <c r="B233" s="2979" t="s">
        <v>3209</v>
      </c>
      <c r="C233" s="2981"/>
      <c r="D233" s="2981"/>
      <c r="E233" s="2981"/>
      <c r="F233" s="2980">
        <v>0.05</v>
      </c>
      <c r="G233" s="2994"/>
    </row>
    <row r="234" spans="1:7">
      <c r="A234" s="2985" t="s">
        <v>305</v>
      </c>
      <c r="B234" s="2971" t="s">
        <v>2858</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2878</v>
      </c>
      <c r="C238" s="2976">
        <v>0.14899999999999999</v>
      </c>
      <c r="D238" s="2976">
        <v>0.14899999999999999</v>
      </c>
      <c r="E238" s="2976">
        <v>0.15</v>
      </c>
      <c r="F238" s="2976">
        <v>0.15</v>
      </c>
      <c r="G238" s="2977">
        <v>0.15</v>
      </c>
    </row>
    <row r="239" spans="1:7">
      <c r="A239" s="2986" t="s">
        <v>305</v>
      </c>
      <c r="B239" s="2975" t="s">
        <v>2882</v>
      </c>
      <c r="C239" s="2976">
        <v>0.15</v>
      </c>
      <c r="D239" s="2976">
        <v>0.15</v>
      </c>
      <c r="E239" s="2976">
        <v>0.15</v>
      </c>
      <c r="F239" s="2976">
        <v>0.15</v>
      </c>
      <c r="G239" s="2977">
        <v>0.15</v>
      </c>
    </row>
    <row r="240" spans="1:7">
      <c r="A240" s="2986" t="s">
        <v>305</v>
      </c>
      <c r="B240" s="2975" t="s">
        <v>2887</v>
      </c>
      <c r="C240" s="2976">
        <v>0.15</v>
      </c>
      <c r="D240" s="2976">
        <v>0.15</v>
      </c>
      <c r="E240" s="2976">
        <v>0.15</v>
      </c>
      <c r="F240" s="2976">
        <v>0.15</v>
      </c>
      <c r="G240" s="2977">
        <v>0.15</v>
      </c>
    </row>
    <row r="241" spans="1:7">
      <c r="A241" s="2986" t="s">
        <v>305</v>
      </c>
      <c r="B241" s="2975" t="s">
        <v>2891</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2897</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2905</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2910</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2918</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2931</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2940</v>
      </c>
      <c r="C258" s="2976">
        <v>0.14299999999999999</v>
      </c>
      <c r="D258" s="2976">
        <v>0.14299999999999999</v>
      </c>
      <c r="E258" s="2976">
        <v>0.15</v>
      </c>
      <c r="F258" s="2976">
        <v>0.14799999999999999</v>
      </c>
      <c r="G258" s="2977">
        <v>0.14599999999999999</v>
      </c>
    </row>
    <row r="259" spans="1:7">
      <c r="A259" s="2986" t="s">
        <v>305</v>
      </c>
      <c r="B259" s="2975" t="s">
        <v>2944</v>
      </c>
      <c r="C259" s="2976">
        <v>0.14399999999999999</v>
      </c>
      <c r="D259" s="2976">
        <v>0.14399999999999999</v>
      </c>
      <c r="E259" s="2976">
        <v>0.14899999999999999</v>
      </c>
      <c r="F259" s="2976">
        <v>0.14699999999999999</v>
      </c>
      <c r="G259" s="2977">
        <v>0.14599999999999999</v>
      </c>
    </row>
    <row r="260" spans="1:7">
      <c r="A260" s="2986" t="s">
        <v>305</v>
      </c>
      <c r="B260" s="2975" t="s">
        <v>2951</v>
      </c>
      <c r="C260" s="2976">
        <v>0.109</v>
      </c>
      <c r="D260" s="2976">
        <v>0.111</v>
      </c>
      <c r="E260" s="2976">
        <v>0.13100000000000001</v>
      </c>
      <c r="F260" s="2976">
        <v>0.126</v>
      </c>
      <c r="G260" s="2977">
        <v>0.11899999999999999</v>
      </c>
    </row>
    <row r="261" spans="1:7">
      <c r="A261" s="2986" t="s">
        <v>305</v>
      </c>
      <c r="B261" s="2975" t="s">
        <v>2958</v>
      </c>
      <c r="C261" s="2976">
        <v>0.1</v>
      </c>
      <c r="D261" s="2976">
        <v>0.1</v>
      </c>
      <c r="E261" s="2976">
        <v>0.11799999999999999</v>
      </c>
      <c r="F261" s="2976">
        <v>0.108</v>
      </c>
      <c r="G261" s="2977">
        <v>0.107</v>
      </c>
    </row>
    <row r="262" spans="1:7">
      <c r="A262" s="2986" t="s">
        <v>305</v>
      </c>
      <c r="B262" s="2975" t="s">
        <v>2964</v>
      </c>
      <c r="C262" s="2976">
        <v>0.1</v>
      </c>
      <c r="D262" s="2976">
        <v>0.1</v>
      </c>
      <c r="E262" s="2976">
        <v>0.1</v>
      </c>
      <c r="F262" s="2976">
        <v>0.14099999999999999</v>
      </c>
      <c r="G262" s="2977">
        <v>0.1</v>
      </c>
    </row>
    <row r="263" spans="1:7">
      <c r="A263" s="2986" t="s">
        <v>305</v>
      </c>
      <c r="B263" s="2975" t="s">
        <v>2971</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2982</v>
      </c>
      <c r="C265" s="2987"/>
      <c r="D265" s="2987"/>
      <c r="E265" s="2987"/>
      <c r="F265" s="2976">
        <v>0.05</v>
      </c>
      <c r="G265" s="2993"/>
    </row>
    <row r="266" spans="1:7">
      <c r="A266" s="2986" t="s">
        <v>305</v>
      </c>
      <c r="B266" s="2975" t="s">
        <v>2986</v>
      </c>
      <c r="C266" s="2987"/>
      <c r="D266" s="2987"/>
      <c r="E266" s="2987"/>
      <c r="F266" s="2976">
        <v>0.05</v>
      </c>
      <c r="G266" s="2993"/>
    </row>
    <row r="267" spans="1:7">
      <c r="A267" s="2986" t="s">
        <v>305</v>
      </c>
      <c r="B267" s="2975" t="s">
        <v>2991</v>
      </c>
      <c r="C267" s="2987"/>
      <c r="D267" s="2987"/>
      <c r="E267" s="2987"/>
      <c r="F267" s="2976">
        <v>0.05</v>
      </c>
      <c r="G267" s="2993"/>
    </row>
    <row r="268" spans="1:7">
      <c r="A268" s="2986" t="s">
        <v>305</v>
      </c>
      <c r="B268" s="2975" t="s">
        <v>2996</v>
      </c>
      <c r="C268" s="2987"/>
      <c r="D268" s="2987"/>
      <c r="E268" s="2987"/>
      <c r="F268" s="2976">
        <v>0.05</v>
      </c>
      <c r="G268" s="2993"/>
    </row>
    <row r="269" spans="1:7">
      <c r="A269" s="2986" t="s">
        <v>305</v>
      </c>
      <c r="B269" s="2975" t="s">
        <v>3001</v>
      </c>
      <c r="C269" s="2987"/>
      <c r="D269" s="2987"/>
      <c r="E269" s="2987"/>
      <c r="F269" s="2976">
        <v>0.05</v>
      </c>
      <c r="G269" s="2993"/>
    </row>
    <row r="270" spans="1:7">
      <c r="A270" s="2986" t="s">
        <v>305</v>
      </c>
      <c r="B270" s="2975" t="s">
        <v>3006</v>
      </c>
      <c r="C270" s="2987"/>
      <c r="D270" s="2987"/>
      <c r="E270" s="2987"/>
      <c r="F270" s="2976">
        <v>0.05</v>
      </c>
      <c r="G270" s="2993"/>
    </row>
    <row r="271" spans="1:7">
      <c r="A271" s="2986" t="s">
        <v>305</v>
      </c>
      <c r="B271" s="2975" t="s">
        <v>3210</v>
      </c>
      <c r="C271" s="2987"/>
      <c r="D271" s="2987"/>
      <c r="E271" s="2987"/>
      <c r="F271" s="2976">
        <v>0.05</v>
      </c>
      <c r="G271" s="2993"/>
    </row>
    <row r="272" spans="1:7">
      <c r="A272" s="2986" t="s">
        <v>305</v>
      </c>
      <c r="B272" s="2975" t="s">
        <v>3211</v>
      </c>
      <c r="C272" s="2987"/>
      <c r="D272" s="2987"/>
      <c r="E272" s="2987"/>
      <c r="F272" s="2976">
        <v>0.05</v>
      </c>
      <c r="G272" s="2993"/>
    </row>
    <row r="273" spans="1:7">
      <c r="A273" s="2986" t="s">
        <v>305</v>
      </c>
      <c r="B273" s="2975" t="s">
        <v>3212</v>
      </c>
      <c r="C273" s="2987"/>
      <c r="D273" s="2987"/>
      <c r="E273" s="2987"/>
      <c r="F273" s="2976">
        <v>0.05</v>
      </c>
      <c r="G273" s="2993"/>
    </row>
    <row r="274" spans="1:7">
      <c r="A274" s="2986" t="s">
        <v>305</v>
      </c>
      <c r="B274" s="2975" t="s">
        <v>3213</v>
      </c>
      <c r="C274" s="2987"/>
      <c r="D274" s="2987"/>
      <c r="E274" s="2987"/>
      <c r="F274" s="2976">
        <v>0.05</v>
      </c>
      <c r="G274" s="2993"/>
    </row>
    <row r="275" spans="1:7">
      <c r="A275" s="2986" t="s">
        <v>305</v>
      </c>
      <c r="B275" s="2975" t="s">
        <v>3214</v>
      </c>
      <c r="C275" s="2987"/>
      <c r="D275" s="2987"/>
      <c r="E275" s="2987"/>
      <c r="F275" s="2976">
        <v>0.05</v>
      </c>
      <c r="G275" s="2993"/>
    </row>
    <row r="276" spans="1:7" ht="14.25" thickBot="1">
      <c r="A276" s="2989" t="s">
        <v>305</v>
      </c>
      <c r="B276" s="2979" t="s">
        <v>3215</v>
      </c>
      <c r="C276" s="2981"/>
      <c r="D276" s="2981"/>
      <c r="E276" s="2981"/>
      <c r="F276" s="2980">
        <v>0.05</v>
      </c>
      <c r="G276" s="2994"/>
    </row>
    <row r="277" spans="1:7">
      <c r="A277" s="2985" t="s">
        <v>306</v>
      </c>
      <c r="B277" s="2971" t="s">
        <v>2859</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2871</v>
      </c>
      <c r="C279" s="2976">
        <v>0.15</v>
      </c>
      <c r="D279" s="2976">
        <v>0.15</v>
      </c>
      <c r="E279" s="2976">
        <v>0.15</v>
      </c>
      <c r="F279" s="2976">
        <v>0.15</v>
      </c>
      <c r="G279" s="2977">
        <v>0.15</v>
      </c>
    </row>
    <row r="280" spans="1:7">
      <c r="A280" s="2986" t="s">
        <v>306</v>
      </c>
      <c r="B280" s="2975" t="s">
        <v>2875</v>
      </c>
      <c r="C280" s="2976">
        <v>0.15</v>
      </c>
      <c r="D280" s="2976">
        <v>0.15</v>
      </c>
      <c r="E280" s="2976">
        <v>0.15</v>
      </c>
      <c r="F280" s="2976">
        <v>0.15</v>
      </c>
      <c r="G280" s="2977">
        <v>0.15</v>
      </c>
    </row>
    <row r="281" spans="1:7">
      <c r="A281" s="2986" t="s">
        <v>306</v>
      </c>
      <c r="B281" s="2975" t="s">
        <v>2879</v>
      </c>
      <c r="C281" s="2976">
        <v>0.15</v>
      </c>
      <c r="D281" s="2976">
        <v>0.15</v>
      </c>
      <c r="E281" s="2976">
        <v>0.15</v>
      </c>
      <c r="F281" s="2976">
        <v>0.15</v>
      </c>
      <c r="G281" s="2977">
        <v>0.15</v>
      </c>
    </row>
    <row r="282" spans="1:7">
      <c r="A282" s="2986" t="s">
        <v>306</v>
      </c>
      <c r="B282" s="2975" t="s">
        <v>2883</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2898</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2903</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2913</v>
      </c>
      <c r="C293" s="2976">
        <v>0.15</v>
      </c>
      <c r="D293" s="2976">
        <v>0.15</v>
      </c>
      <c r="E293" s="2976">
        <v>0.15</v>
      </c>
      <c r="F293" s="2976">
        <v>0.14499999999999999</v>
      </c>
      <c r="G293" s="2977">
        <v>0.15</v>
      </c>
    </row>
    <row r="294" spans="1:7">
      <c r="A294" s="2986" t="s">
        <v>306</v>
      </c>
      <c r="B294" s="2975" t="s">
        <v>2915</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2932</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2945</v>
      </c>
      <c r="C302" s="2976">
        <v>0.15</v>
      </c>
      <c r="D302" s="2976">
        <v>0.15</v>
      </c>
      <c r="E302" s="2976">
        <v>0.15</v>
      </c>
      <c r="F302" s="2976">
        <v>0.14699999999999999</v>
      </c>
      <c r="G302" s="2977">
        <v>0.15</v>
      </c>
    </row>
    <row r="303" spans="1:7">
      <c r="A303" s="2986" t="s">
        <v>306</v>
      </c>
      <c r="B303" s="2975" t="s">
        <v>2952</v>
      </c>
      <c r="C303" s="2976">
        <v>0.15</v>
      </c>
      <c r="D303" s="2976">
        <v>0.15</v>
      </c>
      <c r="E303" s="2976">
        <v>0.15</v>
      </c>
      <c r="F303" s="2976">
        <v>0.14199999999999999</v>
      </c>
      <c r="G303" s="2977">
        <v>0.15</v>
      </c>
    </row>
    <row r="304" spans="1:7">
      <c r="A304" s="2986" t="s">
        <v>306</v>
      </c>
      <c r="B304" s="2975" t="s">
        <v>2959</v>
      </c>
      <c r="C304" s="2976">
        <v>0.15</v>
      </c>
      <c r="D304" s="2976">
        <v>0.15</v>
      </c>
      <c r="E304" s="2976">
        <v>0.15</v>
      </c>
      <c r="F304" s="2976">
        <v>0.14499999999999999</v>
      </c>
      <c r="G304" s="2977">
        <v>0.15</v>
      </c>
    </row>
    <row r="305" spans="1:7">
      <c r="A305" s="2986" t="s">
        <v>306</v>
      </c>
      <c r="B305" s="2975" t="s">
        <v>2965</v>
      </c>
      <c r="C305" s="2976">
        <v>0.15</v>
      </c>
      <c r="D305" s="2976">
        <v>0.15</v>
      </c>
      <c r="E305" s="2976">
        <v>0.15</v>
      </c>
      <c r="F305" s="2976">
        <v>0.111</v>
      </c>
      <c r="G305" s="2977">
        <v>0.15</v>
      </c>
    </row>
    <row r="306" spans="1:7">
      <c r="A306" s="2986" t="s">
        <v>306</v>
      </c>
      <c r="B306" s="2975" t="s">
        <v>2972</v>
      </c>
      <c r="C306" s="2976">
        <v>0.15</v>
      </c>
      <c r="D306" s="2976">
        <v>0.15</v>
      </c>
      <c r="E306" s="2976">
        <v>0.15</v>
      </c>
      <c r="F306" s="2976">
        <v>0.126</v>
      </c>
      <c r="G306" s="2977">
        <v>0.15</v>
      </c>
    </row>
    <row r="307" spans="1:7">
      <c r="A307" s="2986" t="s">
        <v>306</v>
      </c>
      <c r="B307" s="2975" t="s">
        <v>2977</v>
      </c>
      <c r="C307" s="2976">
        <v>0.15</v>
      </c>
      <c r="D307" s="2976">
        <v>0.15</v>
      </c>
      <c r="E307" s="2976">
        <v>0.15</v>
      </c>
      <c r="F307" s="2976">
        <v>0.12</v>
      </c>
      <c r="G307" s="2977">
        <v>0.15</v>
      </c>
    </row>
    <row r="308" spans="1:7">
      <c r="A308" s="2986" t="s">
        <v>306</v>
      </c>
      <c r="B308" s="2975" t="s">
        <v>2983</v>
      </c>
      <c r="C308" s="2976">
        <v>0.15</v>
      </c>
      <c r="D308" s="2976">
        <v>0.15</v>
      </c>
      <c r="E308" s="2976">
        <v>0.15</v>
      </c>
      <c r="F308" s="2976">
        <v>0.13</v>
      </c>
      <c r="G308" s="2977">
        <v>0.15</v>
      </c>
    </row>
    <row r="309" spans="1:7">
      <c r="A309" s="2986" t="s">
        <v>306</v>
      </c>
      <c r="B309" s="2975" t="s">
        <v>2987</v>
      </c>
      <c r="C309" s="2976">
        <v>0.15</v>
      </c>
      <c r="D309" s="2976">
        <v>0.15</v>
      </c>
      <c r="E309" s="2976">
        <v>0.15</v>
      </c>
      <c r="F309" s="2976">
        <v>0.14099999999999999</v>
      </c>
      <c r="G309" s="2977">
        <v>0.15</v>
      </c>
    </row>
    <row r="310" spans="1:7">
      <c r="A310" s="2986" t="s">
        <v>306</v>
      </c>
      <c r="B310" s="2975" t="s">
        <v>2992</v>
      </c>
      <c r="C310" s="2976">
        <v>0.15</v>
      </c>
      <c r="D310" s="2976">
        <v>0.15</v>
      </c>
      <c r="E310" s="2976">
        <v>0.15</v>
      </c>
      <c r="F310" s="2976">
        <v>0.15</v>
      </c>
      <c r="G310" s="2977">
        <v>0.15</v>
      </c>
    </row>
    <row r="311" spans="1:7">
      <c r="A311" s="2986" t="s">
        <v>306</v>
      </c>
      <c r="B311" s="2975" t="s">
        <v>2997</v>
      </c>
      <c r="C311" s="2976">
        <v>0.13200000000000001</v>
      </c>
      <c r="D311" s="2976">
        <v>0.13300000000000001</v>
      </c>
      <c r="E311" s="2976">
        <v>0.14499999999999999</v>
      </c>
      <c r="F311" s="2976">
        <v>0.14199999999999999</v>
      </c>
      <c r="G311" s="2977">
        <v>0.14000000000000001</v>
      </c>
    </row>
    <row r="312" spans="1:7">
      <c r="A312" s="2986" t="s">
        <v>306</v>
      </c>
      <c r="B312" s="2975" t="s">
        <v>3002</v>
      </c>
      <c r="C312" s="2976">
        <v>0.13800000000000001</v>
      </c>
      <c r="D312" s="2976">
        <v>0.14000000000000001</v>
      </c>
      <c r="E312" s="2976">
        <v>0.14599999999999999</v>
      </c>
      <c r="F312" s="2976">
        <v>0.14899999999999999</v>
      </c>
      <c r="G312" s="2977">
        <v>0.14199999999999999</v>
      </c>
    </row>
    <row r="313" spans="1:7">
      <c r="A313" s="2986" t="s">
        <v>306</v>
      </c>
      <c r="B313" s="2975" t="s">
        <v>3007</v>
      </c>
      <c r="C313" s="2976">
        <v>0.125</v>
      </c>
      <c r="D313" s="2976">
        <v>0.127</v>
      </c>
      <c r="E313" s="2976">
        <v>0.14399999999999999</v>
      </c>
      <c r="F313" s="2976">
        <v>0.115</v>
      </c>
      <c r="G313" s="2977">
        <v>0.13600000000000001</v>
      </c>
    </row>
    <row r="314" spans="1:7">
      <c r="A314" s="2986" t="s">
        <v>306</v>
      </c>
      <c r="B314" s="2975" t="s">
        <v>3216</v>
      </c>
      <c r="C314" s="2992"/>
      <c r="D314" s="2992"/>
      <c r="E314" s="2992"/>
      <c r="F314" s="2976">
        <v>0.05</v>
      </c>
      <c r="G314" s="2993"/>
    </row>
    <row r="315" spans="1:7">
      <c r="A315" s="2986" t="s">
        <v>306</v>
      </c>
      <c r="B315" s="2975" t="s">
        <v>3217</v>
      </c>
      <c r="C315" s="2992"/>
      <c r="D315" s="2992"/>
      <c r="E315" s="2992"/>
      <c r="F315" s="2976">
        <v>0.05</v>
      </c>
      <c r="G315" s="2993"/>
    </row>
    <row r="316" spans="1:7">
      <c r="A316" s="2986" t="s">
        <v>306</v>
      </c>
      <c r="B316" s="2975" t="s">
        <v>3218</v>
      </c>
      <c r="C316" s="2987"/>
      <c r="D316" s="2987"/>
      <c r="E316" s="2987"/>
      <c r="F316" s="2976">
        <v>0.05</v>
      </c>
      <c r="G316" s="2993"/>
    </row>
    <row r="317" spans="1:7">
      <c r="A317" s="2986" t="s">
        <v>306</v>
      </c>
      <c r="B317" s="2975" t="s">
        <v>3219</v>
      </c>
      <c r="C317" s="2987"/>
      <c r="D317" s="2987"/>
      <c r="E317" s="2987"/>
      <c r="F317" s="2976">
        <v>0.05</v>
      </c>
      <c r="G317" s="2993"/>
    </row>
    <row r="318" spans="1:7">
      <c r="A318" s="2986" t="s">
        <v>306</v>
      </c>
      <c r="B318" s="2975" t="s">
        <v>3220</v>
      </c>
      <c r="C318" s="2987"/>
      <c r="D318" s="2987"/>
      <c r="E318" s="2987"/>
      <c r="F318" s="2976">
        <v>0.05</v>
      </c>
      <c r="G318" s="2993"/>
    </row>
    <row r="319" spans="1:7">
      <c r="A319" s="2986" t="s">
        <v>306</v>
      </c>
      <c r="B319" s="2975" t="s">
        <v>3221</v>
      </c>
      <c r="C319" s="2987"/>
      <c r="D319" s="2987"/>
      <c r="E319" s="2987"/>
      <c r="F319" s="2976">
        <v>0.05</v>
      </c>
      <c r="G319" s="2993"/>
    </row>
    <row r="320" spans="1:7">
      <c r="A320" s="2986" t="s">
        <v>306</v>
      </c>
      <c r="B320" s="2975" t="s">
        <v>3222</v>
      </c>
      <c r="C320" s="2987"/>
      <c r="D320" s="2987"/>
      <c r="E320" s="2987"/>
      <c r="F320" s="2976">
        <v>0.05</v>
      </c>
      <c r="G320" s="2993"/>
    </row>
    <row r="321" spans="1:7">
      <c r="A321" s="2986" t="s">
        <v>306</v>
      </c>
      <c r="B321" s="2975" t="s">
        <v>3223</v>
      </c>
      <c r="C321" s="2987"/>
      <c r="D321" s="2987"/>
      <c r="E321" s="2987"/>
      <c r="F321" s="2976">
        <v>0.05</v>
      </c>
      <c r="G321" s="2993"/>
    </row>
    <row r="322" spans="1:7">
      <c r="A322" s="2986" t="s">
        <v>306</v>
      </c>
      <c r="B322" s="2975" t="s">
        <v>3224</v>
      </c>
      <c r="C322" s="2987"/>
      <c r="D322" s="2987"/>
      <c r="E322" s="2987"/>
      <c r="F322" s="2976">
        <v>0.05</v>
      </c>
      <c r="G322" s="2993"/>
    </row>
    <row r="323" spans="1:7">
      <c r="A323" s="2986" t="s">
        <v>306</v>
      </c>
      <c r="B323" s="2975" t="s">
        <v>3225</v>
      </c>
      <c r="C323" s="2987"/>
      <c r="D323" s="2987"/>
      <c r="E323" s="2987"/>
      <c r="F323" s="2976">
        <v>0.05</v>
      </c>
      <c r="G323" s="2993"/>
    </row>
    <row r="324" spans="1:7">
      <c r="A324" s="2986" t="s">
        <v>306</v>
      </c>
      <c r="B324" s="2975" t="s">
        <v>3226</v>
      </c>
      <c r="C324" s="2987"/>
      <c r="D324" s="2987"/>
      <c r="E324" s="2987"/>
      <c r="F324" s="2976">
        <v>0.05</v>
      </c>
      <c r="G324" s="2993"/>
    </row>
    <row r="325" spans="1:7">
      <c r="A325" s="2986" t="s">
        <v>306</v>
      </c>
      <c r="B325" s="2975" t="s">
        <v>3227</v>
      </c>
      <c r="C325" s="2987"/>
      <c r="D325" s="2987"/>
      <c r="E325" s="2987"/>
      <c r="F325" s="2976">
        <v>0.05</v>
      </c>
      <c r="G325" s="2993"/>
    </row>
    <row r="326" spans="1:7" ht="14.25" thickBot="1">
      <c r="A326" s="2989" t="s">
        <v>306</v>
      </c>
      <c r="B326" s="2979" t="s">
        <v>3228</v>
      </c>
      <c r="C326" s="2981"/>
      <c r="D326" s="2981"/>
      <c r="E326" s="2981"/>
      <c r="F326" s="2980">
        <v>0.05</v>
      </c>
      <c r="G326" s="2994"/>
    </row>
    <row r="327" spans="1:7">
      <c r="A327" s="2985" t="s">
        <v>307</v>
      </c>
      <c r="B327" s="2971" t="s">
        <v>2860</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2872</v>
      </c>
      <c r="C329" s="2976">
        <v>0.15</v>
      </c>
      <c r="D329" s="2976">
        <v>0.15</v>
      </c>
      <c r="E329" s="2976">
        <v>0.15</v>
      </c>
      <c r="F329" s="2976">
        <v>0.15</v>
      </c>
      <c r="G329" s="2977">
        <v>0.15</v>
      </c>
    </row>
    <row r="330" spans="1:7">
      <c r="A330" s="2986" t="s">
        <v>307</v>
      </c>
      <c r="B330" s="2975" t="s">
        <v>2876</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2884</v>
      </c>
      <c r="C332" s="2976">
        <v>0.15</v>
      </c>
      <c r="D332" s="2976">
        <v>0.15</v>
      </c>
      <c r="E332" s="2976">
        <v>0.15</v>
      </c>
      <c r="F332" s="2976">
        <v>0.15</v>
      </c>
      <c r="G332" s="2977">
        <v>0.15</v>
      </c>
    </row>
    <row r="333" spans="1:7">
      <c r="A333" s="2986" t="s">
        <v>307</v>
      </c>
      <c r="B333" s="2975" t="s">
        <v>2888</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2894</v>
      </c>
      <c r="C336" s="2976">
        <v>0.15</v>
      </c>
      <c r="D336" s="2976">
        <v>0.15</v>
      </c>
      <c r="E336" s="2976">
        <v>0.15</v>
      </c>
      <c r="F336" s="2976">
        <v>0.14199999999999999</v>
      </c>
      <c r="G336" s="2977">
        <v>0.15</v>
      </c>
    </row>
    <row r="337" spans="1:7">
      <c r="A337" s="2986" t="s">
        <v>307</v>
      </c>
      <c r="B337" s="2975" t="s">
        <v>2899</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2906</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2911</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2919</v>
      </c>
      <c r="C345" s="2976">
        <v>0.15</v>
      </c>
      <c r="D345" s="2976">
        <v>0.15</v>
      </c>
      <c r="E345" s="2976">
        <v>0.15</v>
      </c>
      <c r="F345" s="2976">
        <v>0.13800000000000001</v>
      </c>
      <c r="G345" s="2977">
        <v>0.15</v>
      </c>
    </row>
    <row r="346" spans="1:7">
      <c r="A346" s="2986" t="s">
        <v>307</v>
      </c>
      <c r="B346" s="2975" t="s">
        <v>2921</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2928</v>
      </c>
      <c r="C348" s="2976">
        <v>0.15</v>
      </c>
      <c r="D348" s="2976">
        <v>0.15</v>
      </c>
      <c r="E348" s="2976">
        <v>0.15</v>
      </c>
      <c r="F348" s="2976">
        <v>0.14399999999999999</v>
      </c>
      <c r="G348" s="2977">
        <v>0.15</v>
      </c>
    </row>
    <row r="349" spans="1:7">
      <c r="A349" s="2986" t="s">
        <v>307</v>
      </c>
      <c r="B349" s="2975" t="s">
        <v>2933</v>
      </c>
      <c r="C349" s="2976">
        <v>0.15</v>
      </c>
      <c r="D349" s="2976">
        <v>0.15</v>
      </c>
      <c r="E349" s="2976">
        <v>0.15</v>
      </c>
      <c r="F349" s="2976">
        <v>0.15</v>
      </c>
      <c r="G349" s="2977">
        <v>0.15</v>
      </c>
    </row>
    <row r="350" spans="1:7">
      <c r="A350" s="2986" t="s">
        <v>307</v>
      </c>
      <c r="B350" s="2975" t="s">
        <v>2936</v>
      </c>
      <c r="C350" s="2976">
        <v>0.15</v>
      </c>
      <c r="D350" s="2976">
        <v>0.15</v>
      </c>
      <c r="E350" s="2976">
        <v>0.15</v>
      </c>
      <c r="F350" s="2976">
        <v>0.14699999999999999</v>
      </c>
      <c r="G350" s="2977">
        <v>0.15</v>
      </c>
    </row>
    <row r="351" spans="1:7">
      <c r="A351" s="2986" t="s">
        <v>307</v>
      </c>
      <c r="B351" s="2975" t="s">
        <v>2941</v>
      </c>
      <c r="C351" s="2976">
        <v>0.15</v>
      </c>
      <c r="D351" s="2976">
        <v>0.15</v>
      </c>
      <c r="E351" s="2976">
        <v>0.15</v>
      </c>
      <c r="F351" s="2976">
        <v>0.13</v>
      </c>
      <c r="G351" s="2977">
        <v>0.15</v>
      </c>
    </row>
    <row r="352" spans="1:7">
      <c r="A352" s="2986" t="s">
        <v>307</v>
      </c>
      <c r="B352" s="2975" t="s">
        <v>2946</v>
      </c>
      <c r="C352" s="2976">
        <v>0.15</v>
      </c>
      <c r="D352" s="2976">
        <v>0.15</v>
      </c>
      <c r="E352" s="2976">
        <v>0.15</v>
      </c>
      <c r="F352" s="2976">
        <v>0.14599999999999999</v>
      </c>
      <c r="G352" s="2977">
        <v>0.15</v>
      </c>
    </row>
    <row r="353" spans="1:7">
      <c r="A353" s="2986" t="s">
        <v>307</v>
      </c>
      <c r="B353" s="2975" t="s">
        <v>2953</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2966</v>
      </c>
      <c r="C355" s="2976">
        <v>0.15</v>
      </c>
      <c r="D355" s="2976">
        <v>0.15</v>
      </c>
      <c r="E355" s="2976">
        <v>0.15</v>
      </c>
      <c r="F355" s="2976">
        <v>0.15</v>
      </c>
      <c r="G355" s="2977">
        <v>0.15</v>
      </c>
    </row>
    <row r="356" spans="1:7">
      <c r="A356" s="2986" t="s">
        <v>307</v>
      </c>
      <c r="B356" s="2975" t="s">
        <v>2973</v>
      </c>
      <c r="C356" s="2976">
        <v>0.15</v>
      </c>
      <c r="D356" s="2976">
        <v>0.15</v>
      </c>
      <c r="E356" s="2976">
        <v>0.15</v>
      </c>
      <c r="F356" s="2976">
        <v>0.15</v>
      </c>
      <c r="G356" s="2977">
        <v>0.15</v>
      </c>
    </row>
    <row r="357" spans="1:7" ht="14.25" thickBot="1">
      <c r="A357" s="2989" t="s">
        <v>307</v>
      </c>
      <c r="B357" s="2979" t="s">
        <v>2978</v>
      </c>
      <c r="C357" s="2980">
        <v>0.126</v>
      </c>
      <c r="D357" s="2980">
        <v>0.127</v>
      </c>
      <c r="E357" s="2980">
        <v>0.14299999999999999</v>
      </c>
      <c r="F357" s="2980">
        <v>0.125</v>
      </c>
      <c r="G357" s="2982">
        <v>0.129</v>
      </c>
    </row>
    <row r="358" spans="1:7">
      <c r="A358" s="2985" t="s">
        <v>2847</v>
      </c>
      <c r="B358" s="2971" t="s">
        <v>2861</v>
      </c>
      <c r="C358" s="2972">
        <v>0.15</v>
      </c>
      <c r="D358" s="2972">
        <v>0.15</v>
      </c>
      <c r="E358" s="2972">
        <v>0.15</v>
      </c>
      <c r="F358" s="2972">
        <v>0.15</v>
      </c>
      <c r="G358" s="2973">
        <v>0.15</v>
      </c>
    </row>
    <row r="359" spans="1:7">
      <c r="A359" s="2986" t="s">
        <v>2847</v>
      </c>
      <c r="B359" s="2975" t="s">
        <v>2867</v>
      </c>
      <c r="C359" s="2976">
        <v>0.1</v>
      </c>
      <c r="D359" s="2976">
        <v>0.1</v>
      </c>
      <c r="E359" s="2976">
        <v>0.1</v>
      </c>
      <c r="F359" s="2976">
        <v>0.1</v>
      </c>
      <c r="G359" s="2977">
        <v>0.1</v>
      </c>
    </row>
    <row r="360" spans="1:7">
      <c r="A360" s="2986" t="s">
        <v>2847</v>
      </c>
      <c r="B360" s="2975" t="s">
        <v>2873</v>
      </c>
      <c r="C360" s="2976">
        <v>0.15</v>
      </c>
      <c r="D360" s="2976">
        <v>0.15</v>
      </c>
      <c r="E360" s="2976">
        <v>0.15</v>
      </c>
      <c r="F360" s="2976">
        <v>0.14899999999999999</v>
      </c>
      <c r="G360" s="2977">
        <v>0.15</v>
      </c>
    </row>
    <row r="361" spans="1:7">
      <c r="A361" s="2986" t="s">
        <v>2847</v>
      </c>
      <c r="B361" s="2975" t="s">
        <v>153</v>
      </c>
      <c r="C361" s="2976">
        <v>0.15</v>
      </c>
      <c r="D361" s="2976">
        <v>0.15</v>
      </c>
      <c r="E361" s="2976">
        <v>0.15</v>
      </c>
      <c r="F361" s="2976">
        <v>0.115</v>
      </c>
      <c r="G361" s="2977">
        <v>0.15</v>
      </c>
    </row>
    <row r="362" spans="1:7">
      <c r="A362" s="2986" t="s">
        <v>2847</v>
      </c>
      <c r="B362" s="2975" t="s">
        <v>2880</v>
      </c>
      <c r="C362" s="2976">
        <v>0.15</v>
      </c>
      <c r="D362" s="2976">
        <v>0.15</v>
      </c>
      <c r="E362" s="2976">
        <v>0.15</v>
      </c>
      <c r="F362" s="2976">
        <v>0.106</v>
      </c>
      <c r="G362" s="2977">
        <v>0.15</v>
      </c>
    </row>
    <row r="363" spans="1:7">
      <c r="A363" s="2986" t="s">
        <v>2847</v>
      </c>
      <c r="B363" s="2975" t="s">
        <v>2885</v>
      </c>
      <c r="C363" s="2976">
        <v>0.15</v>
      </c>
      <c r="D363" s="2976">
        <v>0.15</v>
      </c>
      <c r="E363" s="2976">
        <v>0.15</v>
      </c>
      <c r="F363" s="2976">
        <v>0.14699999999999999</v>
      </c>
      <c r="G363" s="2977">
        <v>0.15</v>
      </c>
    </row>
    <row r="364" spans="1:7">
      <c r="A364" s="2986" t="s">
        <v>2847</v>
      </c>
      <c r="B364" s="2975" t="s">
        <v>2889</v>
      </c>
      <c r="C364" s="2976">
        <v>0.15</v>
      </c>
      <c r="D364" s="2976">
        <v>0.15</v>
      </c>
      <c r="E364" s="2976">
        <v>0.15</v>
      </c>
      <c r="F364" s="2976">
        <v>0.14799999999999999</v>
      </c>
      <c r="G364" s="2977">
        <v>0.15</v>
      </c>
    </row>
    <row r="365" spans="1:7">
      <c r="A365" s="2986" t="s">
        <v>2847</v>
      </c>
      <c r="B365" s="2975" t="s">
        <v>200</v>
      </c>
      <c r="C365" s="2976">
        <v>0.15</v>
      </c>
      <c r="D365" s="2976">
        <v>0.15</v>
      </c>
      <c r="E365" s="2976">
        <v>0.15</v>
      </c>
      <c r="F365" s="2976">
        <v>0.15</v>
      </c>
      <c r="G365" s="2977">
        <v>0.15</v>
      </c>
    </row>
    <row r="366" spans="1:7">
      <c r="A366" s="2986" t="s">
        <v>2847</v>
      </c>
      <c r="B366" s="2975" t="s">
        <v>2892</v>
      </c>
      <c r="C366" s="2976">
        <v>0.15</v>
      </c>
      <c r="D366" s="2976">
        <v>0.15</v>
      </c>
      <c r="E366" s="2976">
        <v>0.15</v>
      </c>
      <c r="F366" s="2976">
        <v>0.15</v>
      </c>
      <c r="G366" s="2977">
        <v>0.15</v>
      </c>
    </row>
    <row r="367" spans="1:7">
      <c r="A367" s="2986" t="s">
        <v>2847</v>
      </c>
      <c r="B367" s="2975" t="s">
        <v>2895</v>
      </c>
      <c r="C367" s="2976">
        <v>0.15</v>
      </c>
      <c r="D367" s="2976">
        <v>0.15</v>
      </c>
      <c r="E367" s="2976">
        <v>0.15</v>
      </c>
      <c r="F367" s="2976">
        <v>0.14699999999999999</v>
      </c>
      <c r="G367" s="2977">
        <v>0.15</v>
      </c>
    </row>
    <row r="368" spans="1:7">
      <c r="A368" s="2986" t="s">
        <v>2847</v>
      </c>
      <c r="B368" s="2975" t="s">
        <v>2900</v>
      </c>
      <c r="C368" s="2976">
        <v>0.15</v>
      </c>
      <c r="D368" s="2976">
        <v>0.15</v>
      </c>
      <c r="E368" s="2976">
        <v>0.15</v>
      </c>
      <c r="F368" s="2976">
        <v>0.13600000000000001</v>
      </c>
      <c r="G368" s="2977">
        <v>0.15</v>
      </c>
    </row>
    <row r="369" spans="1:7">
      <c r="A369" s="2986" t="s">
        <v>2847</v>
      </c>
      <c r="B369" s="2975" t="s">
        <v>214</v>
      </c>
      <c r="C369" s="2976">
        <v>0.15</v>
      </c>
      <c r="D369" s="2976">
        <v>0.15</v>
      </c>
      <c r="E369" s="2976">
        <v>0.15</v>
      </c>
      <c r="F369" s="2976">
        <v>0.14399999999999999</v>
      </c>
      <c r="G369" s="2977">
        <v>0.15</v>
      </c>
    </row>
    <row r="370" spans="1:7">
      <c r="A370" s="2986" t="s">
        <v>2847</v>
      </c>
      <c r="B370" s="2975" t="s">
        <v>221</v>
      </c>
      <c r="C370" s="2976">
        <v>0.15</v>
      </c>
      <c r="D370" s="2976">
        <v>0.15</v>
      </c>
      <c r="E370" s="2976">
        <v>0.15</v>
      </c>
      <c r="F370" s="2976">
        <v>0.14599999999999999</v>
      </c>
      <c r="G370" s="2977">
        <v>0.15</v>
      </c>
    </row>
    <row r="371" spans="1:7">
      <c r="A371" s="2986" t="s">
        <v>2847</v>
      </c>
      <c r="B371" s="2975" t="s">
        <v>229</v>
      </c>
      <c r="C371" s="2976">
        <v>0.15</v>
      </c>
      <c r="D371" s="2976">
        <v>0.15</v>
      </c>
      <c r="E371" s="2976">
        <v>0.15</v>
      </c>
      <c r="F371" s="2976">
        <v>0.12</v>
      </c>
      <c r="G371" s="2977">
        <v>0.15</v>
      </c>
    </row>
    <row r="372" spans="1:7">
      <c r="A372" s="2986" t="s">
        <v>2847</v>
      </c>
      <c r="B372" s="2975" t="s">
        <v>2908</v>
      </c>
      <c r="C372" s="2976">
        <v>0.15</v>
      </c>
      <c r="D372" s="2976">
        <v>0.15</v>
      </c>
      <c r="E372" s="2976">
        <v>0.15</v>
      </c>
      <c r="F372" s="2976">
        <v>0.14299999999999999</v>
      </c>
      <c r="G372" s="2977">
        <v>0.15</v>
      </c>
    </row>
    <row r="373" spans="1:7">
      <c r="A373" s="2986" t="s">
        <v>2847</v>
      </c>
      <c r="B373" s="2975" t="s">
        <v>258</v>
      </c>
      <c r="C373" s="2976">
        <v>0.15</v>
      </c>
      <c r="D373" s="2976">
        <v>0.15</v>
      </c>
      <c r="E373" s="2976">
        <v>0.15</v>
      </c>
      <c r="F373" s="2976">
        <v>0.14599999999999999</v>
      </c>
      <c r="G373" s="2977">
        <v>0.15</v>
      </c>
    </row>
    <row r="374" spans="1:7">
      <c r="A374" s="2986" t="s">
        <v>2847</v>
      </c>
      <c r="B374" s="2975" t="s">
        <v>266</v>
      </c>
      <c r="C374" s="2976">
        <v>0.15</v>
      </c>
      <c r="D374" s="2976">
        <v>0.15</v>
      </c>
      <c r="E374" s="2976">
        <v>0.15</v>
      </c>
      <c r="F374" s="2976">
        <v>0.14399999999999999</v>
      </c>
      <c r="G374" s="2977">
        <v>0.15</v>
      </c>
    </row>
    <row r="375" spans="1:7">
      <c r="A375" s="2986" t="s">
        <v>2847</v>
      </c>
      <c r="B375" s="2975" t="s">
        <v>2916</v>
      </c>
      <c r="C375" s="2976">
        <v>0.15</v>
      </c>
      <c r="D375" s="2976">
        <v>0.15</v>
      </c>
      <c r="E375" s="2976">
        <v>0.15</v>
      </c>
      <c r="F375" s="2976">
        <v>0.13</v>
      </c>
      <c r="G375" s="2977">
        <v>0.15</v>
      </c>
    </row>
    <row r="376" spans="1:7">
      <c r="A376" s="2986" t="s">
        <v>2847</v>
      </c>
      <c r="B376" s="2975" t="s">
        <v>277</v>
      </c>
      <c r="C376" s="2976">
        <v>0.15</v>
      </c>
      <c r="D376" s="2976">
        <v>0.15</v>
      </c>
      <c r="E376" s="2976">
        <v>0.15</v>
      </c>
      <c r="F376" s="2976">
        <v>0.14199999999999999</v>
      </c>
      <c r="G376" s="2977">
        <v>0.15</v>
      </c>
    </row>
    <row r="377" spans="1:7" ht="14.25" thickBot="1">
      <c r="A377" s="2989" t="s">
        <v>2847</v>
      </c>
      <c r="B377" s="2979" t="s">
        <v>2922</v>
      </c>
      <c r="C377" s="2980">
        <v>0.15</v>
      </c>
      <c r="D377" s="2980">
        <v>0.15</v>
      </c>
      <c r="E377" s="2980">
        <v>0.15</v>
      </c>
      <c r="F377" s="2980">
        <v>0.14000000000000001</v>
      </c>
      <c r="G377" s="2982">
        <v>0.15</v>
      </c>
    </row>
    <row r="378" spans="1:7">
      <c r="A378" s="2985" t="s">
        <v>2848</v>
      </c>
      <c r="B378" s="2971" t="s">
        <v>2862</v>
      </c>
      <c r="C378" s="2972">
        <v>0.15</v>
      </c>
      <c r="D378" s="2972">
        <v>0.15</v>
      </c>
      <c r="E378" s="2972">
        <v>0.15</v>
      </c>
      <c r="F378" s="2972">
        <v>0.107</v>
      </c>
      <c r="G378" s="2973">
        <v>0.15</v>
      </c>
    </row>
    <row r="379" spans="1:7">
      <c r="A379" s="2986" t="s">
        <v>2848</v>
      </c>
      <c r="B379" s="2975" t="s">
        <v>2868</v>
      </c>
      <c r="C379" s="2976">
        <v>0.15</v>
      </c>
      <c r="D379" s="2976">
        <v>0.15</v>
      </c>
      <c r="E379" s="2976">
        <v>0.15</v>
      </c>
      <c r="F379" s="2976">
        <v>0.115</v>
      </c>
      <c r="G379" s="2977">
        <v>0.14899999999999999</v>
      </c>
    </row>
    <row r="380" spans="1:7">
      <c r="A380" s="2986" t="s">
        <v>2848</v>
      </c>
      <c r="B380" s="2975" t="s">
        <v>2874</v>
      </c>
      <c r="C380" s="2976">
        <v>0.15</v>
      </c>
      <c r="D380" s="2976">
        <v>0.15</v>
      </c>
      <c r="E380" s="2976">
        <v>0.15</v>
      </c>
      <c r="F380" s="2976">
        <v>0.1</v>
      </c>
      <c r="G380" s="2977">
        <v>0.14799999999999999</v>
      </c>
    </row>
    <row r="381" spans="1:7">
      <c r="A381" s="2986" t="s">
        <v>2848</v>
      </c>
      <c r="B381" s="2975" t="s">
        <v>2877</v>
      </c>
      <c r="C381" s="2976">
        <v>0.15</v>
      </c>
      <c r="D381" s="2976">
        <v>0.15</v>
      </c>
      <c r="E381" s="2976">
        <v>0.15</v>
      </c>
      <c r="F381" s="2976">
        <v>0.126</v>
      </c>
      <c r="G381" s="2977">
        <v>0.15</v>
      </c>
    </row>
    <row r="382" spans="1:7">
      <c r="A382" s="2986" t="s">
        <v>2848</v>
      </c>
      <c r="B382" s="2975" t="s">
        <v>2881</v>
      </c>
      <c r="C382" s="2976">
        <v>0.15</v>
      </c>
      <c r="D382" s="2976">
        <v>0.15</v>
      </c>
      <c r="E382" s="2976">
        <v>0.15</v>
      </c>
      <c r="F382" s="2976">
        <v>0.15</v>
      </c>
      <c r="G382" s="2977">
        <v>0.15</v>
      </c>
    </row>
    <row r="383" spans="1:7">
      <c r="A383" s="2986" t="s">
        <v>2848</v>
      </c>
      <c r="B383" s="2975" t="s">
        <v>2886</v>
      </c>
      <c r="C383" s="2976">
        <v>0.15</v>
      </c>
      <c r="D383" s="2976">
        <v>0.15</v>
      </c>
      <c r="E383" s="2976">
        <v>0.15</v>
      </c>
      <c r="F383" s="2976">
        <v>0.14699999999999999</v>
      </c>
      <c r="G383" s="2977">
        <v>0.15</v>
      </c>
    </row>
    <row r="384" spans="1:7" ht="14.25" thickBot="1">
      <c r="A384" s="2996" t="s">
        <v>2848</v>
      </c>
      <c r="B384" s="2997" t="s">
        <v>2890</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1"/>
  </cols>
  <sheetData>
    <row r="1" spans="1:6" ht="14.25">
      <c r="A1" s="3501" t="s">
        <v>3229</v>
      </c>
      <c r="B1" s="3501"/>
      <c r="C1" s="3501"/>
      <c r="D1" s="3501"/>
      <c r="E1" s="3501"/>
      <c r="F1" s="3502"/>
    </row>
    <row r="2" spans="1:6" ht="14.25">
      <c r="A2" s="3000" t="s">
        <v>3230</v>
      </c>
    </row>
    <row r="3" spans="1:6" ht="14.25">
      <c r="A3" s="3000" t="s">
        <v>3231</v>
      </c>
      <c r="F3" s="3001" t="s">
        <v>3232</v>
      </c>
    </row>
    <row r="4" spans="1:6">
      <c r="A4" s="3002" t="s">
        <v>672</v>
      </c>
      <c r="B4" s="3002" t="s">
        <v>673</v>
      </c>
      <c r="C4" s="3002" t="s">
        <v>21</v>
      </c>
      <c r="D4" s="3002" t="s">
        <v>674</v>
      </c>
      <c r="E4" s="3002" t="s">
        <v>3</v>
      </c>
      <c r="F4" s="3002" t="s">
        <v>3233</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79"/>
  <sheetViews>
    <sheetView zoomScale="90" zoomScaleNormal="90" workbookViewId="0">
      <selection activeCell="G73" sqref="G73"/>
    </sheetView>
  </sheetViews>
  <sheetFormatPr defaultRowHeight="13.5"/>
  <cols>
    <col min="1" max="1" width="13.875" customWidth="1"/>
    <col min="11" max="17" width="0" hidden="1" customWidth="1"/>
    <col min="25" max="30" width="0" hidden="1" customWidth="1"/>
  </cols>
  <sheetData>
    <row r="1" spans="1:44">
      <c r="A1" s="2935">
        <f>'基准地价修正-商业'!G23</f>
        <v>45884</v>
      </c>
      <c r="B1" s="2927" t="s">
        <v>3375</v>
      </c>
      <c r="C1" s="2928"/>
      <c r="D1" s="2928"/>
      <c r="E1" s="2928"/>
      <c r="F1" s="2928"/>
      <c r="G1" s="2928"/>
      <c r="H1" s="2928"/>
      <c r="I1" s="2928"/>
      <c r="J1" s="2894"/>
      <c r="K1" s="2928" t="s">
        <v>454</v>
      </c>
      <c r="L1" s="2928"/>
      <c r="M1" s="2928"/>
      <c r="N1" s="2928"/>
      <c r="O1" s="2928"/>
      <c r="P1" s="2928"/>
      <c r="Q1" s="2894"/>
      <c r="R1" s="3503" t="s">
        <v>456</v>
      </c>
      <c r="S1" s="3504"/>
      <c r="T1" s="3504"/>
      <c r="U1" s="3504"/>
      <c r="V1" s="3504"/>
      <c r="W1" s="3504"/>
      <c r="X1" s="2894"/>
      <c r="Y1" s="3503" t="s">
        <v>457</v>
      </c>
      <c r="Z1" s="3504"/>
      <c r="AA1" s="3504"/>
      <c r="AB1" s="3504"/>
      <c r="AC1" s="3504"/>
      <c r="AD1" s="3504"/>
    </row>
    <row r="2" spans="1:44" s="2008" customFormat="1" ht="14.25" thickBot="1">
      <c r="B2" s="2879"/>
      <c r="C2" s="2880"/>
      <c r="D2" s="2009" t="s">
        <v>2807</v>
      </c>
      <c r="E2" s="2010" t="s">
        <v>2808</v>
      </c>
      <c r="F2" s="2010" t="s">
        <v>2809</v>
      </c>
      <c r="G2" s="2010" t="s">
        <v>2810</v>
      </c>
      <c r="H2" s="2010" t="s">
        <v>2811</v>
      </c>
      <c r="I2" s="2010" t="s">
        <v>2628</v>
      </c>
      <c r="J2" s="2881"/>
      <c r="K2" s="2009" t="s">
        <v>2807</v>
      </c>
      <c r="L2" s="2010" t="s">
        <v>2808</v>
      </c>
      <c r="M2" s="2010" t="s">
        <v>2809</v>
      </c>
      <c r="N2" s="2010" t="s">
        <v>2810</v>
      </c>
      <c r="O2" s="2010" t="s">
        <v>2812</v>
      </c>
      <c r="P2" s="2010" t="s">
        <v>2628</v>
      </c>
      <c r="Q2" s="2881"/>
      <c r="R2" s="2009" t="s">
        <v>2807</v>
      </c>
      <c r="S2" s="2010" t="s">
        <v>2808</v>
      </c>
      <c r="T2" s="2010" t="s">
        <v>2809</v>
      </c>
      <c r="U2" s="2010" t="s">
        <v>2813</v>
      </c>
      <c r="V2" s="2010" t="s">
        <v>2814</v>
      </c>
      <c r="W2" s="2010" t="s">
        <v>2628</v>
      </c>
      <c r="X2" s="2881"/>
      <c r="Y2" s="2009" t="s">
        <v>2807</v>
      </c>
      <c r="Z2" s="2010" t="s">
        <v>2808</v>
      </c>
      <c r="AA2" s="2010" t="s">
        <v>2809</v>
      </c>
      <c r="AB2" s="2010" t="s">
        <v>2815</v>
      </c>
      <c r="AC2" s="2010" t="s">
        <v>2814</v>
      </c>
      <c r="AD2" s="2010" t="s">
        <v>2628</v>
      </c>
      <c r="AF2" t="s">
        <v>3402</v>
      </c>
      <c r="AG2" t="s">
        <v>673</v>
      </c>
      <c r="AH2" t="s">
        <v>21</v>
      </c>
      <c r="AI2" t="s">
        <v>3403</v>
      </c>
      <c r="AJ2" t="s">
        <v>3</v>
      </c>
      <c r="AK2" t="s">
        <v>3404</v>
      </c>
      <c r="AM2" t="s">
        <v>3402</v>
      </c>
      <c r="AN2" t="s">
        <v>673</v>
      </c>
      <c r="AO2" t="s">
        <v>21</v>
      </c>
      <c r="AP2" t="s">
        <v>3403</v>
      </c>
      <c r="AQ2" t="s">
        <v>3</v>
      </c>
      <c r="AR2" t="s">
        <v>3404</v>
      </c>
    </row>
    <row r="3" spans="1:44" s="2884" customFormat="1" ht="12.75">
      <c r="A3" s="2882" t="s">
        <v>2816</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44" s="2043" customFormat="1">
      <c r="A5" s="2038" t="s">
        <v>3401</v>
      </c>
      <c r="B5" s="2029">
        <v>2025</v>
      </c>
      <c r="C5" s="2040">
        <v>4</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 t="shared" ref="P5:P11" si="10">M5</f>
        <v>0</v>
      </c>
      <c r="Q5" s="2904"/>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4"/>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3" customFormat="1" ht="12.75">
      <c r="A6" s="2038" t="s">
        <v>3400</v>
      </c>
      <c r="B6" s="2029">
        <v>2025</v>
      </c>
      <c r="C6" s="2040">
        <v>3</v>
      </c>
      <c r="D6" s="2005">
        <v>0</v>
      </c>
      <c r="E6" s="2005">
        <v>0</v>
      </c>
      <c r="F6" s="2005">
        <v>0</v>
      </c>
      <c r="G6" s="2005">
        <v>0</v>
      </c>
      <c r="H6" s="2005">
        <v>0</v>
      </c>
      <c r="I6" s="2006">
        <f t="shared" ref="I6" si="19">F6</f>
        <v>0</v>
      </c>
      <c r="J6" s="2904"/>
      <c r="K6" s="2041">
        <f t="shared" ref="K6" si="20">D6/100</f>
        <v>0</v>
      </c>
      <c r="L6" s="2026">
        <f t="shared" ref="L6" si="21">E6/100</f>
        <v>0</v>
      </c>
      <c r="M6" s="2026">
        <f t="shared" ref="M6" si="22">F6/100</f>
        <v>0</v>
      </c>
      <c r="N6" s="2026">
        <f t="shared" ref="N6" si="23">G6/100</f>
        <v>0</v>
      </c>
      <c r="O6" s="2026">
        <f t="shared" ref="O6" si="24">H6/100</f>
        <v>0</v>
      </c>
      <c r="P6" s="2026">
        <f t="shared" si="10"/>
        <v>0</v>
      </c>
      <c r="Q6" s="2904"/>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4"/>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3399</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3" customFormat="1" ht="12.75">
      <c r="A8" s="2038" t="s">
        <v>3407</v>
      </c>
      <c r="B8" s="2029">
        <v>2025</v>
      </c>
      <c r="C8" s="2040">
        <v>1</v>
      </c>
      <c r="D8" s="2005">
        <v>0.56999999999999995</v>
      </c>
      <c r="E8" s="2005">
        <v>-0.56999999999999995</v>
      </c>
      <c r="F8" s="2005">
        <v>-0.9</v>
      </c>
      <c r="G8" s="2005">
        <v>1.1200000000000001</v>
      </c>
      <c r="H8" s="2005">
        <v>0.42</v>
      </c>
      <c r="I8" s="2006">
        <f t="shared" ref="I8" si="54">F8</f>
        <v>-0.9</v>
      </c>
      <c r="J8" s="2904"/>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4"/>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4"/>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3" customFormat="1" ht="12.75">
      <c r="A9" s="2038" t="s">
        <v>3406</v>
      </c>
      <c r="B9" s="2029">
        <v>2024</v>
      </c>
      <c r="C9" s="2040">
        <v>4</v>
      </c>
      <c r="D9" s="2005">
        <v>-1.02</v>
      </c>
      <c r="E9" s="2005">
        <v>-0.48</v>
      </c>
      <c r="F9" s="2005">
        <v>-0.75</v>
      </c>
      <c r="G9" s="2005">
        <v>-1.05</v>
      </c>
      <c r="H9" s="2005">
        <v>0.08</v>
      </c>
      <c r="I9" s="2006">
        <f t="shared" ref="I9" si="65">F9</f>
        <v>-0.75</v>
      </c>
      <c r="J9" s="2904"/>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4"/>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4"/>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3" customFormat="1" ht="12.75">
      <c r="A10" s="2038" t="s">
        <v>3379</v>
      </c>
      <c r="B10" s="2029">
        <v>2024</v>
      </c>
      <c r="C10" s="2040">
        <v>3</v>
      </c>
      <c r="D10" s="2005">
        <v>-1.19</v>
      </c>
      <c r="E10" s="2005">
        <v>-0.47</v>
      </c>
      <c r="F10" s="2005">
        <v>-0.28999999999999998</v>
      </c>
      <c r="G10" s="2005">
        <v>-0.74</v>
      </c>
      <c r="H10" s="2005">
        <v>-0.21</v>
      </c>
      <c r="I10" s="2006">
        <f t="shared" ref="I10" si="76">F10</f>
        <v>-0.28999999999999998</v>
      </c>
      <c r="J10" s="2904"/>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4"/>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4"/>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3" customFormat="1" ht="12.75">
      <c r="A11" s="2903" t="s">
        <v>3373</v>
      </c>
      <c r="B11" s="2029">
        <v>2024</v>
      </c>
      <c r="C11" s="2040">
        <v>2</v>
      </c>
      <c r="D11" s="2005">
        <v>-0.59</v>
      </c>
      <c r="E11" s="2005">
        <v>-0.21</v>
      </c>
      <c r="F11" s="2005">
        <v>-1.38</v>
      </c>
      <c r="G11" s="2005">
        <v>-1.24</v>
      </c>
      <c r="H11" s="2915">
        <v>0.34</v>
      </c>
      <c r="I11" s="2006">
        <f t="shared" ref="I11:I24" si="87">F11</f>
        <v>-1.38</v>
      </c>
      <c r="J11" s="2904"/>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4"/>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4"/>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3" customFormat="1" ht="12.75">
      <c r="A12" s="2903" t="s">
        <v>3372</v>
      </c>
      <c r="B12" s="2029">
        <v>2024</v>
      </c>
      <c r="C12" s="2040">
        <v>1</v>
      </c>
      <c r="D12" s="2005">
        <v>0.08</v>
      </c>
      <c r="E12" s="2005">
        <v>0.46</v>
      </c>
      <c r="F12" s="2005">
        <v>-0.16</v>
      </c>
      <c r="G12" s="2005">
        <v>0.26</v>
      </c>
      <c r="H12" s="2915">
        <v>0.59</v>
      </c>
      <c r="I12" s="2006">
        <f t="shared" si="87"/>
        <v>-0.16</v>
      </c>
      <c r="J12" s="2904"/>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4"/>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4"/>
      <c r="Y12" s="2026"/>
      <c r="Z12" s="2026"/>
      <c r="AA12" s="2026"/>
      <c r="AB12" s="2026"/>
      <c r="AC12" s="2026"/>
      <c r="AD12" s="2026"/>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3" customFormat="1" ht="12.75">
      <c r="A13" s="2903" t="s">
        <v>3368</v>
      </c>
      <c r="B13" s="2029">
        <v>2023</v>
      </c>
      <c r="C13" s="2040">
        <v>4</v>
      </c>
      <c r="D13" s="2005">
        <v>0.19</v>
      </c>
      <c r="E13" s="2005">
        <v>0.24</v>
      </c>
      <c r="F13" s="2005">
        <v>-0.16</v>
      </c>
      <c r="G13" s="2005">
        <v>0.17</v>
      </c>
      <c r="H13" s="2915">
        <v>0.61</v>
      </c>
      <c r="I13" s="2006">
        <f>F13</f>
        <v>-0.16</v>
      </c>
      <c r="J13" s="2904"/>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4"/>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4"/>
      <c r="Y13" s="2026"/>
      <c r="Z13" s="2026"/>
      <c r="AA13" s="2026"/>
      <c r="AB13" s="2026"/>
      <c r="AC13" s="2026"/>
      <c r="AD13" s="2026"/>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3" customFormat="1" ht="12.75">
      <c r="A14" s="2903" t="s">
        <v>3367</v>
      </c>
      <c r="B14" s="2029">
        <v>2023</v>
      </c>
      <c r="C14" s="2040">
        <v>3</v>
      </c>
      <c r="D14" s="2005">
        <v>0.25</v>
      </c>
      <c r="E14" s="2005">
        <v>0.5</v>
      </c>
      <c r="F14" s="2005">
        <v>0.31</v>
      </c>
      <c r="G14" s="2005">
        <v>0.21</v>
      </c>
      <c r="H14" s="2915">
        <v>0.43</v>
      </c>
      <c r="I14" s="2006">
        <f t="shared" si="87"/>
        <v>0.31</v>
      </c>
      <c r="J14" s="2904"/>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4"/>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4"/>
      <c r="Y14" s="2026"/>
      <c r="Z14" s="2026"/>
      <c r="AA14" s="2026"/>
      <c r="AB14" s="2026"/>
      <c r="AC14" s="2026"/>
      <c r="AD14" s="2026"/>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3" customFormat="1" ht="12.75">
      <c r="A15" s="2903" t="s">
        <v>3365</v>
      </c>
      <c r="B15" s="2029">
        <v>2023</v>
      </c>
      <c r="C15" s="2040">
        <v>2</v>
      </c>
      <c r="D15" s="2005">
        <v>0.91</v>
      </c>
      <c r="E15" s="2005">
        <v>0.66</v>
      </c>
      <c r="F15" s="2005">
        <v>0.47</v>
      </c>
      <c r="G15" s="2005">
        <v>0.96</v>
      </c>
      <c r="H15" s="2915">
        <v>0.71</v>
      </c>
      <c r="I15" s="2006">
        <f t="shared" si="87"/>
        <v>0.47</v>
      </c>
      <c r="J15" s="2904"/>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4"/>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4"/>
      <c r="Y15" s="2026"/>
      <c r="Z15" s="2026"/>
      <c r="AA15" s="2026"/>
      <c r="AB15" s="2026"/>
      <c r="AC15" s="2026"/>
      <c r="AD15" s="2026"/>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3" customFormat="1" ht="12.75">
      <c r="A16" s="2903" t="s">
        <v>3364</v>
      </c>
      <c r="B16" s="2029">
        <v>2023</v>
      </c>
      <c r="C16" s="2040">
        <v>1</v>
      </c>
      <c r="D16" s="2005">
        <v>0.89</v>
      </c>
      <c r="E16" s="2005">
        <v>0.74</v>
      </c>
      <c r="F16" s="2005">
        <v>0.56999999999999995</v>
      </c>
      <c r="G16" s="2005">
        <v>0.92</v>
      </c>
      <c r="H16" s="2915">
        <v>0.5</v>
      </c>
      <c r="I16" s="2006">
        <f t="shared" si="87"/>
        <v>0.56999999999999995</v>
      </c>
      <c r="J16" s="2904"/>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4"/>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4"/>
      <c r="Y16" s="2026"/>
      <c r="Z16" s="2026"/>
      <c r="AA16" s="2026"/>
      <c r="AB16" s="2026"/>
      <c r="AC16" s="2026"/>
      <c r="AD16" s="2026"/>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3" customFormat="1" ht="12.75">
      <c r="A17" s="2903" t="s">
        <v>3363</v>
      </c>
      <c r="B17" s="2029">
        <v>2022</v>
      </c>
      <c r="C17" s="2040">
        <v>4</v>
      </c>
      <c r="D17" s="2005">
        <v>0.62</v>
      </c>
      <c r="E17" s="2005">
        <v>0.2</v>
      </c>
      <c r="F17" s="2005">
        <v>0.11</v>
      </c>
      <c r="G17" s="2005">
        <v>0.69</v>
      </c>
      <c r="H17" s="2915">
        <v>0.53</v>
      </c>
      <c r="I17" s="2006">
        <f t="shared" si="87"/>
        <v>0.11</v>
      </c>
      <c r="J17" s="2904"/>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4"/>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4"/>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3" customFormat="1" ht="12.75">
      <c r="A18" s="2903" t="s">
        <v>3361</v>
      </c>
      <c r="B18" s="2029">
        <v>2022</v>
      </c>
      <c r="C18" s="2040">
        <v>3</v>
      </c>
      <c r="D18" s="2005">
        <v>0.66</v>
      </c>
      <c r="E18" s="2005">
        <v>0.32</v>
      </c>
      <c r="F18" s="2005">
        <v>0.23</v>
      </c>
      <c r="G18" s="2005">
        <v>0.72</v>
      </c>
      <c r="H18" s="2915">
        <v>0.63</v>
      </c>
      <c r="I18" s="2006">
        <f t="shared" si="87"/>
        <v>0.23</v>
      </c>
      <c r="J18" s="2904"/>
      <c r="K18" s="2041">
        <f t="shared" si="88"/>
        <v>6.6E-3</v>
      </c>
      <c r="L18" s="2026">
        <f t="shared" si="88"/>
        <v>3.2000000000000002E-3</v>
      </c>
      <c r="M18" s="2026">
        <f t="shared" si="88"/>
        <v>2.3E-3</v>
      </c>
      <c r="N18" s="2026">
        <f t="shared" si="88"/>
        <v>7.1999999999999998E-3</v>
      </c>
      <c r="O18" s="2026">
        <f t="shared" si="88"/>
        <v>6.3E-3</v>
      </c>
      <c r="P18" s="2026">
        <f t="shared" si="108"/>
        <v>2.3E-3</v>
      </c>
      <c r="Q18" s="2904"/>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4"/>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3" customFormat="1" ht="12.75">
      <c r="A19" s="2903" t="s">
        <v>3352</v>
      </c>
      <c r="B19" s="2029">
        <v>2022</v>
      </c>
      <c r="C19" s="2040">
        <v>2</v>
      </c>
      <c r="D19" s="2005">
        <v>0.93</v>
      </c>
      <c r="E19" s="2005">
        <v>0.15</v>
      </c>
      <c r="F19" s="2005">
        <v>0.01</v>
      </c>
      <c r="G19" s="2005">
        <v>1.05</v>
      </c>
      <c r="H19" s="2915">
        <v>1.08</v>
      </c>
      <c r="I19" s="2006">
        <f t="shared" si="87"/>
        <v>0.01</v>
      </c>
      <c r="J19" s="2904"/>
      <c r="K19" s="2041">
        <f t="shared" si="88"/>
        <v>9.300000000000001E-3</v>
      </c>
      <c r="L19" s="2026">
        <f t="shared" si="88"/>
        <v>1.5E-3</v>
      </c>
      <c r="M19" s="2026">
        <f t="shared" si="88"/>
        <v>1E-4</v>
      </c>
      <c r="N19" s="2026">
        <f t="shared" si="88"/>
        <v>1.0500000000000001E-2</v>
      </c>
      <c r="O19" s="2026">
        <f t="shared" si="88"/>
        <v>1.0800000000000001E-2</v>
      </c>
      <c r="P19" s="2026">
        <f t="shared" si="108"/>
        <v>1E-4</v>
      </c>
      <c r="Q19" s="2904"/>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4"/>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3" customFormat="1" ht="12.75">
      <c r="A20" s="2903" t="s">
        <v>2817</v>
      </c>
      <c r="B20" s="2029">
        <v>2022</v>
      </c>
      <c r="C20" s="2040">
        <v>1</v>
      </c>
      <c r="D20" s="2005">
        <v>0.89</v>
      </c>
      <c r="E20" s="2005">
        <v>0.44</v>
      </c>
      <c r="F20" s="2005">
        <v>0.37</v>
      </c>
      <c r="G20" s="2005">
        <v>0.96</v>
      </c>
      <c r="H20" s="2915">
        <v>0.64</v>
      </c>
      <c r="I20" s="2006">
        <f t="shared" si="87"/>
        <v>0.37</v>
      </c>
      <c r="J20" s="2904"/>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4"/>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4"/>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3" customFormat="1" ht="12.75">
      <c r="A21" s="2903" t="s">
        <v>2818</v>
      </c>
      <c r="B21" s="2029">
        <v>2021</v>
      </c>
      <c r="C21" s="2040">
        <v>4</v>
      </c>
      <c r="D21" s="2005">
        <v>1.03</v>
      </c>
      <c r="E21" s="2005">
        <v>0.24</v>
      </c>
      <c r="F21" s="2005">
        <v>7.0000000000000007E-2</v>
      </c>
      <c r="G21" s="2005">
        <v>1.17</v>
      </c>
      <c r="H21" s="2915">
        <v>0.55000000000000004</v>
      </c>
      <c r="I21" s="2006">
        <f t="shared" si="87"/>
        <v>7.0000000000000007E-2</v>
      </c>
      <c r="J21" s="2904"/>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4"/>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4"/>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3" customFormat="1" ht="12.75">
      <c r="A22" s="2903" t="s">
        <v>2819</v>
      </c>
      <c r="B22" s="2029">
        <v>2021</v>
      </c>
      <c r="C22" s="2040">
        <v>3</v>
      </c>
      <c r="D22" s="2005">
        <v>0.47</v>
      </c>
      <c r="E22" s="2005">
        <v>0.41</v>
      </c>
      <c r="F22" s="2005">
        <v>0.24</v>
      </c>
      <c r="G22" s="2005">
        <v>0.48</v>
      </c>
      <c r="H22" s="2915">
        <v>0.48</v>
      </c>
      <c r="I22" s="2006">
        <f t="shared" si="87"/>
        <v>0.24</v>
      </c>
      <c r="J22" s="2904"/>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4"/>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4"/>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3" customFormat="1" ht="12.75">
      <c r="A23" s="2903" t="s">
        <v>2820</v>
      </c>
      <c r="B23" s="2029">
        <v>2021</v>
      </c>
      <c r="C23" s="2040">
        <v>2</v>
      </c>
      <c r="D23" s="2005">
        <v>0.92</v>
      </c>
      <c r="E23" s="2005">
        <v>0.72</v>
      </c>
      <c r="F23" s="2005">
        <v>0.41</v>
      </c>
      <c r="G23" s="2005">
        <v>0.95</v>
      </c>
      <c r="H23" s="2915">
        <v>1.01</v>
      </c>
      <c r="I23" s="2006">
        <f t="shared" si="87"/>
        <v>0.41</v>
      </c>
      <c r="J23" s="2904"/>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4"/>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4"/>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25" thickBot="1">
      <c r="A24" s="2916" t="s">
        <v>2821</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25" thickTop="1"/>
    <row r="26" spans="1:44">
      <c r="A26" s="3141" t="s">
        <v>3378</v>
      </c>
    </row>
    <row r="27" spans="1:44">
      <c r="I27" s="1403" t="s">
        <v>2822</v>
      </c>
    </row>
    <row r="29" spans="1:44" s="2007" customFormat="1" ht="12.75">
      <c r="B29" s="2927" t="s">
        <v>3376</v>
      </c>
      <c r="C29" s="2928"/>
      <c r="D29" s="2928"/>
      <c r="E29" s="2928"/>
      <c r="F29" s="2928"/>
      <c r="G29" s="2928"/>
      <c r="H29" s="2928"/>
      <c r="I29" s="2928"/>
      <c r="J29" s="2894"/>
      <c r="K29" s="2928" t="s">
        <v>2823</v>
      </c>
      <c r="L29" s="2928"/>
      <c r="M29" s="2928"/>
      <c r="N29" s="2928"/>
      <c r="O29" s="2928"/>
      <c r="P29" s="2928"/>
      <c r="Q29" s="2894"/>
      <c r="R29" s="3503" t="s">
        <v>2824</v>
      </c>
      <c r="S29" s="3504"/>
      <c r="T29" s="3504"/>
      <c r="U29" s="3504"/>
      <c r="V29" s="3504"/>
      <c r="W29" s="3504"/>
      <c r="X29" s="2894"/>
      <c r="Y29" s="3503" t="s">
        <v>2825</v>
      </c>
      <c r="Z29" s="3504"/>
      <c r="AA29" s="3504"/>
      <c r="AB29" s="3504"/>
      <c r="AC29" s="3504"/>
      <c r="AD29" s="3504"/>
    </row>
    <row r="30" spans="1:44" s="2008" customFormat="1" ht="14.25" thickBot="1">
      <c r="B30" s="2879"/>
      <c r="C30" s="2880"/>
      <c r="D30" s="2009" t="s">
        <v>2826</v>
      </c>
      <c r="E30" s="2010" t="s">
        <v>2827</v>
      </c>
      <c r="F30" s="2010" t="s">
        <v>2828</v>
      </c>
      <c r="G30" s="2010" t="s">
        <v>2829</v>
      </c>
      <c r="H30" s="2010"/>
      <c r="I30" s="2010" t="s">
        <v>2830</v>
      </c>
      <c r="J30" s="2881"/>
      <c r="K30" s="2009" t="s">
        <v>2826</v>
      </c>
      <c r="L30" s="2010" t="s">
        <v>2827</v>
      </c>
      <c r="M30" s="2010" t="s">
        <v>2828</v>
      </c>
      <c r="N30" s="2010" t="s">
        <v>2829</v>
      </c>
      <c r="O30" s="2010"/>
      <c r="P30" s="2010" t="s">
        <v>2830</v>
      </c>
      <c r="Q30" s="2881"/>
      <c r="R30" s="2009" t="s">
        <v>2826</v>
      </c>
      <c r="S30" s="2010" t="s">
        <v>2827</v>
      </c>
      <c r="T30" s="2010" t="s">
        <v>2828</v>
      </c>
      <c r="U30" s="2010" t="s">
        <v>2829</v>
      </c>
      <c r="V30" s="2010"/>
      <c r="W30" s="2010" t="s">
        <v>2830</v>
      </c>
      <c r="X30" s="2881"/>
      <c r="Y30" s="2009" t="s">
        <v>2826</v>
      </c>
      <c r="Z30" s="2010" t="s">
        <v>2827</v>
      </c>
      <c r="AA30" s="2010" t="s">
        <v>2828</v>
      </c>
      <c r="AB30" s="2010" t="s">
        <v>2829</v>
      </c>
      <c r="AC30" s="2010"/>
      <c r="AD30" s="2010" t="s">
        <v>2830</v>
      </c>
      <c r="AG30" t="s">
        <v>673</v>
      </c>
      <c r="AH30" t="s">
        <v>21</v>
      </c>
      <c r="AI30" t="s">
        <v>3403</v>
      </c>
      <c r="AJ30"/>
      <c r="AK30" t="s">
        <v>3404</v>
      </c>
      <c r="AN30" t="s">
        <v>673</v>
      </c>
      <c r="AO30" t="s">
        <v>21</v>
      </c>
      <c r="AP30" t="s">
        <v>3403</v>
      </c>
      <c r="AQ30"/>
      <c r="AR30" t="s">
        <v>3404</v>
      </c>
    </row>
    <row r="31" spans="1:44" s="2884" customFormat="1" ht="12.75">
      <c r="A31" s="2882" t="s">
        <v>2831</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3.8999999999999998E-3</v>
      </c>
      <c r="AB31" s="2890">
        <f t="shared" si="118"/>
        <v>6.4999999999999997E-3</v>
      </c>
      <c r="AC31" s="2893"/>
      <c r="AD31" s="2890">
        <f>AA31</f>
        <v>3.8999999999999998E-3</v>
      </c>
    </row>
    <row r="32" spans="1:44" s="2007" customFormat="1" ht="12.75">
      <c r="B32" s="2023"/>
      <c r="J32" s="2894"/>
      <c r="K32" s="2895"/>
      <c r="L32" s="2896"/>
      <c r="M32" s="2896"/>
      <c r="N32" s="2896"/>
      <c r="O32" s="2896"/>
      <c r="P32" s="2896"/>
      <c r="Q32" s="2894"/>
      <c r="R32" s="2025"/>
      <c r="S32" s="2897"/>
      <c r="T32" s="2898"/>
      <c r="U32" s="2025"/>
      <c r="V32" s="2899"/>
      <c r="W32" s="2025"/>
      <c r="X32" s="2894"/>
      <c r="Y32" s="2026"/>
      <c r="Z32" s="2900"/>
      <c r="AA32" s="2901"/>
      <c r="AB32" s="2026"/>
      <c r="AC32" s="2902"/>
      <c r="AD32" s="2026"/>
    </row>
    <row r="33" spans="1:44" s="2043" customFormat="1">
      <c r="A33" s="2038" t="s">
        <v>3401</v>
      </c>
      <c r="B33" s="2029">
        <v>2025</v>
      </c>
      <c r="C33" s="2040">
        <v>4</v>
      </c>
      <c r="D33" s="2005"/>
      <c r="E33" s="2005">
        <v>0</v>
      </c>
      <c r="F33" s="2005">
        <v>0</v>
      </c>
      <c r="G33" s="2005">
        <v>0</v>
      </c>
      <c r="H33" s="2005"/>
      <c r="I33" s="2006">
        <f t="shared" ref="I33" si="119">F33</f>
        <v>0</v>
      </c>
      <c r="J33" s="2904"/>
      <c r="K33" s="2041"/>
      <c r="L33" s="2026">
        <f t="shared" ref="L33" si="120">E33/100</f>
        <v>0</v>
      </c>
      <c r="M33" s="2026">
        <f t="shared" ref="M33" si="121">F33/100</f>
        <v>0</v>
      </c>
      <c r="N33" s="2026">
        <f t="shared" ref="N33" si="122">G33/100</f>
        <v>0</v>
      </c>
      <c r="O33" s="2026"/>
      <c r="P33" s="2026">
        <f t="shared" ref="P33:P39" si="123">M33</f>
        <v>0</v>
      </c>
      <c r="Q33" s="2904"/>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4"/>
      <c r="Y33" s="2026"/>
      <c r="Z33" s="2900">
        <f t="shared" ref="Z33" si="125">IF(E33=0,0,ROUND(AVERAGE(E33:E46)/100,4))</f>
        <v>0</v>
      </c>
      <c r="AA33" s="2900">
        <f t="shared" ref="AA33" si="126">IF(F33=0,0,ROUND(AVERAGE(F33:F46)/100,4))</f>
        <v>0</v>
      </c>
      <c r="AB33" s="2900">
        <f t="shared" ref="AB33" si="127">IF(G33=0,0,ROUND(AVERAGE(G33:G46)/100,4))</f>
        <v>0</v>
      </c>
      <c r="AC33" s="2902"/>
      <c r="AD33" s="2026">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3" customFormat="1" ht="12.75">
      <c r="A34" s="2038" t="s">
        <v>3400</v>
      </c>
      <c r="B34" s="2029">
        <v>2025</v>
      </c>
      <c r="C34" s="2040">
        <v>3</v>
      </c>
      <c r="D34" s="2005"/>
      <c r="E34" s="2005">
        <v>0</v>
      </c>
      <c r="F34" s="2005">
        <v>0</v>
      </c>
      <c r="G34" s="2005">
        <v>0</v>
      </c>
      <c r="H34" s="2005"/>
      <c r="I34" s="2006">
        <f t="shared" ref="I34" si="133">F34</f>
        <v>0</v>
      </c>
      <c r="J34" s="2904"/>
      <c r="K34" s="2041"/>
      <c r="L34" s="2026">
        <f t="shared" ref="L34" si="134">E34/100</f>
        <v>0</v>
      </c>
      <c r="M34" s="2026">
        <f t="shared" ref="M34" si="135">F34/100</f>
        <v>0</v>
      </c>
      <c r="N34" s="2026">
        <f t="shared" ref="N34" si="136">G34/100</f>
        <v>0</v>
      </c>
      <c r="O34" s="2026"/>
      <c r="P34" s="2026">
        <f t="shared" si="123"/>
        <v>0</v>
      </c>
      <c r="Q34" s="2904"/>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4"/>
      <c r="Y34" s="2026"/>
      <c r="Z34" s="2900">
        <f t="shared" ref="Z34" si="137">IF(E34=0,0,ROUND(AVERAGE(E34:E47)/100,4))</f>
        <v>0</v>
      </c>
      <c r="AA34" s="2900">
        <f t="shared" ref="AA34" si="138">IF(F34=0,0,ROUND(AVERAGE(F34:F47)/100,4))</f>
        <v>0</v>
      </c>
      <c r="AB34" s="2900">
        <f t="shared" ref="AB34" si="139">IF(G34=0,0,ROUND(AVERAGE(G34:G47)/100,4))</f>
        <v>0</v>
      </c>
      <c r="AC34" s="2902"/>
      <c r="AD34" s="2026">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2.75">
      <c r="A35" s="2905" t="s">
        <v>3408</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3" customFormat="1" ht="12.75">
      <c r="A36" s="2038" t="s">
        <v>3405</v>
      </c>
      <c r="B36" s="2029">
        <v>2025</v>
      </c>
      <c r="C36" s="2040">
        <v>1</v>
      </c>
      <c r="D36" s="2005"/>
      <c r="E36" s="2005">
        <v>-1.47</v>
      </c>
      <c r="F36" s="2005">
        <v>-0.98</v>
      </c>
      <c r="G36" s="2005">
        <v>-0.51</v>
      </c>
      <c r="H36" s="2005"/>
      <c r="I36" s="2006">
        <f t="shared" ref="I36" si="152">F36</f>
        <v>-0.98</v>
      </c>
      <c r="J36" s="2904"/>
      <c r="K36" s="2041"/>
      <c r="L36" s="2026">
        <f t="shared" ref="L36" si="153">E36/100</f>
        <v>-1.47E-2</v>
      </c>
      <c r="M36" s="2026">
        <f t="shared" ref="M36" si="154">F36/100</f>
        <v>-9.7999999999999997E-3</v>
      </c>
      <c r="N36" s="2026">
        <f t="shared" ref="N36" si="155">G36/100</f>
        <v>-5.1000000000000004E-3</v>
      </c>
      <c r="O36" s="2026"/>
      <c r="P36" s="2026">
        <f t="shared" si="123"/>
        <v>-9.7999999999999997E-3</v>
      </c>
      <c r="Q36" s="2904"/>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4"/>
      <c r="Y36" s="2026"/>
      <c r="Z36" s="2900">
        <f t="shared" ref="Z36" si="156">IF(E36=0,0,ROUND(AVERAGE(E36:E49)/100,4))</f>
        <v>4.0000000000000002E-4</v>
      </c>
      <c r="AA36" s="2900">
        <f t="shared" ref="AA36" si="157">IF(F36=0,0,ROUND(AVERAGE(F36:F49)/100,4))</f>
        <v>0</v>
      </c>
      <c r="AB36" s="2900">
        <f t="shared" ref="AB36" si="158">IF(G36=0,0,ROUND(AVERAGE(G36:G49)/100,4))</f>
        <v>1E-3</v>
      </c>
      <c r="AC36" s="2902"/>
      <c r="AD36" s="2026">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3" customFormat="1" ht="12.75">
      <c r="A37" s="2038" t="s">
        <v>3406</v>
      </c>
      <c r="B37" s="2029">
        <v>2024</v>
      </c>
      <c r="C37" s="2040">
        <v>4</v>
      </c>
      <c r="D37" s="2005"/>
      <c r="E37" s="2005">
        <v>-0.61</v>
      </c>
      <c r="F37" s="2005">
        <v>-0.71</v>
      </c>
      <c r="G37" s="2005">
        <v>-0.88</v>
      </c>
      <c r="H37" s="2005"/>
      <c r="I37" s="2006">
        <f t="shared" ref="I37" si="162">F37</f>
        <v>-0.71</v>
      </c>
      <c r="J37" s="2904"/>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4"/>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4"/>
      <c r="Y37" s="2026"/>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6">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3" customFormat="1" ht="12.75">
      <c r="A38" s="2038" t="s">
        <v>3370</v>
      </c>
      <c r="B38" s="2029">
        <v>2024</v>
      </c>
      <c r="C38" s="2040">
        <v>3</v>
      </c>
      <c r="D38" s="2005"/>
      <c r="E38" s="2005">
        <v>-0.66</v>
      </c>
      <c r="F38" s="2005">
        <v>-0.52</v>
      </c>
      <c r="G38" s="2005">
        <v>-2.87</v>
      </c>
      <c r="H38" s="2005"/>
      <c r="I38" s="2006">
        <f t="shared" ref="I38" si="169">F38</f>
        <v>-0.52</v>
      </c>
      <c r="J38" s="2904"/>
      <c r="K38" s="2041"/>
      <c r="L38" s="2026">
        <f t="shared" ref="L38" si="170">E38/100</f>
        <v>-6.6E-3</v>
      </c>
      <c r="M38" s="2026">
        <f t="shared" ref="M38" si="171">F38/100</f>
        <v>-5.1999999999999998E-3</v>
      </c>
      <c r="N38" s="2026">
        <f t="shared" ref="N38" si="172">G38/100</f>
        <v>-2.87E-2</v>
      </c>
      <c r="O38" s="2026"/>
      <c r="P38" s="2026">
        <f t="shared" si="123"/>
        <v>-5.1999999999999998E-3</v>
      </c>
      <c r="Q38" s="2904"/>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4"/>
      <c r="Y38" s="2026"/>
      <c r="Z38" s="2900">
        <f t="shared" ref="Z38:AB39" si="173">IF(E38=0,0,ROUND(AVERAGE(E38:E51)/100,4))</f>
        <v>2.5999999999999999E-3</v>
      </c>
      <c r="AA38" s="2900">
        <f t="shared" si="173"/>
        <v>1.6999999999999999E-3</v>
      </c>
      <c r="AB38" s="2900">
        <f t="shared" si="173"/>
        <v>3.3999999999999998E-3</v>
      </c>
      <c r="AC38" s="2902"/>
      <c r="AD38" s="2026">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3" customFormat="1" ht="12.75">
      <c r="A39" s="2903" t="s">
        <v>3374</v>
      </c>
      <c r="B39" s="2029">
        <v>2024</v>
      </c>
      <c r="C39" s="2040">
        <v>2</v>
      </c>
      <c r="D39" s="2005"/>
      <c r="E39" s="2005">
        <v>-0.31</v>
      </c>
      <c r="F39" s="2005">
        <v>-0.39</v>
      </c>
      <c r="G39" s="2005">
        <v>1.23</v>
      </c>
      <c r="H39" s="2915"/>
      <c r="I39" s="2006">
        <f t="shared" ref="I39:I52" si="174">F39</f>
        <v>-0.39</v>
      </c>
      <c r="J39" s="2904"/>
      <c r="K39" s="2041"/>
      <c r="L39" s="2026">
        <f t="shared" ref="L39:N52" si="175">E39/100</f>
        <v>-3.0999999999999999E-3</v>
      </c>
      <c r="M39" s="2026">
        <f t="shared" si="175"/>
        <v>-3.9000000000000003E-3</v>
      </c>
      <c r="N39" s="2026">
        <f t="shared" si="175"/>
        <v>1.23E-2</v>
      </c>
      <c r="O39" s="2026"/>
      <c r="P39" s="2026">
        <f t="shared" si="123"/>
        <v>-3.9000000000000003E-3</v>
      </c>
      <c r="Q39" s="2904"/>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4"/>
      <c r="Y39" s="2026"/>
      <c r="Z39" s="2900">
        <f t="shared" si="173"/>
        <v>3.3E-3</v>
      </c>
      <c r="AA39" s="2901">
        <f t="shared" si="173"/>
        <v>2.3999999999999998E-3</v>
      </c>
      <c r="AB39" s="2026">
        <f t="shared" si="173"/>
        <v>6.1999999999999998E-3</v>
      </c>
      <c r="AC39" s="2902"/>
      <c r="AD39" s="2026">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3" customFormat="1" ht="12.75">
      <c r="A40" s="2903" t="s">
        <v>3371</v>
      </c>
      <c r="B40" s="2029">
        <v>2024</v>
      </c>
      <c r="C40" s="2040">
        <v>1</v>
      </c>
      <c r="D40" s="2005"/>
      <c r="E40" s="2005">
        <v>0.25</v>
      </c>
      <c r="F40" s="2005">
        <v>0.4</v>
      </c>
      <c r="G40" s="2005">
        <v>-0.63</v>
      </c>
      <c r="H40" s="2915"/>
      <c r="I40" s="2006">
        <f t="shared" ref="I40:I41" si="176">F40</f>
        <v>0.4</v>
      </c>
      <c r="J40" s="2904"/>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4"/>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4"/>
      <c r="Y40" s="2026"/>
      <c r="Z40" s="2900"/>
      <c r="AA40" s="2901"/>
      <c r="AB40" s="2026"/>
      <c r="AC40" s="2902"/>
      <c r="AD40" s="2026"/>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3" customFormat="1" ht="12.75">
      <c r="A41" s="2903" t="s">
        <v>3369</v>
      </c>
      <c r="B41" s="2029">
        <v>2023</v>
      </c>
      <c r="C41" s="2040">
        <v>4</v>
      </c>
      <c r="D41" s="2005"/>
      <c r="E41" s="2005">
        <v>7.0000000000000007E-2</v>
      </c>
      <c r="F41" s="2005">
        <v>0.09</v>
      </c>
      <c r="G41" s="2005">
        <v>0.03</v>
      </c>
      <c r="H41" s="2915"/>
      <c r="I41" s="2006">
        <f t="shared" si="176"/>
        <v>0.09</v>
      </c>
      <c r="J41" s="2904"/>
      <c r="K41" s="2041"/>
      <c r="L41" s="2026">
        <f t="shared" si="175"/>
        <v>7.000000000000001E-4</v>
      </c>
      <c r="M41" s="2026">
        <f t="shared" si="175"/>
        <v>8.9999999999999998E-4</v>
      </c>
      <c r="N41" s="2026">
        <f t="shared" si="175"/>
        <v>2.9999999999999997E-4</v>
      </c>
      <c r="O41" s="2026"/>
      <c r="P41" s="2026">
        <f t="shared" ref="P41" si="182">M41</f>
        <v>8.9999999999999998E-4</v>
      </c>
      <c r="Q41" s="2904"/>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4"/>
      <c r="Y41" s="2026"/>
      <c r="Z41" s="2900"/>
      <c r="AA41" s="2901"/>
      <c r="AB41" s="2026"/>
      <c r="AC41" s="2902"/>
      <c r="AD41" s="2026"/>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3" customFormat="1" ht="12.75">
      <c r="A42" s="2903" t="s">
        <v>3367</v>
      </c>
      <c r="B42" s="2029">
        <v>2023</v>
      </c>
      <c r="C42" s="2040">
        <v>3</v>
      </c>
      <c r="D42" s="2005"/>
      <c r="E42" s="2005">
        <v>0.35</v>
      </c>
      <c r="F42" s="2005">
        <v>0.17</v>
      </c>
      <c r="G42" s="2005">
        <v>0.52</v>
      </c>
      <c r="H42" s="2915"/>
      <c r="I42" s="2006">
        <f t="shared" si="174"/>
        <v>0.17</v>
      </c>
      <c r="J42" s="2904"/>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4"/>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4"/>
      <c r="Y42" s="2026"/>
      <c r="Z42" s="2900"/>
      <c r="AA42" s="2901"/>
      <c r="AB42" s="2026"/>
      <c r="AC42" s="2902"/>
      <c r="AD42" s="2026"/>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3" customFormat="1" ht="12.75">
      <c r="A43" s="2903" t="s">
        <v>3366</v>
      </c>
      <c r="B43" s="2029">
        <v>2023</v>
      </c>
      <c r="C43" s="2040">
        <v>2</v>
      </c>
      <c r="D43" s="2005"/>
      <c r="E43" s="2005">
        <v>0.5</v>
      </c>
      <c r="F43" s="2005">
        <v>0.45</v>
      </c>
      <c r="G43" s="2005">
        <v>0.89</v>
      </c>
      <c r="H43" s="2915"/>
      <c r="I43" s="2006">
        <f t="shared" si="174"/>
        <v>0.45</v>
      </c>
      <c r="J43" s="2904"/>
      <c r="K43" s="2041"/>
      <c r="L43" s="2026">
        <f t="shared" si="184"/>
        <v>5.0000000000000001E-3</v>
      </c>
      <c r="M43" s="2026">
        <f t="shared" si="185"/>
        <v>4.5000000000000005E-3</v>
      </c>
      <c r="N43" s="2026">
        <f t="shared" si="186"/>
        <v>8.8999999999999999E-3</v>
      </c>
      <c r="O43" s="2026"/>
      <c r="P43" s="2026">
        <f t="shared" si="187"/>
        <v>4.5000000000000005E-3</v>
      </c>
      <c r="Q43" s="2904"/>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4"/>
      <c r="Y43" s="2026"/>
      <c r="Z43" s="2900"/>
      <c r="AA43" s="2901"/>
      <c r="AB43" s="2026"/>
      <c r="AC43" s="2902"/>
      <c r="AD43" s="2026"/>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3" customFormat="1" ht="12.75">
      <c r="A44" s="2903" t="s">
        <v>3364</v>
      </c>
      <c r="B44" s="2029">
        <v>2023</v>
      </c>
      <c r="C44" s="2040">
        <v>1</v>
      </c>
      <c r="D44" s="2005"/>
      <c r="E44" s="2005">
        <v>0.55000000000000004</v>
      </c>
      <c r="F44" s="2005">
        <v>0.59</v>
      </c>
      <c r="G44" s="2005">
        <v>0.64</v>
      </c>
      <c r="H44" s="2915"/>
      <c r="I44" s="2006">
        <f t="shared" si="174"/>
        <v>0.59</v>
      </c>
      <c r="J44" s="2904"/>
      <c r="K44" s="2041"/>
      <c r="L44" s="2026">
        <f t="shared" si="184"/>
        <v>5.5000000000000005E-3</v>
      </c>
      <c r="M44" s="2026">
        <f t="shared" si="185"/>
        <v>5.8999999999999999E-3</v>
      </c>
      <c r="N44" s="2026">
        <f t="shared" si="186"/>
        <v>6.4000000000000003E-3</v>
      </c>
      <c r="O44" s="2026"/>
      <c r="P44" s="2026">
        <f t="shared" si="187"/>
        <v>5.8999999999999999E-3</v>
      </c>
      <c r="Q44" s="2904"/>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4"/>
      <c r="Y44" s="2026"/>
      <c r="Z44" s="2900"/>
      <c r="AA44" s="2901"/>
      <c r="AB44" s="2026"/>
      <c r="AC44" s="2902"/>
      <c r="AD44" s="2026"/>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3" customFormat="1" ht="12.75">
      <c r="A45" s="2903" t="s">
        <v>3363</v>
      </c>
      <c r="B45" s="2029">
        <v>2022</v>
      </c>
      <c r="C45" s="2040">
        <v>4</v>
      </c>
      <c r="D45" s="2005"/>
      <c r="E45" s="2005">
        <v>0.45</v>
      </c>
      <c r="F45" s="2005">
        <v>0.2</v>
      </c>
      <c r="G45" s="2005">
        <v>0.38</v>
      </c>
      <c r="H45" s="2915"/>
      <c r="I45" s="2006">
        <f t="shared" si="174"/>
        <v>0.2</v>
      </c>
      <c r="J45" s="2904"/>
      <c r="K45" s="2041"/>
      <c r="L45" s="2026">
        <f t="shared" si="175"/>
        <v>4.5000000000000005E-3</v>
      </c>
      <c r="M45" s="2026">
        <f t="shared" si="175"/>
        <v>2E-3</v>
      </c>
      <c r="N45" s="2026">
        <f t="shared" si="175"/>
        <v>3.8E-3</v>
      </c>
      <c r="O45" s="2026"/>
      <c r="P45" s="2026">
        <f t="shared" ref="P45:P52" si="189">M45</f>
        <v>2E-3</v>
      </c>
      <c r="Q45" s="2904"/>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4"/>
      <c r="Y45" s="2026"/>
      <c r="Z45" s="2900">
        <f t="shared" ref="Z45:AD52" si="191">IF(E45=0,0,ROUND(AVERAGE(E45:E53)/100,4))</f>
        <v>4.0000000000000001E-3</v>
      </c>
      <c r="AA45" s="2901">
        <f t="shared" si="191"/>
        <v>2.5999999999999999E-3</v>
      </c>
      <c r="AB45" s="2026">
        <f t="shared" si="191"/>
        <v>7.4000000000000003E-3</v>
      </c>
      <c r="AC45" s="2902"/>
      <c r="AD45" s="2026">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3" customFormat="1" ht="12.75">
      <c r="A46" s="2903" t="s">
        <v>3362</v>
      </c>
      <c r="B46" s="2029">
        <v>2022</v>
      </c>
      <c r="C46" s="2040">
        <v>3</v>
      </c>
      <c r="D46" s="2005"/>
      <c r="E46" s="2005">
        <v>0.3</v>
      </c>
      <c r="F46" s="2005">
        <v>0.28999999999999998</v>
      </c>
      <c r="G46" s="2005">
        <v>0.83</v>
      </c>
      <c r="H46" s="2915"/>
      <c r="I46" s="2006">
        <f t="shared" si="174"/>
        <v>0.28999999999999998</v>
      </c>
      <c r="J46" s="2904"/>
      <c r="K46" s="2041"/>
      <c r="L46" s="2026">
        <f t="shared" si="175"/>
        <v>3.0000000000000001E-3</v>
      </c>
      <c r="M46" s="2026">
        <f t="shared" si="175"/>
        <v>2.8999999999999998E-3</v>
      </c>
      <c r="N46" s="2026">
        <f t="shared" si="175"/>
        <v>8.3000000000000001E-3</v>
      </c>
      <c r="O46" s="2026"/>
      <c r="P46" s="2026">
        <f t="shared" si="189"/>
        <v>2.8999999999999998E-3</v>
      </c>
      <c r="Q46" s="2904"/>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4"/>
      <c r="Y46" s="2026"/>
      <c r="Z46" s="2900">
        <f t="shared" si="191"/>
        <v>3.8999999999999998E-3</v>
      </c>
      <c r="AA46" s="2901">
        <f t="shared" si="191"/>
        <v>2.7000000000000001E-3</v>
      </c>
      <c r="AB46" s="2026">
        <f t="shared" si="191"/>
        <v>7.9000000000000008E-3</v>
      </c>
      <c r="AC46" s="2902"/>
      <c r="AD46" s="2026">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3" customFormat="1" ht="12.75">
      <c r="A47" s="2903" t="s">
        <v>3352</v>
      </c>
      <c r="B47" s="2029">
        <v>2022</v>
      </c>
      <c r="C47" s="2040">
        <v>2</v>
      </c>
      <c r="D47" s="2005"/>
      <c r="E47" s="2005">
        <v>-0.11</v>
      </c>
      <c r="F47" s="2005">
        <v>-0.13</v>
      </c>
      <c r="G47" s="2005">
        <v>0.53</v>
      </c>
      <c r="H47" s="2915"/>
      <c r="I47" s="2006">
        <f t="shared" si="174"/>
        <v>-0.13</v>
      </c>
      <c r="J47" s="2904"/>
      <c r="K47" s="2041"/>
      <c r="L47" s="2026">
        <f t="shared" si="175"/>
        <v>-1.1000000000000001E-3</v>
      </c>
      <c r="M47" s="2026">
        <f t="shared" si="175"/>
        <v>-1.2999999999999999E-3</v>
      </c>
      <c r="N47" s="2026">
        <f t="shared" si="175"/>
        <v>5.3E-3</v>
      </c>
      <c r="O47" s="2026"/>
      <c r="P47" s="2026">
        <f t="shared" si="189"/>
        <v>-1.2999999999999999E-3</v>
      </c>
      <c r="Q47" s="2904"/>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4"/>
      <c r="Y47" s="2026"/>
      <c r="Z47" s="2900">
        <f t="shared" si="191"/>
        <v>4.1000000000000003E-3</v>
      </c>
      <c r="AA47" s="2901">
        <f t="shared" si="191"/>
        <v>2.7000000000000001E-3</v>
      </c>
      <c r="AB47" s="2026">
        <f t="shared" si="191"/>
        <v>7.9000000000000008E-3</v>
      </c>
      <c r="AC47" s="2902"/>
      <c r="AD47" s="2026">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3" customFormat="1" ht="12.75">
      <c r="A48" s="2903" t="s">
        <v>2832</v>
      </c>
      <c r="B48" s="2029">
        <v>2022</v>
      </c>
      <c r="C48" s="2040">
        <v>1</v>
      </c>
      <c r="D48" s="2005"/>
      <c r="E48" s="2005">
        <v>0.6</v>
      </c>
      <c r="F48" s="2005">
        <v>0.45</v>
      </c>
      <c r="G48" s="2005">
        <v>0.53</v>
      </c>
      <c r="H48" s="2915"/>
      <c r="I48" s="2006">
        <f t="shared" si="174"/>
        <v>0.45</v>
      </c>
      <c r="J48" s="2904"/>
      <c r="K48" s="2041"/>
      <c r="L48" s="2026">
        <f t="shared" si="175"/>
        <v>6.0000000000000001E-3</v>
      </c>
      <c r="M48" s="2026">
        <f t="shared" si="175"/>
        <v>4.5000000000000005E-3</v>
      </c>
      <c r="N48" s="2026">
        <f t="shared" si="175"/>
        <v>5.3E-3</v>
      </c>
      <c r="O48" s="2026"/>
      <c r="P48" s="2026">
        <f t="shared" si="189"/>
        <v>4.5000000000000005E-3</v>
      </c>
      <c r="Q48" s="2904"/>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4"/>
      <c r="Y48" s="2026"/>
      <c r="Z48" s="2900">
        <f t="shared" si="191"/>
        <v>5.1000000000000004E-3</v>
      </c>
      <c r="AA48" s="2901">
        <f t="shared" si="191"/>
        <v>4.5999999999999999E-3</v>
      </c>
      <c r="AB48" s="2026">
        <f t="shared" si="191"/>
        <v>8.3999999999999995E-3</v>
      </c>
      <c r="AC48" s="2902"/>
      <c r="AD48" s="2026">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3" customFormat="1" ht="12.75">
      <c r="A49" s="2903" t="s">
        <v>2833</v>
      </c>
      <c r="B49" s="2029">
        <v>2021</v>
      </c>
      <c r="C49" s="2040">
        <v>4</v>
      </c>
      <c r="D49" s="2005"/>
      <c r="E49" s="2005">
        <v>0.57999999999999996</v>
      </c>
      <c r="F49" s="2005">
        <v>0.08</v>
      </c>
      <c r="G49" s="2005">
        <v>0.68</v>
      </c>
      <c r="H49" s="2915"/>
      <c r="I49" s="2006">
        <f t="shared" si="174"/>
        <v>0.08</v>
      </c>
      <c r="J49" s="2904"/>
      <c r="K49" s="2041"/>
      <c r="L49" s="2026">
        <f t="shared" si="175"/>
        <v>5.7999999999999996E-3</v>
      </c>
      <c r="M49" s="2026">
        <f t="shared" si="175"/>
        <v>8.0000000000000004E-4</v>
      </c>
      <c r="N49" s="2026">
        <f t="shared" si="175"/>
        <v>6.8000000000000005E-3</v>
      </c>
      <c r="O49" s="2026"/>
      <c r="P49" s="2026">
        <f t="shared" si="189"/>
        <v>8.0000000000000004E-4</v>
      </c>
      <c r="Q49" s="2904"/>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4"/>
      <c r="Y49" s="2026"/>
      <c r="Z49" s="2900">
        <f t="shared" si="191"/>
        <v>4.8999999999999998E-3</v>
      </c>
      <c r="AA49" s="2901">
        <f t="shared" si="191"/>
        <v>5.4999999999999997E-3</v>
      </c>
      <c r="AB49" s="2026">
        <f t="shared" si="191"/>
        <v>9.1999999999999998E-3</v>
      </c>
      <c r="AC49" s="2902"/>
      <c r="AD49" s="2026">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3" customFormat="1" ht="12.75">
      <c r="A50" s="2903" t="s">
        <v>2834</v>
      </c>
      <c r="B50" s="2029">
        <v>2021</v>
      </c>
      <c r="C50" s="2040">
        <v>3</v>
      </c>
      <c r="D50" s="2005"/>
      <c r="E50" s="2005">
        <v>0.47</v>
      </c>
      <c r="F50" s="2005">
        <v>0.28000000000000003</v>
      </c>
      <c r="G50" s="2005">
        <v>0.91</v>
      </c>
      <c r="H50" s="2915"/>
      <c r="I50" s="2006">
        <f t="shared" si="174"/>
        <v>0.28000000000000003</v>
      </c>
      <c r="J50" s="2904"/>
      <c r="K50" s="2041"/>
      <c r="L50" s="2026">
        <f t="shared" si="175"/>
        <v>4.6999999999999993E-3</v>
      </c>
      <c r="M50" s="2026">
        <f t="shared" si="175"/>
        <v>2.8000000000000004E-3</v>
      </c>
      <c r="N50" s="2026">
        <f t="shared" si="175"/>
        <v>9.1000000000000004E-3</v>
      </c>
      <c r="O50" s="2026"/>
      <c r="P50" s="2026">
        <f t="shared" si="189"/>
        <v>2.8000000000000004E-3</v>
      </c>
      <c r="Q50" s="2904"/>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4"/>
      <c r="Y50" s="2026"/>
      <c r="Z50" s="2900">
        <f t="shared" si="191"/>
        <v>4.5999999999999999E-3</v>
      </c>
      <c r="AA50" s="2901">
        <f t="shared" si="191"/>
        <v>7.0000000000000001E-3</v>
      </c>
      <c r="AB50" s="2026">
        <f t="shared" si="191"/>
        <v>0.01</v>
      </c>
      <c r="AC50" s="2902"/>
      <c r="AD50" s="2026">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3" customFormat="1" ht="12.75">
      <c r="A51" s="2903" t="s">
        <v>2835</v>
      </c>
      <c r="B51" s="2029">
        <v>2021</v>
      </c>
      <c r="C51" s="2040">
        <v>2</v>
      </c>
      <c r="D51" s="2005"/>
      <c r="E51" s="2005">
        <v>0.55000000000000004</v>
      </c>
      <c r="F51" s="2005">
        <v>0.46</v>
      </c>
      <c r="G51" s="2005">
        <v>1.1000000000000001</v>
      </c>
      <c r="H51" s="2915"/>
      <c r="I51" s="2006">
        <f t="shared" si="174"/>
        <v>0.46</v>
      </c>
      <c r="J51" s="2904"/>
      <c r="K51" s="2041"/>
      <c r="L51" s="2026">
        <f t="shared" si="175"/>
        <v>5.5000000000000005E-3</v>
      </c>
      <c r="M51" s="2026">
        <f t="shared" si="175"/>
        <v>4.5999999999999999E-3</v>
      </c>
      <c r="N51" s="2026">
        <f t="shared" si="175"/>
        <v>1.1000000000000001E-2</v>
      </c>
      <c r="O51" s="2026"/>
      <c r="P51" s="2026">
        <f t="shared" si="189"/>
        <v>4.5999999999999999E-3</v>
      </c>
      <c r="Q51" s="2904"/>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4"/>
      <c r="Y51" s="2026"/>
      <c r="Z51" s="2900">
        <f t="shared" si="191"/>
        <v>4.4999999999999997E-3</v>
      </c>
      <c r="AA51" s="2901">
        <f t="shared" si="191"/>
        <v>8.2000000000000007E-3</v>
      </c>
      <c r="AB51" s="2026">
        <f t="shared" si="191"/>
        <v>1.04E-2</v>
      </c>
      <c r="AC51" s="2902"/>
      <c r="AD51" s="2026">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25" thickBot="1">
      <c r="A52" s="2916" t="s">
        <v>2821</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9.1000000000000004E-3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25" thickTop="1"/>
    <row r="54" spans="1:44">
      <c r="A54" s="3141" t="s">
        <v>3377</v>
      </c>
    </row>
    <row r="56" spans="1:44">
      <c r="F56">
        <f>(100+F7)/100</f>
        <v>0.98950000000000005</v>
      </c>
    </row>
    <row r="57" spans="1:44">
      <c r="F57">
        <f t="shared" ref="F57:F79" si="193">(100+F8)/100</f>
        <v>0.99099999999999999</v>
      </c>
    </row>
    <row r="58" spans="1:44">
      <c r="F58">
        <f t="shared" si="193"/>
        <v>0.99250000000000005</v>
      </c>
    </row>
    <row r="59" spans="1:44">
      <c r="F59">
        <f t="shared" si="193"/>
        <v>0.99709999999999999</v>
      </c>
    </row>
    <row r="60" spans="1:44">
      <c r="F60">
        <f t="shared" si="193"/>
        <v>0.98620000000000008</v>
      </c>
    </row>
    <row r="61" spans="1:44">
      <c r="F61">
        <f t="shared" si="193"/>
        <v>0.99840000000000007</v>
      </c>
    </row>
    <row r="62" spans="1:44">
      <c r="F62">
        <f t="shared" si="193"/>
        <v>0.99840000000000007</v>
      </c>
    </row>
    <row r="63" spans="1:44">
      <c r="F63">
        <f t="shared" si="193"/>
        <v>1.0031000000000001</v>
      </c>
    </row>
    <row r="64" spans="1:44">
      <c r="F64">
        <f t="shared" si="193"/>
        <v>1.0046999999999999</v>
      </c>
    </row>
    <row r="65" spans="6:7">
      <c r="F65">
        <f t="shared" si="193"/>
        <v>1.0057</v>
      </c>
    </row>
    <row r="66" spans="6:7">
      <c r="F66">
        <f t="shared" si="193"/>
        <v>1.0011000000000001</v>
      </c>
    </row>
    <row r="67" spans="6:7">
      <c r="F67">
        <f t="shared" si="193"/>
        <v>1.0023</v>
      </c>
    </row>
    <row r="68" spans="6:7">
      <c r="F68">
        <f>(100+F19)/100</f>
        <v>1.0001</v>
      </c>
    </row>
    <row r="69" spans="6:7">
      <c r="F69">
        <f t="shared" si="193"/>
        <v>1.0037</v>
      </c>
    </row>
    <row r="70" spans="6:7">
      <c r="F70">
        <f t="shared" si="193"/>
        <v>1.0006999999999999</v>
      </c>
    </row>
    <row r="71" spans="6:7">
      <c r="F71">
        <f t="shared" si="193"/>
        <v>1.0024</v>
      </c>
    </row>
    <row r="72" spans="6:7">
      <c r="F72">
        <f t="shared" si="193"/>
        <v>1.0041</v>
      </c>
      <c r="G72">
        <f>PRODUCT(F56:F72)</f>
        <v>0.98090371284582722</v>
      </c>
    </row>
    <row r="73" spans="6:7">
      <c r="F73">
        <f t="shared" si="193"/>
        <v>0.99750000000000005</v>
      </c>
    </row>
    <row r="74" spans="6:7">
      <c r="F74">
        <f t="shared" si="193"/>
        <v>1</v>
      </c>
    </row>
    <row r="75" spans="6:7">
      <c r="F75">
        <f t="shared" si="193"/>
        <v>1</v>
      </c>
    </row>
    <row r="76" spans="6:7">
      <c r="F76">
        <f t="shared" si="193"/>
        <v>1</v>
      </c>
    </row>
    <row r="77" spans="6:7">
      <c r="F77">
        <f t="shared" si="193"/>
        <v>1</v>
      </c>
    </row>
    <row r="78" spans="6:7">
      <c r="F78">
        <f t="shared" si="193"/>
        <v>1</v>
      </c>
    </row>
    <row r="79" spans="6:7">
      <c r="F79" t="e">
        <f t="shared" si="193"/>
        <v>#VALUE!</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3360</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3357</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3358</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3359</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2433</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2310</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2309</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2308</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2305</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2304</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6">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7">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6">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7">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6" t="s">
        <v>2836</v>
      </c>
      <c r="B1" s="3516"/>
      <c r="C1" s="3516"/>
      <c r="D1" s="3516"/>
      <c r="E1" s="3516"/>
      <c r="F1" s="3516"/>
      <c r="G1" s="3517"/>
      <c r="I1" s="2936" t="s">
        <v>2837</v>
      </c>
      <c r="J1" s="2937" t="s">
        <v>2838</v>
      </c>
      <c r="K1" s="2937" t="s">
        <v>2839</v>
      </c>
      <c r="L1" s="2937" t="s">
        <v>2840</v>
      </c>
      <c r="M1" s="2937" t="s">
        <v>2841</v>
      </c>
      <c r="N1" s="2937" t="s">
        <v>2842</v>
      </c>
      <c r="O1" s="2937" t="s">
        <v>2843</v>
      </c>
      <c r="P1" s="2937" t="s">
        <v>2844</v>
      </c>
      <c r="Q1" s="2937" t="s">
        <v>2845</v>
      </c>
      <c r="R1" s="2937" t="s">
        <v>2846</v>
      </c>
      <c r="S1" s="2937" t="s">
        <v>2847</v>
      </c>
      <c r="T1" s="2938" t="s">
        <v>2848</v>
      </c>
    </row>
    <row r="2" spans="1:20" ht="12" thickBot="1">
      <c r="A2" s="2939" t="s">
        <v>2849</v>
      </c>
      <c r="B2" s="2939"/>
      <c r="C2" s="2939"/>
      <c r="D2" s="2939"/>
      <c r="E2" s="2939"/>
      <c r="F2" s="2939"/>
      <c r="G2" s="2940" t="s">
        <v>2850</v>
      </c>
      <c r="I2" s="2941" t="s">
        <v>2851</v>
      </c>
      <c r="J2" s="2941" t="s">
        <v>2852</v>
      </c>
      <c r="K2" s="2941" t="s">
        <v>2853</v>
      </c>
      <c r="L2" s="2941" t="s">
        <v>2854</v>
      </c>
      <c r="M2" s="2941" t="s">
        <v>2855</v>
      </c>
      <c r="N2" s="2941" t="s">
        <v>2856</v>
      </c>
      <c r="O2" s="2941" t="s">
        <v>2857</v>
      </c>
      <c r="P2" s="2941" t="s">
        <v>2858</v>
      </c>
      <c r="Q2" s="2941" t="s">
        <v>2859</v>
      </c>
      <c r="R2" s="2941" t="s">
        <v>2860</v>
      </c>
      <c r="S2" s="2941" t="s">
        <v>2861</v>
      </c>
      <c r="T2" s="2941" t="s">
        <v>2862</v>
      </c>
    </row>
    <row r="3" spans="1:20" s="2947" customFormat="1">
      <c r="A3" s="3514" t="s">
        <v>2863</v>
      </c>
      <c r="B3" s="2942"/>
      <c r="C3" s="2943" t="s">
        <v>2808</v>
      </c>
      <c r="D3" s="2943" t="s">
        <v>2864</v>
      </c>
      <c r="E3" s="2943" t="s">
        <v>2810</v>
      </c>
      <c r="F3" s="2943" t="s">
        <v>2865</v>
      </c>
      <c r="G3" s="2943" t="s">
        <v>2628</v>
      </c>
      <c r="H3" s="2944"/>
      <c r="I3" s="2945" t="s">
        <v>2866</v>
      </c>
      <c r="J3" s="2946" t="s">
        <v>128</v>
      </c>
      <c r="K3" s="2946" t="s">
        <v>129</v>
      </c>
      <c r="L3" s="2945" t="s">
        <v>130</v>
      </c>
      <c r="M3" s="2945" t="s">
        <v>131</v>
      </c>
      <c r="N3" s="2945" t="s">
        <v>132</v>
      </c>
      <c r="O3" s="2945" t="s">
        <v>133</v>
      </c>
      <c r="P3" s="2945" t="s">
        <v>134</v>
      </c>
      <c r="Q3" s="2945" t="s">
        <v>135</v>
      </c>
      <c r="R3" s="2945" t="s">
        <v>136</v>
      </c>
      <c r="S3" s="2945" t="s">
        <v>2867</v>
      </c>
      <c r="T3" s="2945" t="s">
        <v>2868</v>
      </c>
    </row>
    <row r="4" spans="1:20" s="2947" customFormat="1" ht="12" thickBot="1">
      <c r="A4" s="3515"/>
      <c r="B4" s="2948" t="s">
        <v>2869</v>
      </c>
      <c r="C4" s="2948" t="s">
        <v>2870</v>
      </c>
      <c r="D4" s="2948" t="s">
        <v>2870</v>
      </c>
      <c r="E4" s="2948" t="s">
        <v>2870</v>
      </c>
      <c r="F4" s="2949" t="s">
        <v>2870</v>
      </c>
      <c r="G4" s="2949" t="s">
        <v>2870</v>
      </c>
      <c r="H4" s="2944"/>
      <c r="I4" s="2946" t="s">
        <v>137</v>
      </c>
      <c r="J4" s="2946" t="s">
        <v>111</v>
      </c>
      <c r="K4" s="2946" t="s">
        <v>138</v>
      </c>
      <c r="L4" s="2945" t="s">
        <v>139</v>
      </c>
      <c r="M4" s="2945" t="s">
        <v>140</v>
      </c>
      <c r="N4" s="2945" t="s">
        <v>141</v>
      </c>
      <c r="O4" s="2945" t="s">
        <v>142</v>
      </c>
      <c r="P4" s="2945" t="s">
        <v>143</v>
      </c>
      <c r="Q4" s="2945" t="s">
        <v>2871</v>
      </c>
      <c r="R4" s="2945" t="s">
        <v>2872</v>
      </c>
      <c r="S4" s="2945" t="s">
        <v>2873</v>
      </c>
      <c r="T4" s="2945" t="s">
        <v>2874</v>
      </c>
    </row>
    <row r="5" spans="1:20">
      <c r="A5" s="2950" t="s">
        <v>2837</v>
      </c>
      <c r="B5" s="2941" t="s">
        <v>2851</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2875</v>
      </c>
      <c r="R5" s="2945" t="s">
        <v>2876</v>
      </c>
      <c r="S5" s="2945" t="s">
        <v>153</v>
      </c>
      <c r="T5" s="2945" t="s">
        <v>2877</v>
      </c>
    </row>
    <row r="6" spans="1:20" ht="12" thickBot="1">
      <c r="A6" s="2945" t="s">
        <v>144</v>
      </c>
      <c r="B6" s="2945" t="s">
        <v>2866</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2878</v>
      </c>
      <c r="Q6" s="2945" t="s">
        <v>2879</v>
      </c>
      <c r="R6" s="2945" t="s">
        <v>161</v>
      </c>
      <c r="S6" s="2945" t="s">
        <v>2880</v>
      </c>
      <c r="T6" s="2945" t="s">
        <v>2881</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2882</v>
      </c>
      <c r="Q7" s="2945" t="s">
        <v>2883</v>
      </c>
      <c r="R7" s="2945" t="s">
        <v>2884</v>
      </c>
      <c r="S7" s="2945" t="s">
        <v>2885</v>
      </c>
      <c r="T7" s="2945" t="s">
        <v>2886</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2887</v>
      </c>
      <c r="Q8" s="2945" t="s">
        <v>174</v>
      </c>
      <c r="R8" s="2945" t="s">
        <v>2888</v>
      </c>
      <c r="S8" s="2945" t="s">
        <v>2889</v>
      </c>
      <c r="T8" s="2952" t="s">
        <v>2890</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2891</v>
      </c>
      <c r="Q9" s="2945" t="s">
        <v>182</v>
      </c>
      <c r="R9" s="2945" t="s">
        <v>183</v>
      </c>
      <c r="S9" s="2945" t="s">
        <v>200</v>
      </c>
    </row>
    <row r="10" spans="1:20">
      <c r="A10" s="2950" t="s">
        <v>184</v>
      </c>
      <c r="B10" s="2941" t="s">
        <v>2852</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2892</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2893</v>
      </c>
      <c r="P11" s="2945" t="s">
        <v>191</v>
      </c>
      <c r="Q11" s="2945" t="s">
        <v>199</v>
      </c>
      <c r="R11" s="2945" t="s">
        <v>2894</v>
      </c>
      <c r="S11" s="2945" t="s">
        <v>2895</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2896</v>
      </c>
      <c r="P12" s="2945" t="s">
        <v>2897</v>
      </c>
      <c r="Q12" s="2945" t="s">
        <v>2898</v>
      </c>
      <c r="R12" s="2945" t="s">
        <v>2899</v>
      </c>
      <c r="S12" s="2945" t="s">
        <v>2900</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2901</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2902</v>
      </c>
      <c r="K14" s="2946" t="s">
        <v>215</v>
      </c>
      <c r="L14" s="2945" t="s">
        <v>216</v>
      </c>
      <c r="M14" s="2945" t="s">
        <v>217</v>
      </c>
      <c r="N14" s="2945" t="s">
        <v>218</v>
      </c>
      <c r="O14" s="2945" t="s">
        <v>240</v>
      </c>
      <c r="P14" s="2945" t="s">
        <v>213</v>
      </c>
      <c r="Q14" s="2945" t="s">
        <v>2903</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2904</v>
      </c>
      <c r="P15" s="2945" t="s">
        <v>2905</v>
      </c>
      <c r="Q15" s="2945" t="s">
        <v>242</v>
      </c>
      <c r="R15" s="2945" t="s">
        <v>2906</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2907</v>
      </c>
      <c r="P16" s="2945" t="s">
        <v>227</v>
      </c>
      <c r="Q16" s="2945" t="s">
        <v>250</v>
      </c>
      <c r="R16" s="2945" t="s">
        <v>207</v>
      </c>
      <c r="S16" s="2945" t="s">
        <v>2908</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2909</v>
      </c>
      <c r="P17" s="2945" t="s">
        <v>2910</v>
      </c>
      <c r="Q17" s="2945" t="s">
        <v>256</v>
      </c>
      <c r="R17" s="2945" t="s">
        <v>2911</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2912</v>
      </c>
      <c r="P18" s="2945" t="s">
        <v>241</v>
      </c>
      <c r="Q18" s="2945" t="s">
        <v>2913</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2914</v>
      </c>
      <c r="P19" s="2945" t="s">
        <v>249</v>
      </c>
      <c r="Q19" s="2945" t="s">
        <v>2915</v>
      </c>
      <c r="R19" s="2945" t="s">
        <v>265</v>
      </c>
      <c r="S19" s="2945" t="s">
        <v>2916</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2917</v>
      </c>
      <c r="P20" s="2945" t="s">
        <v>2918</v>
      </c>
      <c r="Q20" s="2945" t="s">
        <v>290</v>
      </c>
      <c r="R20" s="2945" t="s">
        <v>2919</v>
      </c>
      <c r="S20" s="2945" t="s">
        <v>277</v>
      </c>
    </row>
    <row r="21" spans="1:19" ht="14.25" customHeight="1" thickBot="1">
      <c r="A21" s="2945" t="s">
        <v>184</v>
      </c>
      <c r="B21" s="2946" t="s">
        <v>208</v>
      </c>
      <c r="C21" s="2945">
        <v>32370</v>
      </c>
      <c r="D21" s="2945">
        <v>26730</v>
      </c>
      <c r="E21" s="2945">
        <v>26640</v>
      </c>
      <c r="F21" s="2945"/>
      <c r="G21" s="2945">
        <v>19440</v>
      </c>
      <c r="J21" s="2952" t="s">
        <v>2920</v>
      </c>
      <c r="K21" s="2946" t="s">
        <v>267</v>
      </c>
      <c r="L21" s="2945" t="s">
        <v>268</v>
      </c>
      <c r="M21" s="2945" t="s">
        <v>269</v>
      </c>
      <c r="N21" s="2945" t="s">
        <v>270</v>
      </c>
      <c r="O21" s="2945" t="s">
        <v>264</v>
      </c>
      <c r="P21" s="2945" t="s">
        <v>283</v>
      </c>
      <c r="Q21" s="2945" t="s">
        <v>293</v>
      </c>
      <c r="R21" s="2945" t="s">
        <v>2921</v>
      </c>
      <c r="S21" s="2952" t="s">
        <v>2922</v>
      </c>
    </row>
    <row r="22" spans="1:19" ht="14.25" customHeight="1">
      <c r="A22" s="2945" t="s">
        <v>184</v>
      </c>
      <c r="B22" s="2946" t="s">
        <v>2902</v>
      </c>
      <c r="C22" s="2945">
        <v>29830</v>
      </c>
      <c r="D22" s="2945">
        <v>27600</v>
      </c>
      <c r="E22" s="2945">
        <v>28150</v>
      </c>
      <c r="F22" s="2945"/>
      <c r="G22" s="2945">
        <v>20080</v>
      </c>
      <c r="K22" s="2946" t="s">
        <v>2923</v>
      </c>
      <c r="L22" s="2945" t="s">
        <v>272</v>
      </c>
      <c r="M22" s="2945" t="s">
        <v>273</v>
      </c>
      <c r="N22" s="2945" t="s">
        <v>274</v>
      </c>
      <c r="O22" s="2945" t="s">
        <v>2924</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2925</v>
      </c>
      <c r="L23" s="2945" t="s">
        <v>278</v>
      </c>
      <c r="M23" s="2945" t="s">
        <v>279</v>
      </c>
      <c r="N23" s="2945" t="s">
        <v>2926</v>
      </c>
      <c r="O23" s="2945" t="s">
        <v>2927</v>
      </c>
      <c r="P23" s="2945" t="s">
        <v>289</v>
      </c>
      <c r="Q23" s="2945" t="s">
        <v>298</v>
      </c>
      <c r="R23" s="2945" t="s">
        <v>2928</v>
      </c>
    </row>
    <row r="24" spans="1:19" ht="14.25" customHeight="1">
      <c r="A24" s="2945" t="s">
        <v>184</v>
      </c>
      <c r="B24" s="2946" t="s">
        <v>230</v>
      </c>
      <c r="C24" s="2945">
        <v>27930</v>
      </c>
      <c r="D24" s="2945">
        <v>32260</v>
      </c>
      <c r="E24" s="2945">
        <v>32120</v>
      </c>
      <c r="F24" s="2945"/>
      <c r="G24" s="2945">
        <v>23470</v>
      </c>
      <c r="K24" s="2946" t="s">
        <v>2929</v>
      </c>
      <c r="L24" s="2945" t="s">
        <v>281</v>
      </c>
      <c r="M24" s="2945" t="s">
        <v>282</v>
      </c>
      <c r="N24" s="2945" t="s">
        <v>2930</v>
      </c>
      <c r="O24" s="2945" t="s">
        <v>285</v>
      </c>
      <c r="P24" s="2945" t="s">
        <v>2931</v>
      </c>
      <c r="Q24" s="2954" t="s">
        <v>2932</v>
      </c>
      <c r="R24" s="2945" t="s">
        <v>2933</v>
      </c>
    </row>
    <row r="25" spans="1:19" ht="14.25" customHeight="1">
      <c r="A25" s="2945" t="s">
        <v>184</v>
      </c>
      <c r="B25" s="2946" t="s">
        <v>235</v>
      </c>
      <c r="C25" s="2945">
        <v>32230</v>
      </c>
      <c r="D25" s="2945">
        <v>29640</v>
      </c>
      <c r="E25" s="2945">
        <v>29510</v>
      </c>
      <c r="F25" s="2945"/>
      <c r="G25" s="2945">
        <v>21560</v>
      </c>
      <c r="K25" s="2946" t="s">
        <v>2934</v>
      </c>
      <c r="L25" s="2945" t="s">
        <v>2935</v>
      </c>
      <c r="M25" s="2945" t="s">
        <v>284</v>
      </c>
      <c r="N25" s="2945" t="s">
        <v>292</v>
      </c>
      <c r="O25" s="2945" t="s">
        <v>288</v>
      </c>
      <c r="P25" s="2945" t="s">
        <v>275</v>
      </c>
      <c r="Q25" s="2954" t="s">
        <v>271</v>
      </c>
      <c r="R25" s="2945" t="s">
        <v>2936</v>
      </c>
    </row>
    <row r="26" spans="1:19" ht="14.25" customHeight="1" thickBot="1">
      <c r="A26" s="2945" t="s">
        <v>184</v>
      </c>
      <c r="B26" s="2946" t="s">
        <v>244</v>
      </c>
      <c r="C26" s="2945">
        <v>31690</v>
      </c>
      <c r="D26" s="2945">
        <v>27650</v>
      </c>
      <c r="E26" s="2945">
        <v>28200</v>
      </c>
      <c r="F26" s="2945"/>
      <c r="G26" s="2945">
        <v>20110</v>
      </c>
      <c r="K26" s="2951" t="s">
        <v>2937</v>
      </c>
      <c r="L26" s="2945" t="s">
        <v>2938</v>
      </c>
      <c r="M26" s="2945" t="s">
        <v>287</v>
      </c>
      <c r="N26" s="2945" t="s">
        <v>294</v>
      </c>
      <c r="O26" s="2945" t="s">
        <v>2939</v>
      </c>
      <c r="P26" s="2945" t="s">
        <v>2940</v>
      </c>
      <c r="Q26" s="2954" t="s">
        <v>276</v>
      </c>
      <c r="R26" s="2945" t="s">
        <v>2941</v>
      </c>
    </row>
    <row r="27" spans="1:19" ht="14.25" customHeight="1">
      <c r="A27" s="2945" t="s">
        <v>184</v>
      </c>
      <c r="B27" s="2946" t="s">
        <v>251</v>
      </c>
      <c r="C27" s="2945">
        <v>29610</v>
      </c>
      <c r="D27" s="2945">
        <v>27770</v>
      </c>
      <c r="E27" s="2945">
        <v>28300</v>
      </c>
      <c r="F27" s="2945"/>
      <c r="G27" s="2945">
        <v>20210</v>
      </c>
      <c r="L27" s="2945" t="s">
        <v>2942</v>
      </c>
      <c r="M27" s="2945" t="s">
        <v>291</v>
      </c>
      <c r="N27" s="2945" t="s">
        <v>297</v>
      </c>
      <c r="O27" s="2945" t="s">
        <v>2943</v>
      </c>
      <c r="P27" s="2945" t="s">
        <v>2944</v>
      </c>
      <c r="Q27" s="2945" t="s">
        <v>2945</v>
      </c>
      <c r="R27" s="2945" t="s">
        <v>2946</v>
      </c>
    </row>
    <row r="28" spans="1:19" ht="14.25" customHeight="1">
      <c r="A28" s="2945" t="s">
        <v>184</v>
      </c>
      <c r="B28" s="2946" t="s">
        <v>259</v>
      </c>
      <c r="C28" s="2945"/>
      <c r="D28" s="2945">
        <v>31520</v>
      </c>
      <c r="E28" s="2945">
        <v>31410</v>
      </c>
      <c r="F28" s="2945"/>
      <c r="G28" s="2945">
        <v>22940</v>
      </c>
      <c r="L28" s="2945" t="s">
        <v>2947</v>
      </c>
      <c r="M28" s="2945" t="s">
        <v>2948</v>
      </c>
      <c r="N28" s="2945" t="s">
        <v>2949</v>
      </c>
      <c r="O28" s="2945" t="s">
        <v>2950</v>
      </c>
      <c r="P28" s="2945" t="s">
        <v>2951</v>
      </c>
      <c r="Q28" s="2945" t="s">
        <v>2952</v>
      </c>
      <c r="R28" s="2945" t="s">
        <v>2953</v>
      </c>
    </row>
    <row r="29" spans="1:19" ht="14.25" customHeight="1" thickBot="1">
      <c r="A29" s="2953" t="s">
        <v>184</v>
      </c>
      <c r="B29" s="2955" t="s">
        <v>2920</v>
      </c>
      <c r="C29" s="2956"/>
      <c r="D29" s="2956">
        <v>29460</v>
      </c>
      <c r="E29" s="2956">
        <v>28640</v>
      </c>
      <c r="F29" s="2956"/>
      <c r="G29" s="2956">
        <v>21430</v>
      </c>
      <c r="L29" s="2945" t="s">
        <v>2954</v>
      </c>
      <c r="M29" s="2945" t="s">
        <v>2955</v>
      </c>
      <c r="N29" s="2945" t="s">
        <v>2956</v>
      </c>
      <c r="O29" s="2945" t="s">
        <v>2957</v>
      </c>
      <c r="P29" s="2945" t="s">
        <v>2958</v>
      </c>
      <c r="Q29" s="2945" t="s">
        <v>2959</v>
      </c>
      <c r="R29" s="2945" t="s">
        <v>280</v>
      </c>
    </row>
    <row r="30" spans="1:19" ht="14.25" customHeight="1">
      <c r="A30" s="2950" t="s">
        <v>296</v>
      </c>
      <c r="B30" s="2941" t="s">
        <v>2853</v>
      </c>
      <c r="C30" s="2941">
        <v>26890</v>
      </c>
      <c r="D30" s="2941">
        <v>26770</v>
      </c>
      <c r="E30" s="2941">
        <v>25700</v>
      </c>
      <c r="F30" s="2941">
        <v>8180</v>
      </c>
      <c r="G30" s="2957">
        <v>18740</v>
      </c>
      <c r="L30" s="2945" t="s">
        <v>2960</v>
      </c>
      <c r="M30" s="2945" t="s">
        <v>2961</v>
      </c>
      <c r="N30" s="2945" t="s">
        <v>2962</v>
      </c>
      <c r="O30" s="2945" t="s">
        <v>2963</v>
      </c>
      <c r="P30" s="2945" t="s">
        <v>2964</v>
      </c>
      <c r="Q30" s="2945" t="s">
        <v>2965</v>
      </c>
      <c r="R30" s="2945" t="s">
        <v>2966</v>
      </c>
    </row>
    <row r="31" spans="1:19" ht="14.25" customHeight="1">
      <c r="A31" s="2945" t="s">
        <v>296</v>
      </c>
      <c r="B31" s="2946" t="s">
        <v>129</v>
      </c>
      <c r="C31" s="2945">
        <v>24550</v>
      </c>
      <c r="D31" s="2945">
        <v>23990</v>
      </c>
      <c r="E31" s="2945">
        <v>22930</v>
      </c>
      <c r="F31" s="2945">
        <v>7470</v>
      </c>
      <c r="G31" s="2958">
        <v>16790</v>
      </c>
      <c r="L31" s="2945" t="s">
        <v>2967</v>
      </c>
      <c r="M31" s="2945" t="s">
        <v>2968</v>
      </c>
      <c r="N31" s="2945" t="s">
        <v>2969</v>
      </c>
      <c r="O31" s="2945" t="s">
        <v>2970</v>
      </c>
      <c r="P31" s="2945" t="s">
        <v>2971</v>
      </c>
      <c r="Q31" s="2945" t="s">
        <v>2972</v>
      </c>
      <c r="R31" s="2945" t="s">
        <v>2973</v>
      </c>
    </row>
    <row r="32" spans="1:19" ht="14.25" customHeight="1" thickBot="1">
      <c r="A32" s="2945" t="s">
        <v>296</v>
      </c>
      <c r="B32" s="2946" t="s">
        <v>138</v>
      </c>
      <c r="C32" s="2945">
        <v>27210</v>
      </c>
      <c r="D32" s="2945">
        <v>23240</v>
      </c>
      <c r="E32" s="2945">
        <v>23260</v>
      </c>
      <c r="F32" s="2945">
        <v>7130</v>
      </c>
      <c r="G32" s="2958">
        <v>16270</v>
      </c>
      <c r="L32" s="2945" t="s">
        <v>2974</v>
      </c>
      <c r="M32" s="2945" t="s">
        <v>2975</v>
      </c>
      <c r="N32" s="2945" t="s">
        <v>300</v>
      </c>
      <c r="O32" s="2945" t="s">
        <v>2976</v>
      </c>
      <c r="P32" s="2945" t="s">
        <v>299</v>
      </c>
      <c r="Q32" s="2945" t="s">
        <v>2977</v>
      </c>
      <c r="R32" s="2952" t="s">
        <v>2978</v>
      </c>
    </row>
    <row r="33" spans="1:17" ht="14.25" customHeight="1" thickBot="1">
      <c r="A33" s="2945" t="s">
        <v>296</v>
      </c>
      <c r="B33" s="2946" t="s">
        <v>147</v>
      </c>
      <c r="C33" s="2945">
        <v>27300</v>
      </c>
      <c r="D33" s="2945">
        <v>22980</v>
      </c>
      <c r="E33" s="2945">
        <v>24260</v>
      </c>
      <c r="F33" s="2945">
        <v>5860</v>
      </c>
      <c r="G33" s="2958">
        <v>16090</v>
      </c>
      <c r="L33" s="2952" t="s">
        <v>2979</v>
      </c>
      <c r="M33" s="2945" t="s">
        <v>2980</v>
      </c>
      <c r="N33" s="2945" t="s">
        <v>301</v>
      </c>
      <c r="O33" s="2945" t="s">
        <v>2981</v>
      </c>
      <c r="P33" s="2945" t="s">
        <v>2982</v>
      </c>
      <c r="Q33" s="2945" t="s">
        <v>2983</v>
      </c>
    </row>
    <row r="34" spans="1:17" ht="14.25" customHeight="1">
      <c r="A34" s="2945" t="s">
        <v>296</v>
      </c>
      <c r="B34" s="2946" t="s">
        <v>156</v>
      </c>
      <c r="C34" s="2945">
        <v>23090</v>
      </c>
      <c r="D34" s="2945">
        <v>23390</v>
      </c>
      <c r="E34" s="2945">
        <v>23510</v>
      </c>
      <c r="F34" s="2945">
        <v>6700</v>
      </c>
      <c r="G34" s="2958">
        <v>16370</v>
      </c>
      <c r="M34" s="2945" t="s">
        <v>2984</v>
      </c>
      <c r="N34" s="2945" t="s">
        <v>302</v>
      </c>
      <c r="O34" s="2945" t="s">
        <v>2985</v>
      </c>
      <c r="P34" s="2945" t="s">
        <v>2986</v>
      </c>
      <c r="Q34" s="2945" t="s">
        <v>2987</v>
      </c>
    </row>
    <row r="35" spans="1:17" ht="14.25" customHeight="1">
      <c r="A35" s="2945" t="s">
        <v>296</v>
      </c>
      <c r="B35" s="2946" t="s">
        <v>163</v>
      </c>
      <c r="C35" s="2945">
        <v>27270</v>
      </c>
      <c r="D35" s="2945">
        <v>24270</v>
      </c>
      <c r="E35" s="2945">
        <v>24950</v>
      </c>
      <c r="F35" s="2945">
        <v>6600</v>
      </c>
      <c r="G35" s="2958">
        <v>16990</v>
      </c>
      <c r="M35" s="2945" t="s">
        <v>2988</v>
      </c>
      <c r="N35" s="2945" t="s">
        <v>2989</v>
      </c>
      <c r="O35" s="2945" t="s">
        <v>2990</v>
      </c>
      <c r="P35" s="2945" t="s">
        <v>2991</v>
      </c>
      <c r="Q35" s="2945" t="s">
        <v>2992</v>
      </c>
    </row>
    <row r="36" spans="1:17" ht="14.25" customHeight="1">
      <c r="A36" s="2945" t="s">
        <v>296</v>
      </c>
      <c r="B36" s="2946" t="s">
        <v>169</v>
      </c>
      <c r="C36" s="2945">
        <v>23490</v>
      </c>
      <c r="D36" s="2945">
        <v>23020</v>
      </c>
      <c r="E36" s="2945">
        <v>25230</v>
      </c>
      <c r="F36" s="2945">
        <v>6780</v>
      </c>
      <c r="G36" s="2958">
        <v>16120</v>
      </c>
      <c r="M36" s="2945" t="s">
        <v>2993</v>
      </c>
      <c r="N36" s="2945" t="s">
        <v>2994</v>
      </c>
      <c r="O36" s="2945" t="s">
        <v>2995</v>
      </c>
      <c r="P36" s="2945" t="s">
        <v>2996</v>
      </c>
      <c r="Q36" s="2945" t="s">
        <v>2997</v>
      </c>
    </row>
    <row r="37" spans="1:17" ht="14.25" customHeight="1">
      <c r="A37" s="2945" t="s">
        <v>296</v>
      </c>
      <c r="B37" s="2946" t="s">
        <v>176</v>
      </c>
      <c r="C37" s="2945">
        <v>24380</v>
      </c>
      <c r="D37" s="2945">
        <v>22240</v>
      </c>
      <c r="E37" s="2945">
        <v>25980</v>
      </c>
      <c r="F37" s="2945">
        <v>8160</v>
      </c>
      <c r="G37" s="2958">
        <v>15570</v>
      </c>
      <c r="M37" s="2945" t="s">
        <v>2998</v>
      </c>
      <c r="N37" s="2945" t="s">
        <v>2999</v>
      </c>
      <c r="O37" s="2945" t="s">
        <v>3000</v>
      </c>
      <c r="P37" s="2945" t="s">
        <v>3001</v>
      </c>
      <c r="Q37" s="2945" t="s">
        <v>3002</v>
      </c>
    </row>
    <row r="38" spans="1:17" ht="14.25" customHeight="1">
      <c r="A38" s="2945" t="s">
        <v>296</v>
      </c>
      <c r="B38" s="2946" t="s">
        <v>186</v>
      </c>
      <c r="C38" s="2945">
        <v>23120</v>
      </c>
      <c r="D38" s="2945">
        <v>24630</v>
      </c>
      <c r="E38" s="2945">
        <v>25030</v>
      </c>
      <c r="F38" s="2945">
        <v>7710</v>
      </c>
      <c r="G38" s="2958">
        <v>17240</v>
      </c>
      <c r="M38" s="2945" t="s">
        <v>3003</v>
      </c>
      <c r="N38" s="2945" t="s">
        <v>3004</v>
      </c>
      <c r="O38" s="2945" t="s">
        <v>3005</v>
      </c>
      <c r="P38" s="2945" t="s">
        <v>3006</v>
      </c>
      <c r="Q38" s="2945" t="s">
        <v>3007</v>
      </c>
    </row>
    <row r="39" spans="1:17" ht="14.25" customHeight="1">
      <c r="A39" s="2945" t="s">
        <v>296</v>
      </c>
      <c r="B39" s="2946" t="s">
        <v>195</v>
      </c>
      <c r="C39" s="2945">
        <v>22330</v>
      </c>
      <c r="D39" s="2945">
        <v>21140</v>
      </c>
      <c r="E39" s="2945">
        <v>23970</v>
      </c>
      <c r="F39" s="2945">
        <v>7940</v>
      </c>
      <c r="G39" s="2958">
        <v>14790</v>
      </c>
      <c r="M39" s="2945" t="s">
        <v>3008</v>
      </c>
      <c r="N39" s="2945" t="s">
        <v>3009</v>
      </c>
      <c r="O39" s="2945" t="s">
        <v>3010</v>
      </c>
      <c r="P39" s="2945" t="s">
        <v>3011</v>
      </c>
      <c r="Q39" s="2945" t="s">
        <v>3012</v>
      </c>
    </row>
    <row r="40" spans="1:17" ht="14.25" customHeight="1">
      <c r="A40" s="2945" t="s">
        <v>296</v>
      </c>
      <c r="B40" s="2946" t="s">
        <v>202</v>
      </c>
      <c r="C40" s="2945">
        <v>24740</v>
      </c>
      <c r="D40" s="2945">
        <v>24690</v>
      </c>
      <c r="E40" s="2945">
        <v>22610</v>
      </c>
      <c r="F40" s="2945"/>
      <c r="G40" s="2958">
        <v>17280</v>
      </c>
      <c r="M40" s="2945" t="s">
        <v>3013</v>
      </c>
      <c r="N40" s="2945" t="s">
        <v>3014</v>
      </c>
      <c r="O40" s="2945" t="s">
        <v>3015</v>
      </c>
      <c r="P40" s="2945" t="s">
        <v>3016</v>
      </c>
      <c r="Q40" s="2945" t="s">
        <v>3017</v>
      </c>
    </row>
    <row r="41" spans="1:17" ht="14.25" customHeight="1" thickBot="1">
      <c r="A41" s="2945" t="s">
        <v>296</v>
      </c>
      <c r="B41" s="2946" t="s">
        <v>209</v>
      </c>
      <c r="C41" s="2945">
        <v>21220</v>
      </c>
      <c r="D41" s="2945">
        <v>21120</v>
      </c>
      <c r="E41" s="2945">
        <v>22590</v>
      </c>
      <c r="F41" s="2945"/>
      <c r="G41" s="2958">
        <v>14780</v>
      </c>
      <c r="M41" s="2952" t="s">
        <v>3018</v>
      </c>
      <c r="N41" s="2945" t="s">
        <v>3019</v>
      </c>
      <c r="O41" s="2945" t="s">
        <v>3020</v>
      </c>
      <c r="P41" s="2945" t="s">
        <v>3021</v>
      </c>
      <c r="Q41" s="2945" t="s">
        <v>3022</v>
      </c>
    </row>
    <row r="42" spans="1:17" ht="14.25" customHeight="1">
      <c r="A42" s="2945" t="s">
        <v>296</v>
      </c>
      <c r="B42" s="2946" t="s">
        <v>215</v>
      </c>
      <c r="C42" s="2945">
        <v>24800</v>
      </c>
      <c r="D42" s="2945">
        <v>22280</v>
      </c>
      <c r="E42" s="2945">
        <v>24350</v>
      </c>
      <c r="F42" s="2945"/>
      <c r="G42" s="2958">
        <v>15590</v>
      </c>
      <c r="N42" s="2945" t="s">
        <v>3023</v>
      </c>
      <c r="O42" s="2945" t="s">
        <v>3024</v>
      </c>
      <c r="P42" s="2945" t="s">
        <v>3025</v>
      </c>
      <c r="Q42" s="2945" t="s">
        <v>3026</v>
      </c>
    </row>
    <row r="43" spans="1:17" ht="14.25" customHeight="1">
      <c r="A43" s="2945" t="s">
        <v>3027</v>
      </c>
      <c r="B43" s="2946" t="s">
        <v>223</v>
      </c>
      <c r="C43" s="2945">
        <v>21210</v>
      </c>
      <c r="D43" s="2945">
        <v>21160</v>
      </c>
      <c r="E43" s="2945">
        <v>22650</v>
      </c>
      <c r="F43" s="2945"/>
      <c r="G43" s="2958">
        <v>14800</v>
      </c>
      <c r="N43" s="2945" t="s">
        <v>3028</v>
      </c>
      <c r="O43" s="2945" t="s">
        <v>3029</v>
      </c>
      <c r="P43" s="2945" t="s">
        <v>3030</v>
      </c>
      <c r="Q43" s="2945" t="s">
        <v>3031</v>
      </c>
    </row>
    <row r="44" spans="1:17" ht="14.25" customHeight="1" thickBot="1">
      <c r="A44" s="2945" t="s">
        <v>296</v>
      </c>
      <c r="B44" s="2946" t="s">
        <v>231</v>
      </c>
      <c r="C44" s="2945">
        <v>22370</v>
      </c>
      <c r="D44" s="2945">
        <v>23140</v>
      </c>
      <c r="E44" s="2945">
        <v>25090</v>
      </c>
      <c r="F44" s="2945"/>
      <c r="G44" s="2958">
        <v>16190</v>
      </c>
      <c r="N44" s="2945" t="s">
        <v>3032</v>
      </c>
      <c r="O44" s="2945" t="s">
        <v>3033</v>
      </c>
      <c r="P44" s="2952" t="s">
        <v>3034</v>
      </c>
      <c r="Q44" s="2945" t="s">
        <v>3035</v>
      </c>
    </row>
    <row r="45" spans="1:17" ht="14.25" customHeight="1" thickBot="1">
      <c r="A45" s="2945" t="s">
        <v>296</v>
      </c>
      <c r="B45" s="2946" t="s">
        <v>236</v>
      </c>
      <c r="C45" s="2945">
        <v>21240</v>
      </c>
      <c r="D45" s="2945">
        <v>27050</v>
      </c>
      <c r="E45" s="2945">
        <v>28000</v>
      </c>
      <c r="F45" s="2945"/>
      <c r="G45" s="2958">
        <v>18940</v>
      </c>
      <c r="N45" s="2945" t="s">
        <v>3036</v>
      </c>
      <c r="O45" s="2952" t="s">
        <v>3037</v>
      </c>
      <c r="Q45" s="2945" t="s">
        <v>3038</v>
      </c>
    </row>
    <row r="46" spans="1:17" ht="14.25" customHeight="1">
      <c r="A46" s="2945" t="s">
        <v>296</v>
      </c>
      <c r="B46" s="2946" t="s">
        <v>245</v>
      </c>
      <c r="C46" s="2945">
        <v>23240</v>
      </c>
      <c r="D46" s="2945">
        <v>23000</v>
      </c>
      <c r="E46" s="2945">
        <v>24980</v>
      </c>
      <c r="F46" s="2945"/>
      <c r="G46" s="2958">
        <v>16100</v>
      </c>
      <c r="N46" s="2945" t="s">
        <v>3039</v>
      </c>
      <c r="Q46" s="2945" t="s">
        <v>3040</v>
      </c>
    </row>
    <row r="47" spans="1:17" ht="14.25" customHeight="1">
      <c r="A47" s="2945" t="s">
        <v>296</v>
      </c>
      <c r="B47" s="2946" t="s">
        <v>252</v>
      </c>
      <c r="C47" s="2945">
        <v>27150</v>
      </c>
      <c r="D47" s="2945">
        <v>23310</v>
      </c>
      <c r="E47" s="2945">
        <v>25150</v>
      </c>
      <c r="F47" s="2945"/>
      <c r="G47" s="2958">
        <v>16310</v>
      </c>
      <c r="N47" s="2945" t="s">
        <v>3041</v>
      </c>
      <c r="Q47" s="2945" t="s">
        <v>3042</v>
      </c>
    </row>
    <row r="48" spans="1:17" ht="14.25" customHeight="1">
      <c r="A48" s="2945" t="s">
        <v>296</v>
      </c>
      <c r="B48" s="2946" t="s">
        <v>260</v>
      </c>
      <c r="C48" s="2945">
        <v>23100</v>
      </c>
      <c r="D48" s="2945">
        <v>21110</v>
      </c>
      <c r="E48" s="2945">
        <v>23080</v>
      </c>
      <c r="F48" s="2945"/>
      <c r="G48" s="2958">
        <v>14780</v>
      </c>
      <c r="N48" s="2945" t="s">
        <v>3043</v>
      </c>
      <c r="Q48" s="2945" t="s">
        <v>3044</v>
      </c>
    </row>
    <row r="49" spans="1:17" ht="14.25" customHeight="1">
      <c r="A49" s="2945" t="s">
        <v>296</v>
      </c>
      <c r="B49" s="2946" t="s">
        <v>267</v>
      </c>
      <c r="C49" s="2945">
        <v>23400</v>
      </c>
      <c r="D49" s="2945">
        <v>22920</v>
      </c>
      <c r="E49" s="2945">
        <v>24900</v>
      </c>
      <c r="F49" s="2945"/>
      <c r="G49" s="2958">
        <v>16040</v>
      </c>
      <c r="N49" s="2945" t="s">
        <v>3045</v>
      </c>
      <c r="Q49" s="2945" t="s">
        <v>3046</v>
      </c>
    </row>
    <row r="50" spans="1:17" ht="14.25" customHeight="1">
      <c r="A50" s="2945" t="s">
        <v>296</v>
      </c>
      <c r="B50" s="2946" t="s">
        <v>2923</v>
      </c>
      <c r="C50" s="2945">
        <v>21200</v>
      </c>
      <c r="D50" s="2945">
        <v>26540</v>
      </c>
      <c r="E50" s="2945">
        <v>23200</v>
      </c>
      <c r="F50" s="2945"/>
      <c r="G50" s="2958">
        <v>18580</v>
      </c>
      <c r="N50" s="2945" t="s">
        <v>3047</v>
      </c>
      <c r="Q50" s="2946" t="s">
        <v>3048</v>
      </c>
    </row>
    <row r="51" spans="1:17" ht="14.25" customHeight="1" thickBot="1">
      <c r="A51" s="2945" t="s">
        <v>296</v>
      </c>
      <c r="B51" s="2946" t="s">
        <v>2925</v>
      </c>
      <c r="C51" s="2945">
        <v>23000</v>
      </c>
      <c r="D51" s="2945">
        <v>23460</v>
      </c>
      <c r="E51" s="2945">
        <v>25290</v>
      </c>
      <c r="F51" s="2945"/>
      <c r="G51" s="2958">
        <v>16420</v>
      </c>
      <c r="N51" s="2945" t="s">
        <v>3049</v>
      </c>
      <c r="Q51" s="2952" t="s">
        <v>3050</v>
      </c>
    </row>
    <row r="52" spans="1:17" ht="14.25" customHeight="1">
      <c r="A52" s="2945" t="s">
        <v>296</v>
      </c>
      <c r="B52" s="2946" t="s">
        <v>2929</v>
      </c>
      <c r="C52" s="2945">
        <v>26660</v>
      </c>
      <c r="D52" s="2945">
        <v>22350</v>
      </c>
      <c r="E52" s="2945">
        <v>22920</v>
      </c>
      <c r="F52" s="2945"/>
      <c r="G52" s="2958">
        <v>15640</v>
      </c>
      <c r="N52" s="2945" t="s">
        <v>3051</v>
      </c>
    </row>
    <row r="53" spans="1:17" ht="14.25" customHeight="1">
      <c r="A53" s="2945" t="s">
        <v>296</v>
      </c>
      <c r="B53" s="2946" t="s">
        <v>2934</v>
      </c>
      <c r="C53" s="2945">
        <v>23580</v>
      </c>
      <c r="D53" s="2945"/>
      <c r="E53" s="2945">
        <v>24280</v>
      </c>
      <c r="F53" s="2945"/>
      <c r="G53" s="2958"/>
      <c r="N53" s="2945" t="s">
        <v>3052</v>
      </c>
    </row>
    <row r="54" spans="1:17" ht="14.25" customHeight="1" thickBot="1">
      <c r="A54" s="2959" t="s">
        <v>296</v>
      </c>
      <c r="B54" s="2951" t="s">
        <v>2937</v>
      </c>
      <c r="C54" s="2952">
        <v>22460</v>
      </c>
      <c r="D54" s="2952"/>
      <c r="E54" s="2952"/>
      <c r="F54" s="2952"/>
      <c r="G54" s="2960"/>
      <c r="N54" s="2945" t="s">
        <v>3053</v>
      </c>
    </row>
    <row r="55" spans="1:17" ht="14.25" customHeight="1">
      <c r="A55" s="2950" t="s">
        <v>110</v>
      </c>
      <c r="B55" s="2941" t="s">
        <v>3054</v>
      </c>
      <c r="C55" s="2945">
        <v>21970</v>
      </c>
      <c r="D55" s="2945">
        <v>20370</v>
      </c>
      <c r="E55" s="2945">
        <v>20180</v>
      </c>
      <c r="F55" s="2945">
        <v>5730</v>
      </c>
      <c r="G55" s="2945">
        <v>13820</v>
      </c>
      <c r="N55" s="2945" t="s">
        <v>3055</v>
      </c>
    </row>
    <row r="56" spans="1:17" ht="14.25" customHeight="1">
      <c r="A56" s="2945" t="s">
        <v>110</v>
      </c>
      <c r="B56" s="2945" t="s">
        <v>130</v>
      </c>
      <c r="C56" s="2945">
        <v>20470</v>
      </c>
      <c r="D56" s="2945">
        <v>20700</v>
      </c>
      <c r="E56" s="2945">
        <v>20380</v>
      </c>
      <c r="F56" s="2945">
        <v>4760</v>
      </c>
      <c r="G56" s="2945">
        <v>14050</v>
      </c>
      <c r="N56" s="2945" t="s">
        <v>3056</v>
      </c>
    </row>
    <row r="57" spans="1:17" ht="14.25" customHeight="1">
      <c r="A57" s="2945" t="s">
        <v>110</v>
      </c>
      <c r="B57" s="2945" t="s">
        <v>139</v>
      </c>
      <c r="C57" s="2945">
        <v>20790</v>
      </c>
      <c r="D57" s="2945">
        <v>21370</v>
      </c>
      <c r="E57" s="2945">
        <v>20890</v>
      </c>
      <c r="F57" s="2945">
        <v>4910</v>
      </c>
      <c r="G57" s="2945">
        <v>14510</v>
      </c>
      <c r="N57" s="2945" t="s">
        <v>3057</v>
      </c>
    </row>
    <row r="58" spans="1:17" ht="14.25" customHeight="1">
      <c r="A58" s="2945" t="s">
        <v>110</v>
      </c>
      <c r="B58" s="2945" t="s">
        <v>148</v>
      </c>
      <c r="C58" s="2945">
        <v>21460</v>
      </c>
      <c r="D58" s="2945">
        <v>20920</v>
      </c>
      <c r="E58" s="2945">
        <v>23410</v>
      </c>
      <c r="F58" s="2945">
        <v>5100</v>
      </c>
      <c r="G58" s="2945">
        <v>14200</v>
      </c>
      <c r="N58" s="2945" t="s">
        <v>3058</v>
      </c>
    </row>
    <row r="59" spans="1:17" ht="14.25" customHeight="1">
      <c r="A59" s="2945" t="s">
        <v>110</v>
      </c>
      <c r="B59" s="2945" t="s">
        <v>157</v>
      </c>
      <c r="C59" s="2945">
        <v>21000</v>
      </c>
      <c r="D59" s="2945">
        <v>21550</v>
      </c>
      <c r="E59" s="2945">
        <v>21150</v>
      </c>
      <c r="F59" s="2945">
        <v>5250</v>
      </c>
      <c r="G59" s="2945">
        <v>14630</v>
      </c>
      <c r="N59" s="2945" t="s">
        <v>3059</v>
      </c>
    </row>
    <row r="60" spans="1:17" ht="14.25" customHeight="1">
      <c r="A60" s="2945" t="s">
        <v>110</v>
      </c>
      <c r="B60" s="2945" t="s">
        <v>164</v>
      </c>
      <c r="C60" s="2945">
        <v>21640</v>
      </c>
      <c r="D60" s="2945">
        <v>21260</v>
      </c>
      <c r="E60" s="2945">
        <v>24040</v>
      </c>
      <c r="F60" s="2945">
        <v>4470</v>
      </c>
      <c r="G60" s="2945">
        <v>14430</v>
      </c>
      <c r="N60" s="2945" t="s">
        <v>3060</v>
      </c>
    </row>
    <row r="61" spans="1:17" ht="14.25" customHeight="1">
      <c r="A61" s="2945" t="s">
        <v>110</v>
      </c>
      <c r="B61" s="2945" t="s">
        <v>170</v>
      </c>
      <c r="C61" s="2945">
        <v>21330</v>
      </c>
      <c r="D61" s="2945">
        <v>18640</v>
      </c>
      <c r="E61" s="2945">
        <v>21190</v>
      </c>
      <c r="F61" s="2945">
        <v>4180</v>
      </c>
      <c r="G61" s="2945">
        <v>12650</v>
      </c>
      <c r="N61" s="2945" t="s">
        <v>3061</v>
      </c>
    </row>
    <row r="62" spans="1:17" ht="14.25" customHeight="1">
      <c r="A62" s="2945" t="s">
        <v>110</v>
      </c>
      <c r="B62" s="2945" t="s">
        <v>177</v>
      </c>
      <c r="C62" s="2945">
        <v>18710</v>
      </c>
      <c r="D62" s="2945">
        <v>19400</v>
      </c>
      <c r="E62" s="2945">
        <v>23750</v>
      </c>
      <c r="F62" s="2945">
        <v>4860</v>
      </c>
      <c r="G62" s="2945">
        <v>13170</v>
      </c>
      <c r="N62" s="2945" t="s">
        <v>3062</v>
      </c>
    </row>
    <row r="63" spans="1:17" ht="14.25" customHeight="1">
      <c r="A63" s="2945" t="s">
        <v>110</v>
      </c>
      <c r="B63" s="2945" t="s">
        <v>187</v>
      </c>
      <c r="C63" s="2945">
        <v>19480</v>
      </c>
      <c r="D63" s="2945">
        <v>16830</v>
      </c>
      <c r="E63" s="2945">
        <v>21590</v>
      </c>
      <c r="F63" s="2945">
        <v>4560</v>
      </c>
      <c r="G63" s="2945">
        <v>11420</v>
      </c>
      <c r="N63" s="2945" t="s">
        <v>3063</v>
      </c>
    </row>
    <row r="64" spans="1:17" ht="14.25" customHeight="1" thickBot="1">
      <c r="A64" s="2945" t="s">
        <v>110</v>
      </c>
      <c r="B64" s="2945" t="s">
        <v>196</v>
      </c>
      <c r="C64" s="2945">
        <v>16920</v>
      </c>
      <c r="D64" s="2945">
        <v>19190</v>
      </c>
      <c r="E64" s="2945">
        <v>22200</v>
      </c>
      <c r="F64" s="2945">
        <v>4390</v>
      </c>
      <c r="G64" s="2945">
        <v>13030</v>
      </c>
      <c r="N64" s="2952" t="s">
        <v>3064</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2935</v>
      </c>
      <c r="C78" s="2945">
        <v>19820</v>
      </c>
      <c r="D78" s="2945">
        <v>19780</v>
      </c>
      <c r="E78" s="2945">
        <v>18560</v>
      </c>
      <c r="F78" s="2945"/>
      <c r="G78" s="2945">
        <v>13430</v>
      </c>
    </row>
    <row r="79" spans="1:7" s="2779" customFormat="1" ht="14.25" customHeight="1">
      <c r="A79" s="2945" t="s">
        <v>110</v>
      </c>
      <c r="B79" s="2945" t="s">
        <v>2938</v>
      </c>
      <c r="C79" s="2945">
        <v>21660</v>
      </c>
      <c r="D79" s="2945">
        <v>18000</v>
      </c>
      <c r="E79" s="2945">
        <v>22570</v>
      </c>
      <c r="F79" s="2945"/>
      <c r="G79" s="2945">
        <v>12220</v>
      </c>
    </row>
    <row r="80" spans="1:7" s="2779" customFormat="1" ht="14.25" customHeight="1">
      <c r="A80" s="2945" t="s">
        <v>110</v>
      </c>
      <c r="B80" s="2945" t="s">
        <v>2942</v>
      </c>
      <c r="C80" s="2945">
        <v>19850</v>
      </c>
      <c r="D80" s="2945"/>
      <c r="E80" s="2945">
        <v>21700</v>
      </c>
      <c r="F80" s="2945"/>
      <c r="G80" s="2945"/>
    </row>
    <row r="81" spans="1:7" s="2779" customFormat="1" ht="14.25" customHeight="1">
      <c r="A81" s="2945" t="s">
        <v>110</v>
      </c>
      <c r="B81" s="2945" t="s">
        <v>2947</v>
      </c>
      <c r="C81" s="2945">
        <v>18080</v>
      </c>
      <c r="D81" s="2945"/>
      <c r="E81" s="2945">
        <v>20900</v>
      </c>
      <c r="F81" s="2945"/>
      <c r="G81" s="2945"/>
    </row>
    <row r="82" spans="1:7" s="2779" customFormat="1" ht="14.25" customHeight="1">
      <c r="A82" s="2945" t="s">
        <v>110</v>
      </c>
      <c r="B82" s="2945" t="s">
        <v>2954</v>
      </c>
      <c r="C82" s="2945"/>
      <c r="D82" s="2945"/>
      <c r="E82" s="2945">
        <v>20840</v>
      </c>
      <c r="F82" s="2945"/>
      <c r="G82" s="2945"/>
    </row>
    <row r="83" spans="1:7" s="2779" customFormat="1" ht="14.25" customHeight="1">
      <c r="A83" s="2945" t="s">
        <v>110</v>
      </c>
      <c r="B83" s="2945" t="s">
        <v>3065</v>
      </c>
      <c r="C83" s="2945"/>
      <c r="D83" s="2945"/>
      <c r="E83" s="2945"/>
      <c r="F83" s="2945">
        <v>4770</v>
      </c>
      <c r="G83" s="2945"/>
    </row>
    <row r="84" spans="1:7" s="2779" customFormat="1" ht="14.25" customHeight="1">
      <c r="A84" s="2945" t="s">
        <v>110</v>
      </c>
      <c r="B84" s="2945" t="s">
        <v>3066</v>
      </c>
      <c r="C84" s="2945"/>
      <c r="D84" s="2945"/>
      <c r="E84" s="2945"/>
      <c r="F84" s="2945">
        <v>4600</v>
      </c>
      <c r="G84" s="2945"/>
    </row>
    <row r="85" spans="1:7" s="2779" customFormat="1" ht="14.25" customHeight="1">
      <c r="A85" s="2945" t="s">
        <v>110</v>
      </c>
      <c r="B85" s="2945" t="s">
        <v>3067</v>
      </c>
      <c r="C85" s="2945"/>
      <c r="D85" s="2945"/>
      <c r="E85" s="2945"/>
      <c r="F85" s="2945">
        <v>4680</v>
      </c>
      <c r="G85" s="2945"/>
    </row>
    <row r="86" spans="1:7" s="2779" customFormat="1" ht="14.25" customHeight="1" thickBot="1">
      <c r="A86" s="2953" t="s">
        <v>110</v>
      </c>
      <c r="B86" s="2955" t="s">
        <v>3068</v>
      </c>
      <c r="C86" s="2956">
        <v>16610</v>
      </c>
      <c r="D86" s="2956">
        <v>16540</v>
      </c>
      <c r="E86" s="2956">
        <v>18850</v>
      </c>
      <c r="F86" s="2956"/>
      <c r="G86" s="2956">
        <v>11220</v>
      </c>
    </row>
    <row r="87" spans="1:7" s="2779" customFormat="1" ht="14.25" customHeight="1">
      <c r="A87" s="2950" t="s">
        <v>303</v>
      </c>
      <c r="B87" s="2941" t="s">
        <v>3069</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2948</v>
      </c>
      <c r="C113" s="2945">
        <v>15520</v>
      </c>
      <c r="D113" s="2945">
        <v>15450</v>
      </c>
      <c r="E113" s="2945"/>
      <c r="F113" s="2945"/>
      <c r="G113" s="2958">
        <v>10210</v>
      </c>
    </row>
    <row r="114" spans="1:7" s="2779" customFormat="1" ht="14.25" customHeight="1">
      <c r="A114" s="2945" t="s">
        <v>303</v>
      </c>
      <c r="B114" s="2945" t="s">
        <v>2955</v>
      </c>
      <c r="C114" s="2945">
        <v>13110</v>
      </c>
      <c r="D114" s="2945">
        <v>13050</v>
      </c>
      <c r="E114" s="2945"/>
      <c r="F114" s="2945"/>
      <c r="G114" s="2958">
        <v>8620</v>
      </c>
    </row>
    <row r="115" spans="1:7" s="2779" customFormat="1" ht="14.25" customHeight="1">
      <c r="A115" s="2945" t="s">
        <v>303</v>
      </c>
      <c r="B115" s="2945" t="s">
        <v>2961</v>
      </c>
      <c r="C115" s="2945">
        <v>12460</v>
      </c>
      <c r="D115" s="2945">
        <v>12390</v>
      </c>
      <c r="E115" s="2945"/>
      <c r="F115" s="2945"/>
      <c r="G115" s="2958">
        <v>8190</v>
      </c>
    </row>
    <row r="116" spans="1:7" s="2779" customFormat="1" ht="14.25" customHeight="1">
      <c r="A116" s="2945" t="s">
        <v>303</v>
      </c>
      <c r="B116" s="2945" t="s">
        <v>2968</v>
      </c>
      <c r="C116" s="2945">
        <v>13580</v>
      </c>
      <c r="D116" s="2945">
        <v>13520</v>
      </c>
      <c r="E116" s="2945"/>
      <c r="F116" s="2945"/>
      <c r="G116" s="2958">
        <v>8930</v>
      </c>
    </row>
    <row r="117" spans="1:7" s="2779" customFormat="1" ht="14.25" customHeight="1">
      <c r="A117" s="2945" t="s">
        <v>303</v>
      </c>
      <c r="B117" s="2945" t="s">
        <v>2975</v>
      </c>
      <c r="C117" s="2945">
        <v>17120</v>
      </c>
      <c r="D117" s="2945">
        <v>17040</v>
      </c>
      <c r="E117" s="2945"/>
      <c r="F117" s="2945"/>
      <c r="G117" s="2958">
        <v>11260</v>
      </c>
    </row>
    <row r="118" spans="1:7" s="2779" customFormat="1" ht="14.25" customHeight="1">
      <c r="A118" s="2945" t="s">
        <v>303</v>
      </c>
      <c r="B118" s="2945" t="s">
        <v>2980</v>
      </c>
      <c r="C118" s="2945">
        <v>14860</v>
      </c>
      <c r="D118" s="2945">
        <v>14790</v>
      </c>
      <c r="E118" s="2945"/>
      <c r="F118" s="2945"/>
      <c r="G118" s="2958">
        <v>9780</v>
      </c>
    </row>
    <row r="119" spans="1:7" s="2779" customFormat="1" ht="14.25" customHeight="1">
      <c r="A119" s="2945" t="s">
        <v>303</v>
      </c>
      <c r="B119" s="2945" t="s">
        <v>2984</v>
      </c>
      <c r="C119" s="2945">
        <v>16470</v>
      </c>
      <c r="D119" s="2945">
        <v>16400</v>
      </c>
      <c r="E119" s="2945"/>
      <c r="F119" s="2945"/>
      <c r="G119" s="2958">
        <v>10840</v>
      </c>
    </row>
    <row r="120" spans="1:7" s="2779" customFormat="1" ht="14.25" customHeight="1">
      <c r="A120" s="2945" t="s">
        <v>303</v>
      </c>
      <c r="B120" s="2945" t="s">
        <v>3070</v>
      </c>
      <c r="C120" s="2945"/>
      <c r="D120" s="2945"/>
      <c r="E120" s="2945"/>
      <c r="F120" s="2945">
        <v>4160</v>
      </c>
      <c r="G120" s="2958"/>
    </row>
    <row r="121" spans="1:7" s="2779" customFormat="1" ht="14.25" customHeight="1">
      <c r="A121" s="2945" t="s">
        <v>303</v>
      </c>
      <c r="B121" s="2945" t="s">
        <v>3071</v>
      </c>
      <c r="C121" s="2945"/>
      <c r="D121" s="2945"/>
      <c r="E121" s="2945"/>
      <c r="F121" s="2945">
        <v>3880</v>
      </c>
      <c r="G121" s="2958"/>
    </row>
    <row r="122" spans="1:7" s="2779" customFormat="1" ht="14.25" customHeight="1">
      <c r="A122" s="2945" t="s">
        <v>303</v>
      </c>
      <c r="B122" s="2945" t="s">
        <v>3072</v>
      </c>
      <c r="C122" s="2945">
        <v>13750</v>
      </c>
      <c r="D122" s="2945">
        <v>13680</v>
      </c>
      <c r="E122" s="2945">
        <v>16460</v>
      </c>
      <c r="F122" s="2945">
        <v>2880</v>
      </c>
      <c r="G122" s="2958">
        <v>9040</v>
      </c>
    </row>
    <row r="123" spans="1:7" s="2779" customFormat="1" ht="14.25" customHeight="1">
      <c r="A123" s="2945" t="s">
        <v>303</v>
      </c>
      <c r="B123" s="2945" t="s">
        <v>3003</v>
      </c>
      <c r="C123" s="2945">
        <v>13590</v>
      </c>
      <c r="D123" s="2945">
        <v>13520</v>
      </c>
      <c r="E123" s="2945">
        <v>16290</v>
      </c>
      <c r="F123" s="2945">
        <v>2790</v>
      </c>
      <c r="G123" s="2958">
        <v>8930</v>
      </c>
    </row>
    <row r="124" spans="1:7" s="2779" customFormat="1" ht="14.25" customHeight="1">
      <c r="A124" s="2945" t="s">
        <v>303</v>
      </c>
      <c r="B124" s="2945" t="s">
        <v>3008</v>
      </c>
      <c r="C124" s="2945">
        <v>13400</v>
      </c>
      <c r="D124" s="2945">
        <v>13320</v>
      </c>
      <c r="E124" s="2945">
        <v>16100</v>
      </c>
      <c r="F124" s="2945">
        <v>2320</v>
      </c>
      <c r="G124" s="2958">
        <v>8800</v>
      </c>
    </row>
    <row r="125" spans="1:7" s="2779" customFormat="1" ht="14.25" customHeight="1">
      <c r="A125" s="2945" t="s">
        <v>303</v>
      </c>
      <c r="B125" s="2945" t="s">
        <v>3013</v>
      </c>
      <c r="C125" s="2945">
        <v>12860</v>
      </c>
      <c r="D125" s="2945">
        <v>12790</v>
      </c>
      <c r="E125" s="2945">
        <v>15370</v>
      </c>
      <c r="F125" s="2945">
        <v>2280</v>
      </c>
      <c r="G125" s="2958">
        <v>8450</v>
      </c>
    </row>
    <row r="126" spans="1:7" s="2779" customFormat="1" ht="14.25" customHeight="1" thickBot="1">
      <c r="A126" s="2959" t="s">
        <v>303</v>
      </c>
      <c r="B126" s="2952" t="s">
        <v>3018</v>
      </c>
      <c r="C126" s="2952">
        <v>12960</v>
      </c>
      <c r="D126" s="2952">
        <v>12890</v>
      </c>
      <c r="E126" s="2952">
        <v>15530</v>
      </c>
      <c r="F126" s="2952">
        <v>2910</v>
      </c>
      <c r="G126" s="2960">
        <v>8520</v>
      </c>
    </row>
    <row r="127" spans="1:7" s="2779" customFormat="1" ht="14.25" customHeight="1">
      <c r="A127" s="2950" t="s">
        <v>29</v>
      </c>
      <c r="B127" s="2941" t="s">
        <v>3073</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3074</v>
      </c>
      <c r="C148" s="2945">
        <v>10370</v>
      </c>
      <c r="D148" s="2945">
        <v>10310</v>
      </c>
      <c r="E148" s="2945">
        <v>12970</v>
      </c>
      <c r="F148" s="2945"/>
      <c r="G148" s="2945">
        <v>6630</v>
      </c>
    </row>
    <row r="149" spans="1:7" s="2779" customFormat="1" ht="14.25" customHeight="1">
      <c r="A149" s="2945" t="s">
        <v>29</v>
      </c>
      <c r="B149" s="2945" t="s">
        <v>3075</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2949</v>
      </c>
      <c r="C153" s="2945">
        <v>10880</v>
      </c>
      <c r="D153" s="2945">
        <v>10820</v>
      </c>
      <c r="E153" s="2945">
        <v>13660</v>
      </c>
      <c r="F153" s="2945">
        <v>2260</v>
      </c>
      <c r="G153" s="2945">
        <v>6970</v>
      </c>
    </row>
    <row r="154" spans="1:7" s="2779" customFormat="1" ht="14.25" customHeight="1">
      <c r="A154" s="2945" t="s">
        <v>29</v>
      </c>
      <c r="B154" s="2945" t="s">
        <v>3076</v>
      </c>
      <c r="C154" s="2945">
        <v>11220</v>
      </c>
      <c r="D154" s="2945">
        <v>11160</v>
      </c>
      <c r="E154" s="2945">
        <v>14130</v>
      </c>
      <c r="F154" s="2945">
        <v>2230</v>
      </c>
      <c r="G154" s="2945">
        <v>7180</v>
      </c>
    </row>
    <row r="155" spans="1:7" s="2779" customFormat="1" ht="14.25" customHeight="1">
      <c r="A155" s="2945" t="s">
        <v>29</v>
      </c>
      <c r="B155" s="2945" t="s">
        <v>2962</v>
      </c>
      <c r="C155" s="2945">
        <v>10430</v>
      </c>
      <c r="D155" s="2945">
        <v>10380</v>
      </c>
      <c r="E155" s="2945">
        <v>13140</v>
      </c>
      <c r="F155" s="2945">
        <v>2080</v>
      </c>
      <c r="G155" s="2945">
        <v>6650</v>
      </c>
    </row>
    <row r="156" spans="1:7" s="2779" customFormat="1" ht="14.25" customHeight="1">
      <c r="A156" s="2945" t="s">
        <v>29</v>
      </c>
      <c r="B156" s="2945" t="s">
        <v>3077</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3078</v>
      </c>
      <c r="C160" s="2945">
        <v>11180</v>
      </c>
      <c r="D160" s="2945">
        <v>11140</v>
      </c>
      <c r="E160" s="2945">
        <v>14050</v>
      </c>
      <c r="F160" s="2945">
        <v>2270</v>
      </c>
      <c r="G160" s="2945">
        <v>7170</v>
      </c>
    </row>
    <row r="161" spans="1:7" s="2779" customFormat="1" ht="14.25" customHeight="1">
      <c r="A161" s="2945" t="s">
        <v>29</v>
      </c>
      <c r="B161" s="2945" t="s">
        <v>2994</v>
      </c>
      <c r="C161" s="2945">
        <v>11160</v>
      </c>
      <c r="D161" s="2945">
        <v>11120</v>
      </c>
      <c r="E161" s="2945">
        <v>14020</v>
      </c>
      <c r="F161" s="2945">
        <v>2150</v>
      </c>
      <c r="G161" s="2945">
        <v>7160</v>
      </c>
    </row>
    <row r="162" spans="1:7" s="2779" customFormat="1" ht="14.25" customHeight="1">
      <c r="A162" s="2945" t="s">
        <v>29</v>
      </c>
      <c r="B162" s="2945" t="s">
        <v>2999</v>
      </c>
      <c r="C162" s="2945">
        <v>9620</v>
      </c>
      <c r="D162" s="2945">
        <v>9570</v>
      </c>
      <c r="E162" s="2945">
        <v>12320</v>
      </c>
      <c r="F162" s="2945">
        <v>2010</v>
      </c>
      <c r="G162" s="2945">
        <v>6160</v>
      </c>
    </row>
    <row r="163" spans="1:7" s="2779" customFormat="1" ht="14.25" customHeight="1">
      <c r="A163" s="2945" t="s">
        <v>29</v>
      </c>
      <c r="B163" s="2945" t="s">
        <v>3004</v>
      </c>
      <c r="C163" s="2945">
        <v>9320</v>
      </c>
      <c r="D163" s="2945">
        <v>9270</v>
      </c>
      <c r="E163" s="2945">
        <v>11790</v>
      </c>
      <c r="F163" s="2945">
        <v>1920</v>
      </c>
      <c r="G163" s="2945">
        <v>5960</v>
      </c>
    </row>
    <row r="164" spans="1:7" s="2779" customFormat="1" ht="14.25" customHeight="1">
      <c r="A164" s="2945" t="s">
        <v>29</v>
      </c>
      <c r="B164" s="2945" t="s">
        <v>3009</v>
      </c>
      <c r="C164" s="2945"/>
      <c r="D164" s="2945"/>
      <c r="E164" s="2945"/>
      <c r="F164" s="2945">
        <v>1980</v>
      </c>
      <c r="G164" s="2945"/>
    </row>
    <row r="165" spans="1:7" s="2779" customFormat="1" ht="14.25" customHeight="1">
      <c r="A165" s="2945" t="s">
        <v>29</v>
      </c>
      <c r="B165" s="2945" t="s">
        <v>3079</v>
      </c>
      <c r="C165" s="2945">
        <v>11060</v>
      </c>
      <c r="D165" s="2945">
        <v>11030</v>
      </c>
      <c r="E165" s="2945">
        <v>13850</v>
      </c>
      <c r="F165" s="2945">
        <v>2170</v>
      </c>
      <c r="G165" s="2945">
        <v>7090</v>
      </c>
    </row>
    <row r="166" spans="1:7" s="2779" customFormat="1" ht="14.25" customHeight="1">
      <c r="A166" s="2945" t="s">
        <v>29</v>
      </c>
      <c r="B166" s="2945" t="s">
        <v>3019</v>
      </c>
      <c r="C166" s="2945">
        <v>11050</v>
      </c>
      <c r="D166" s="2945">
        <v>11010</v>
      </c>
      <c r="E166" s="2945">
        <v>13920</v>
      </c>
      <c r="F166" s="2945">
        <v>2140</v>
      </c>
      <c r="G166" s="2945">
        <v>7080</v>
      </c>
    </row>
    <row r="167" spans="1:7" s="2779" customFormat="1" ht="14.25" customHeight="1">
      <c r="A167" s="2945" t="s">
        <v>29</v>
      </c>
      <c r="B167" s="2945" t="s">
        <v>3023</v>
      </c>
      <c r="C167" s="2945">
        <v>10930</v>
      </c>
      <c r="D167" s="2945">
        <v>10890</v>
      </c>
      <c r="E167" s="2945">
        <v>13790</v>
      </c>
      <c r="F167" s="2945">
        <v>2010</v>
      </c>
      <c r="G167" s="2945">
        <v>7000</v>
      </c>
    </row>
    <row r="168" spans="1:7" s="2779" customFormat="1" ht="14.25" customHeight="1">
      <c r="A168" s="2945" t="s">
        <v>29</v>
      </c>
      <c r="B168" s="2945" t="s">
        <v>3028</v>
      </c>
      <c r="C168" s="2945">
        <v>9420</v>
      </c>
      <c r="D168" s="2945">
        <v>9380</v>
      </c>
      <c r="E168" s="2945">
        <v>11970</v>
      </c>
      <c r="F168" s="2945"/>
      <c r="G168" s="2945">
        <v>6040</v>
      </c>
    </row>
    <row r="169" spans="1:7" s="2779" customFormat="1" ht="14.25" customHeight="1">
      <c r="A169" s="2945" t="s">
        <v>29</v>
      </c>
      <c r="B169" s="2945" t="s">
        <v>3080</v>
      </c>
      <c r="C169" s="2945"/>
      <c r="D169" s="2945"/>
      <c r="E169" s="2945"/>
      <c r="F169" s="2945">
        <v>2880</v>
      </c>
      <c r="G169" s="2945"/>
    </row>
    <row r="170" spans="1:7" s="2779" customFormat="1" ht="14.25" customHeight="1">
      <c r="A170" s="2945" t="s">
        <v>29</v>
      </c>
      <c r="B170" s="2945" t="s">
        <v>3036</v>
      </c>
      <c r="C170" s="2945"/>
      <c r="D170" s="2945"/>
      <c r="E170" s="2945"/>
      <c r="F170" s="2945">
        <v>2880</v>
      </c>
      <c r="G170" s="2945"/>
    </row>
    <row r="171" spans="1:7" s="2779" customFormat="1" ht="14.25" customHeight="1">
      <c r="A171" s="2945" t="s">
        <v>29</v>
      </c>
      <c r="B171" s="2945" t="s">
        <v>3039</v>
      </c>
      <c r="C171" s="2945"/>
      <c r="D171" s="2945"/>
      <c r="E171" s="2945"/>
      <c r="F171" s="2945">
        <v>2880</v>
      </c>
      <c r="G171" s="2945"/>
    </row>
    <row r="172" spans="1:7" s="2779" customFormat="1" ht="14.25" customHeight="1">
      <c r="A172" s="2945" t="s">
        <v>29</v>
      </c>
      <c r="B172" s="2945" t="s">
        <v>3041</v>
      </c>
      <c r="C172" s="2945"/>
      <c r="D172" s="2945"/>
      <c r="E172" s="2945"/>
      <c r="F172" s="2945">
        <v>2880</v>
      </c>
      <c r="G172" s="2945"/>
    </row>
    <row r="173" spans="1:7" s="2779" customFormat="1" ht="14.25" customHeight="1">
      <c r="A173" s="2945" t="s">
        <v>29</v>
      </c>
      <c r="B173" s="2945" t="s">
        <v>3043</v>
      </c>
      <c r="C173" s="2945"/>
      <c r="D173" s="2945"/>
      <c r="E173" s="2945"/>
      <c r="F173" s="2945">
        <v>2150</v>
      </c>
      <c r="G173" s="2945"/>
    </row>
    <row r="174" spans="1:7" s="2779" customFormat="1" ht="14.25" customHeight="1">
      <c r="A174" s="2945" t="s">
        <v>29</v>
      </c>
      <c r="B174" s="2945" t="s">
        <v>3045</v>
      </c>
      <c r="C174" s="2945"/>
      <c r="D174" s="2945"/>
      <c r="E174" s="2945"/>
      <c r="F174" s="2945">
        <v>2030</v>
      </c>
      <c r="G174" s="2945"/>
    </row>
    <row r="175" spans="1:7" s="2779" customFormat="1" ht="14.25" customHeight="1">
      <c r="A175" s="2945" t="s">
        <v>29</v>
      </c>
      <c r="B175" s="2945" t="s">
        <v>3047</v>
      </c>
      <c r="C175" s="2945"/>
      <c r="D175" s="2945"/>
      <c r="E175" s="2945"/>
      <c r="F175" s="2945">
        <v>2780</v>
      </c>
      <c r="G175" s="2945"/>
    </row>
    <row r="176" spans="1:7" s="2779" customFormat="1" ht="14.25" customHeight="1">
      <c r="A176" s="2945" t="s">
        <v>29</v>
      </c>
      <c r="B176" s="2945" t="s">
        <v>3049</v>
      </c>
      <c r="C176" s="2945"/>
      <c r="D176" s="2945"/>
      <c r="E176" s="2945"/>
      <c r="F176" s="2945">
        <v>2780</v>
      </c>
      <c r="G176" s="2945"/>
    </row>
    <row r="177" spans="1:7" s="2779" customFormat="1" ht="14.25" customHeight="1">
      <c r="A177" s="2945" t="s">
        <v>29</v>
      </c>
      <c r="B177" s="2945" t="s">
        <v>3081</v>
      </c>
      <c r="C177" s="2945"/>
      <c r="D177" s="2945"/>
      <c r="E177" s="2945"/>
      <c r="F177" s="2945">
        <v>2780</v>
      </c>
      <c r="G177" s="2945"/>
    </row>
    <row r="178" spans="1:7" s="2779" customFormat="1" ht="14.25" customHeight="1">
      <c r="A178" s="2945" t="s">
        <v>29</v>
      </c>
      <c r="B178" s="2945" t="s">
        <v>3082</v>
      </c>
      <c r="C178" s="2945"/>
      <c r="D178" s="2945"/>
      <c r="E178" s="2945"/>
      <c r="F178" s="2945">
        <v>2060</v>
      </c>
      <c r="G178" s="2945"/>
    </row>
    <row r="179" spans="1:7" s="2779" customFormat="1" ht="14.25" customHeight="1">
      <c r="A179" s="2945" t="s">
        <v>29</v>
      </c>
      <c r="B179" s="2945" t="s">
        <v>3083</v>
      </c>
      <c r="C179" s="2945"/>
      <c r="D179" s="2945"/>
      <c r="E179" s="2945"/>
      <c r="F179" s="2945">
        <v>2120</v>
      </c>
      <c r="G179" s="2945"/>
    </row>
    <row r="180" spans="1:7" s="2779" customFormat="1" ht="14.25" customHeight="1">
      <c r="A180" s="2945" t="s">
        <v>29</v>
      </c>
      <c r="B180" s="2945" t="s">
        <v>3055</v>
      </c>
      <c r="C180" s="2945"/>
      <c r="D180" s="2945"/>
      <c r="E180" s="2945"/>
      <c r="F180" s="2945">
        <v>2340</v>
      </c>
      <c r="G180" s="2945"/>
    </row>
    <row r="181" spans="1:7" s="2779" customFormat="1" ht="14.25" customHeight="1">
      <c r="A181" s="2945" t="s">
        <v>29</v>
      </c>
      <c r="B181" s="2945" t="s">
        <v>3056</v>
      </c>
      <c r="C181" s="2945"/>
      <c r="D181" s="2945"/>
      <c r="E181" s="2945"/>
      <c r="F181" s="2945">
        <v>2340</v>
      </c>
      <c r="G181" s="2945"/>
    </row>
    <row r="182" spans="1:7" s="2779" customFormat="1" ht="14.25" customHeight="1">
      <c r="A182" s="2945" t="s">
        <v>29</v>
      </c>
      <c r="B182" s="2945" t="s">
        <v>3057</v>
      </c>
      <c r="C182" s="2945"/>
      <c r="D182" s="2945"/>
      <c r="E182" s="2945"/>
      <c r="F182" s="2945">
        <v>2340</v>
      </c>
      <c r="G182" s="2945"/>
    </row>
    <row r="183" spans="1:7" s="2779" customFormat="1" ht="14.25" customHeight="1">
      <c r="A183" s="2945" t="s">
        <v>29</v>
      </c>
      <c r="B183" s="2945" t="s">
        <v>3058</v>
      </c>
      <c r="C183" s="2945"/>
      <c r="D183" s="2945"/>
      <c r="E183" s="2945"/>
      <c r="F183" s="2945">
        <v>2340</v>
      </c>
      <c r="G183" s="2945"/>
    </row>
    <row r="184" spans="1:7" s="2779" customFormat="1" ht="14.25" customHeight="1">
      <c r="A184" s="2945" t="s">
        <v>29</v>
      </c>
      <c r="B184" s="2945" t="s">
        <v>3059</v>
      </c>
      <c r="C184" s="2945"/>
      <c r="D184" s="2945"/>
      <c r="E184" s="2945"/>
      <c r="F184" s="2945">
        <v>2340</v>
      </c>
      <c r="G184" s="2945"/>
    </row>
    <row r="185" spans="1:7" s="2779" customFormat="1" ht="14.25" customHeight="1">
      <c r="A185" s="2945" t="s">
        <v>29</v>
      </c>
      <c r="B185" s="2945" t="s">
        <v>3060</v>
      </c>
      <c r="C185" s="2945"/>
      <c r="D185" s="2945"/>
      <c r="E185" s="2945"/>
      <c r="F185" s="2945">
        <v>2530</v>
      </c>
      <c r="G185" s="2945"/>
    </row>
    <row r="186" spans="1:7" s="2779" customFormat="1" ht="14.25" customHeight="1">
      <c r="A186" s="2945" t="s">
        <v>29</v>
      </c>
      <c r="B186" s="2945" t="s">
        <v>3061</v>
      </c>
      <c r="C186" s="2945"/>
      <c r="D186" s="2945"/>
      <c r="E186" s="2945"/>
      <c r="F186" s="2945">
        <v>2550</v>
      </c>
      <c r="G186" s="2945"/>
    </row>
    <row r="187" spans="1:7" s="2779" customFormat="1" ht="14.25" customHeight="1">
      <c r="A187" s="2945" t="s">
        <v>29</v>
      </c>
      <c r="B187" s="2945" t="s">
        <v>3062</v>
      </c>
      <c r="C187" s="2945"/>
      <c r="D187" s="2945"/>
      <c r="E187" s="2945"/>
      <c r="F187" s="2945">
        <v>2070</v>
      </c>
      <c r="G187" s="2945"/>
    </row>
    <row r="188" spans="1:7" s="2779" customFormat="1" ht="14.25" customHeight="1">
      <c r="A188" s="2945" t="s">
        <v>29</v>
      </c>
      <c r="B188" s="2945" t="s">
        <v>3063</v>
      </c>
      <c r="C188" s="2945"/>
      <c r="D188" s="2945"/>
      <c r="E188" s="2945"/>
      <c r="F188" s="2945">
        <v>2340</v>
      </c>
      <c r="G188" s="2945"/>
    </row>
    <row r="189" spans="1:7" s="2779" customFormat="1" ht="14.25" customHeight="1" thickBot="1">
      <c r="A189" s="2953" t="s">
        <v>29</v>
      </c>
      <c r="B189" s="2956" t="s">
        <v>3064</v>
      </c>
      <c r="C189" s="2956"/>
      <c r="D189" s="2956"/>
      <c r="E189" s="2956"/>
      <c r="F189" s="2956">
        <v>2050</v>
      </c>
      <c r="G189" s="2956"/>
    </row>
    <row r="190" spans="1:7" s="2779" customFormat="1" ht="14.25" customHeight="1">
      <c r="A190" s="2950" t="s">
        <v>304</v>
      </c>
      <c r="B190" s="2941" t="s">
        <v>3084</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3085</v>
      </c>
      <c r="C199" s="2945">
        <v>8690</v>
      </c>
      <c r="D199" s="2945">
        <v>8630</v>
      </c>
      <c r="E199" s="2945">
        <v>11350</v>
      </c>
      <c r="F199" s="2945">
        <v>1600</v>
      </c>
      <c r="G199" s="2958">
        <v>5450</v>
      </c>
    </row>
    <row r="200" spans="1:7" s="2779" customFormat="1" ht="14.25" customHeight="1">
      <c r="A200" s="2945" t="s">
        <v>304</v>
      </c>
      <c r="B200" s="2945" t="s">
        <v>2896</v>
      </c>
      <c r="C200" s="2945"/>
      <c r="D200" s="2945"/>
      <c r="E200" s="2945"/>
      <c r="F200" s="2945">
        <v>1510</v>
      </c>
      <c r="G200" s="2958"/>
    </row>
    <row r="201" spans="1:7" s="2779" customFormat="1" ht="14.25" customHeight="1">
      <c r="A201" s="2945" t="s">
        <v>304</v>
      </c>
      <c r="B201" s="2945" t="s">
        <v>3086</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3087</v>
      </c>
      <c r="C203" s="2945">
        <v>8130</v>
      </c>
      <c r="D203" s="2945">
        <v>8070</v>
      </c>
      <c r="E203" s="2945">
        <v>10820</v>
      </c>
      <c r="F203" s="2945">
        <v>1690</v>
      </c>
      <c r="G203" s="2958">
        <v>5100</v>
      </c>
    </row>
    <row r="204" spans="1:7" s="2779" customFormat="1" ht="14.25" customHeight="1">
      <c r="A204" s="2945" t="s">
        <v>304</v>
      </c>
      <c r="B204" s="2945" t="s">
        <v>2907</v>
      </c>
      <c r="C204" s="2945">
        <v>8350</v>
      </c>
      <c r="D204" s="2945">
        <v>8290</v>
      </c>
      <c r="E204" s="2945">
        <v>11080</v>
      </c>
      <c r="F204" s="2945">
        <v>1450</v>
      </c>
      <c r="G204" s="2958">
        <v>5240</v>
      </c>
    </row>
    <row r="205" spans="1:7" s="2779" customFormat="1" ht="14.25" customHeight="1">
      <c r="A205" s="2945" t="s">
        <v>304</v>
      </c>
      <c r="B205" s="2945" t="s">
        <v>2909</v>
      </c>
      <c r="C205" s="2945">
        <v>7190</v>
      </c>
      <c r="D205" s="2945">
        <v>7130</v>
      </c>
      <c r="E205" s="2945">
        <v>9490</v>
      </c>
      <c r="F205" s="2945">
        <v>1470</v>
      </c>
      <c r="G205" s="2958">
        <v>4510</v>
      </c>
    </row>
    <row r="206" spans="1:7" s="2779" customFormat="1" ht="14.25" customHeight="1">
      <c r="A206" s="2945" t="s">
        <v>304</v>
      </c>
      <c r="B206" s="2945" t="s">
        <v>2912</v>
      </c>
      <c r="C206" s="2945">
        <v>7000</v>
      </c>
      <c r="D206" s="2945">
        <v>6950</v>
      </c>
      <c r="E206" s="2945">
        <v>9170</v>
      </c>
      <c r="F206" s="2945">
        <v>1400</v>
      </c>
      <c r="G206" s="2958">
        <v>4380</v>
      </c>
    </row>
    <row r="207" spans="1:7" s="2779" customFormat="1" ht="14.25" customHeight="1">
      <c r="A207" s="2945" t="s">
        <v>304</v>
      </c>
      <c r="B207" s="2945" t="s">
        <v>2914</v>
      </c>
      <c r="C207" s="2945">
        <v>6950</v>
      </c>
      <c r="D207" s="2945">
        <v>6900</v>
      </c>
      <c r="E207" s="2945">
        <v>9110</v>
      </c>
      <c r="F207" s="2945">
        <v>1790</v>
      </c>
      <c r="G207" s="2958">
        <v>4360</v>
      </c>
    </row>
    <row r="208" spans="1:7" s="2779" customFormat="1" ht="14.25" customHeight="1">
      <c r="A208" s="2945" t="s">
        <v>304</v>
      </c>
      <c r="B208" s="2945" t="s">
        <v>3088</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2924</v>
      </c>
      <c r="C210" s="2945">
        <v>8710</v>
      </c>
      <c r="D210" s="2945">
        <v>8660</v>
      </c>
      <c r="E210" s="2945">
        <v>11440</v>
      </c>
      <c r="F210" s="2945">
        <v>1740</v>
      </c>
      <c r="G210" s="2958">
        <v>5470</v>
      </c>
    </row>
    <row r="211" spans="1:7" s="2779" customFormat="1" ht="14.25" customHeight="1">
      <c r="A211" s="2945" t="s">
        <v>304</v>
      </c>
      <c r="B211" s="2945" t="s">
        <v>3089</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3090</v>
      </c>
      <c r="C214" s="2945">
        <v>8090</v>
      </c>
      <c r="D214" s="2945">
        <v>8030</v>
      </c>
      <c r="E214" s="2945">
        <v>10780</v>
      </c>
      <c r="F214" s="2945">
        <v>1570</v>
      </c>
      <c r="G214" s="2958">
        <v>5070</v>
      </c>
    </row>
    <row r="215" spans="1:7" s="2779" customFormat="1" ht="14.25" customHeight="1">
      <c r="A215" s="2945" t="s">
        <v>304</v>
      </c>
      <c r="B215" s="2945" t="s">
        <v>3091</v>
      </c>
      <c r="C215" s="2945">
        <v>7950</v>
      </c>
      <c r="D215" s="2945">
        <v>7900</v>
      </c>
      <c r="E215" s="2945">
        <v>10560</v>
      </c>
      <c r="F215" s="2945">
        <v>1630</v>
      </c>
      <c r="G215" s="2958">
        <v>4990</v>
      </c>
    </row>
    <row r="216" spans="1:7" s="2779" customFormat="1" ht="14.25" customHeight="1">
      <c r="A216" s="2945" t="s">
        <v>304</v>
      </c>
      <c r="B216" s="2945" t="s">
        <v>3092</v>
      </c>
      <c r="C216" s="2945">
        <v>8490</v>
      </c>
      <c r="D216" s="2945">
        <v>8440</v>
      </c>
      <c r="E216" s="2945">
        <v>11260</v>
      </c>
      <c r="F216" s="2945">
        <v>1690</v>
      </c>
      <c r="G216" s="2958">
        <v>5330</v>
      </c>
    </row>
    <row r="217" spans="1:7" s="2779" customFormat="1" ht="14.25" customHeight="1">
      <c r="A217" s="2945" t="s">
        <v>304</v>
      </c>
      <c r="B217" s="2945" t="s">
        <v>2957</v>
      </c>
      <c r="C217" s="2945">
        <v>8200</v>
      </c>
      <c r="D217" s="2945">
        <v>8150</v>
      </c>
      <c r="E217" s="2945">
        <v>10910</v>
      </c>
      <c r="F217" s="2945">
        <v>1670</v>
      </c>
      <c r="G217" s="2958">
        <v>5150</v>
      </c>
    </row>
    <row r="218" spans="1:7" s="2779" customFormat="1" ht="14.25" customHeight="1">
      <c r="A218" s="2945" t="s">
        <v>304</v>
      </c>
      <c r="B218" s="2945" t="s">
        <v>3093</v>
      </c>
      <c r="C218" s="2945"/>
      <c r="D218" s="2945"/>
      <c r="E218" s="2945"/>
      <c r="F218" s="2945">
        <v>2040</v>
      </c>
      <c r="G218" s="2958"/>
    </row>
    <row r="219" spans="1:7" s="2779" customFormat="1" ht="14.25" customHeight="1">
      <c r="A219" s="2945" t="s">
        <v>304</v>
      </c>
      <c r="B219" s="2945" t="s">
        <v>3094</v>
      </c>
      <c r="C219" s="2945"/>
      <c r="D219" s="2945"/>
      <c r="E219" s="2945"/>
      <c r="F219" s="2945">
        <v>2040</v>
      </c>
      <c r="G219" s="2958"/>
    </row>
    <row r="220" spans="1:7" s="2779" customFormat="1" ht="14.25" customHeight="1">
      <c r="A220" s="2945" t="s">
        <v>304</v>
      </c>
      <c r="B220" s="2945" t="s">
        <v>3095</v>
      </c>
      <c r="C220" s="2945"/>
      <c r="D220" s="2945"/>
      <c r="E220" s="2945"/>
      <c r="F220" s="2945">
        <v>2040</v>
      </c>
      <c r="G220" s="2958"/>
    </row>
    <row r="221" spans="1:7" s="2779" customFormat="1" ht="14.25" customHeight="1">
      <c r="A221" s="2945" t="s">
        <v>304</v>
      </c>
      <c r="B221" s="2945" t="s">
        <v>3096</v>
      </c>
      <c r="C221" s="2945"/>
      <c r="D221" s="2945"/>
      <c r="E221" s="2945"/>
      <c r="F221" s="2945">
        <v>2040</v>
      </c>
      <c r="G221" s="2958"/>
    </row>
    <row r="222" spans="1:7" s="2779" customFormat="1" ht="14.25" customHeight="1">
      <c r="A222" s="2945" t="s">
        <v>304</v>
      </c>
      <c r="B222" s="2945" t="s">
        <v>3097</v>
      </c>
      <c r="C222" s="2945"/>
      <c r="D222" s="2945"/>
      <c r="E222" s="2945"/>
      <c r="F222" s="2945">
        <v>2040</v>
      </c>
      <c r="G222" s="2958"/>
    </row>
    <row r="223" spans="1:7" s="2779" customFormat="1" ht="14.25" customHeight="1">
      <c r="A223" s="2945" t="s">
        <v>304</v>
      </c>
      <c r="B223" s="2945" t="s">
        <v>3098</v>
      </c>
      <c r="C223" s="2945"/>
      <c r="D223" s="2945"/>
      <c r="E223" s="2945"/>
      <c r="F223" s="2945">
        <v>1930</v>
      </c>
      <c r="G223" s="2958"/>
    </row>
    <row r="224" spans="1:7" s="2779" customFormat="1" ht="14.25" customHeight="1">
      <c r="A224" s="2945" t="s">
        <v>304</v>
      </c>
      <c r="B224" s="2945" t="s">
        <v>3099</v>
      </c>
      <c r="C224" s="2945"/>
      <c r="D224" s="2945"/>
      <c r="E224" s="2945"/>
      <c r="F224" s="2945">
        <v>1930</v>
      </c>
      <c r="G224" s="2958"/>
    </row>
    <row r="225" spans="1:7" s="2779" customFormat="1" ht="14.25" customHeight="1">
      <c r="A225" s="2945" t="s">
        <v>304</v>
      </c>
      <c r="B225" s="2945" t="s">
        <v>3100</v>
      </c>
      <c r="C225" s="2945"/>
      <c r="D225" s="2945"/>
      <c r="E225" s="2945"/>
      <c r="F225" s="2945">
        <v>1930</v>
      </c>
      <c r="G225" s="2958"/>
    </row>
    <row r="226" spans="1:7" s="2779" customFormat="1" ht="14.25" customHeight="1">
      <c r="A226" s="2945" t="s">
        <v>304</v>
      </c>
      <c r="B226" s="2945" t="s">
        <v>3101</v>
      </c>
      <c r="C226" s="2945"/>
      <c r="D226" s="2945"/>
      <c r="E226" s="2945"/>
      <c r="F226" s="2945">
        <v>1700</v>
      </c>
      <c r="G226" s="2958"/>
    </row>
    <row r="227" spans="1:7" s="2779" customFormat="1" ht="14.25" customHeight="1">
      <c r="A227" s="2945" t="s">
        <v>304</v>
      </c>
      <c r="B227" s="2945" t="s">
        <v>3102</v>
      </c>
      <c r="C227" s="2945"/>
      <c r="D227" s="2945"/>
      <c r="E227" s="2945"/>
      <c r="F227" s="2945">
        <v>1520</v>
      </c>
      <c r="G227" s="2958"/>
    </row>
    <row r="228" spans="1:7" s="2779" customFormat="1" ht="14.25" customHeight="1">
      <c r="A228" s="2945" t="s">
        <v>304</v>
      </c>
      <c r="B228" s="2945" t="s">
        <v>3103</v>
      </c>
      <c r="C228" s="2945"/>
      <c r="D228" s="2945"/>
      <c r="E228" s="2945"/>
      <c r="F228" s="2945">
        <v>1520</v>
      </c>
      <c r="G228" s="2958"/>
    </row>
    <row r="229" spans="1:7" s="2779" customFormat="1" ht="14.25" customHeight="1">
      <c r="A229" s="2945" t="s">
        <v>304</v>
      </c>
      <c r="B229" s="2945" t="s">
        <v>3020</v>
      </c>
      <c r="C229" s="2945"/>
      <c r="D229" s="2945"/>
      <c r="E229" s="2945"/>
      <c r="F229" s="2945">
        <v>1520</v>
      </c>
      <c r="G229" s="2958"/>
    </row>
    <row r="230" spans="1:7" s="2779" customFormat="1" ht="14.25" customHeight="1">
      <c r="A230" s="2945" t="s">
        <v>304</v>
      </c>
      <c r="B230" s="2945" t="s">
        <v>3104</v>
      </c>
      <c r="C230" s="2945"/>
      <c r="D230" s="2945"/>
      <c r="E230" s="2945"/>
      <c r="F230" s="2945">
        <v>1820</v>
      </c>
      <c r="G230" s="2958"/>
    </row>
    <row r="231" spans="1:7" s="2779" customFormat="1" ht="14.25" customHeight="1">
      <c r="A231" s="2945" t="s">
        <v>304</v>
      </c>
      <c r="B231" s="2945" t="s">
        <v>3105</v>
      </c>
      <c r="C231" s="2945"/>
      <c r="D231" s="2945"/>
      <c r="E231" s="2945"/>
      <c r="F231" s="2945">
        <v>1760</v>
      </c>
      <c r="G231" s="2958"/>
    </row>
    <row r="232" spans="1:7" s="2779" customFormat="1" ht="14.25" customHeight="1">
      <c r="A232" s="2945" t="s">
        <v>304</v>
      </c>
      <c r="B232" s="2945" t="s">
        <v>3106</v>
      </c>
      <c r="C232" s="2945"/>
      <c r="D232" s="2945"/>
      <c r="E232" s="2945"/>
      <c r="F232" s="2945">
        <v>1840</v>
      </c>
      <c r="G232" s="2958"/>
    </row>
    <row r="233" spans="1:7" s="2779" customFormat="1" ht="14.25" customHeight="1" thickBot="1">
      <c r="A233" s="2959" t="s">
        <v>304</v>
      </c>
      <c r="B233" s="2952" t="s">
        <v>3037</v>
      </c>
      <c r="C233" s="2952"/>
      <c r="D233" s="2952"/>
      <c r="E233" s="2952"/>
      <c r="F233" s="2952">
        <v>1770</v>
      </c>
      <c r="G233" s="2960"/>
    </row>
    <row r="234" spans="1:7" s="2779" customFormat="1" ht="14.25" customHeight="1">
      <c r="A234" s="2950" t="s">
        <v>305</v>
      </c>
      <c r="B234" s="2941" t="s">
        <v>3107</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2878</v>
      </c>
      <c r="C238" s="2945">
        <v>6920</v>
      </c>
      <c r="D238" s="2945">
        <v>6890</v>
      </c>
      <c r="E238" s="2945">
        <v>8640</v>
      </c>
      <c r="F238" s="2945">
        <v>1310</v>
      </c>
      <c r="G238" s="2945">
        <v>4230</v>
      </c>
    </row>
    <row r="239" spans="1:7" s="2779" customFormat="1" ht="14.25" customHeight="1">
      <c r="A239" s="2945" t="s">
        <v>305</v>
      </c>
      <c r="B239" s="2945" t="s">
        <v>3108</v>
      </c>
      <c r="C239" s="2945">
        <v>6780</v>
      </c>
      <c r="D239" s="2945">
        <v>6750</v>
      </c>
      <c r="E239" s="2945">
        <v>8440</v>
      </c>
      <c r="F239" s="2945">
        <v>1160</v>
      </c>
      <c r="G239" s="2945">
        <v>4140</v>
      </c>
    </row>
    <row r="240" spans="1:7" s="2779" customFormat="1" ht="14.25" customHeight="1">
      <c r="A240" s="2945" t="s">
        <v>305</v>
      </c>
      <c r="B240" s="2945" t="s">
        <v>3109</v>
      </c>
      <c r="C240" s="2945">
        <v>5420</v>
      </c>
      <c r="D240" s="2945">
        <v>5380</v>
      </c>
      <c r="E240" s="2945">
        <v>6640</v>
      </c>
      <c r="F240" s="2945">
        <v>1020</v>
      </c>
      <c r="G240" s="2945">
        <v>3300</v>
      </c>
    </row>
    <row r="241" spans="1:7" s="2779" customFormat="1" ht="14.25" customHeight="1">
      <c r="A241" s="2945" t="s">
        <v>305</v>
      </c>
      <c r="B241" s="2945" t="s">
        <v>3110</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3111</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3112</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3113</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3114</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3115</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2940</v>
      </c>
      <c r="C258" s="2945">
        <v>6190</v>
      </c>
      <c r="D258" s="2945">
        <v>6160</v>
      </c>
      <c r="E258" s="2945">
        <v>7680</v>
      </c>
      <c r="F258" s="2945">
        <v>1170</v>
      </c>
      <c r="G258" s="2945">
        <v>3780</v>
      </c>
    </row>
    <row r="259" spans="1:7" s="2779" customFormat="1" ht="14.25" customHeight="1">
      <c r="A259" s="2945" t="s">
        <v>305</v>
      </c>
      <c r="B259" s="2945" t="s">
        <v>3116</v>
      </c>
      <c r="C259" s="2945">
        <v>7610</v>
      </c>
      <c r="D259" s="2945">
        <v>7570</v>
      </c>
      <c r="E259" s="2945">
        <v>9350</v>
      </c>
      <c r="F259" s="2945">
        <v>1350</v>
      </c>
      <c r="G259" s="2945">
        <v>4650</v>
      </c>
    </row>
    <row r="260" spans="1:7" s="2779" customFormat="1" ht="14.25" customHeight="1">
      <c r="A260" s="2945" t="s">
        <v>305</v>
      </c>
      <c r="B260" s="2945" t="s">
        <v>3117</v>
      </c>
      <c r="C260" s="2945">
        <v>6920</v>
      </c>
      <c r="D260" s="2945">
        <v>6880</v>
      </c>
      <c r="E260" s="2945">
        <v>8380</v>
      </c>
      <c r="F260" s="2945">
        <v>1160</v>
      </c>
      <c r="G260" s="2945">
        <v>4220</v>
      </c>
    </row>
    <row r="261" spans="1:7" s="2779" customFormat="1" ht="14.25" customHeight="1">
      <c r="A261" s="2945" t="s">
        <v>305</v>
      </c>
      <c r="B261" s="2945" t="s">
        <v>3118</v>
      </c>
      <c r="C261" s="2945">
        <v>6850</v>
      </c>
      <c r="D261" s="2945">
        <v>6810</v>
      </c>
      <c r="E261" s="2945">
        <v>8290</v>
      </c>
      <c r="F261" s="2945">
        <v>1130</v>
      </c>
      <c r="G261" s="2945">
        <v>4180</v>
      </c>
    </row>
    <row r="262" spans="1:7" s="2779" customFormat="1" ht="14.25" customHeight="1">
      <c r="A262" s="2945" t="s">
        <v>305</v>
      </c>
      <c r="B262" s="2945" t="s">
        <v>3119</v>
      </c>
      <c r="C262" s="2945">
        <v>5860</v>
      </c>
      <c r="D262" s="2945">
        <v>5820</v>
      </c>
      <c r="E262" s="2945">
        <v>7640</v>
      </c>
      <c r="F262" s="2945">
        <v>1070</v>
      </c>
      <c r="G262" s="2945">
        <v>3570</v>
      </c>
    </row>
    <row r="263" spans="1:7" s="2779" customFormat="1" ht="14.25" customHeight="1">
      <c r="A263" s="2945" t="s">
        <v>305</v>
      </c>
      <c r="B263" s="2945" t="s">
        <v>3120</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3121</v>
      </c>
      <c r="C265" s="2945"/>
      <c r="D265" s="2945"/>
      <c r="E265" s="2945"/>
      <c r="F265" s="2945">
        <v>1500</v>
      </c>
      <c r="G265" s="2945"/>
    </row>
    <row r="266" spans="1:7" s="2779" customFormat="1" ht="14.25" customHeight="1">
      <c r="A266" s="2945" t="s">
        <v>305</v>
      </c>
      <c r="B266" s="2945" t="s">
        <v>3122</v>
      </c>
      <c r="C266" s="2945"/>
      <c r="D266" s="2945"/>
      <c r="E266" s="2945"/>
      <c r="F266" s="2945">
        <v>1500</v>
      </c>
      <c r="G266" s="2945"/>
    </row>
    <row r="267" spans="1:7" s="2779" customFormat="1" ht="14.25" customHeight="1">
      <c r="A267" s="2945" t="s">
        <v>305</v>
      </c>
      <c r="B267" s="2945" t="s">
        <v>3123</v>
      </c>
      <c r="C267" s="2945"/>
      <c r="D267" s="2945"/>
      <c r="E267" s="2945"/>
      <c r="F267" s="2945">
        <v>1500</v>
      </c>
      <c r="G267" s="2945"/>
    </row>
    <row r="268" spans="1:7" s="2779" customFormat="1" ht="14.25" customHeight="1">
      <c r="A268" s="2945" t="s">
        <v>305</v>
      </c>
      <c r="B268" s="2945" t="s">
        <v>3124</v>
      </c>
      <c r="C268" s="2945"/>
      <c r="D268" s="2945"/>
      <c r="E268" s="2945"/>
      <c r="F268" s="2945">
        <v>1290</v>
      </c>
      <c r="G268" s="2945"/>
    </row>
    <row r="269" spans="1:7" s="2779" customFormat="1" ht="14.25" customHeight="1">
      <c r="A269" s="2945" t="s">
        <v>305</v>
      </c>
      <c r="B269" s="2945" t="s">
        <v>3125</v>
      </c>
      <c r="C269" s="2945"/>
      <c r="D269" s="2945"/>
      <c r="E269" s="2945"/>
      <c r="F269" s="2945">
        <v>1150</v>
      </c>
      <c r="G269" s="2945"/>
    </row>
    <row r="270" spans="1:7" s="2779" customFormat="1" ht="14.25" customHeight="1">
      <c r="A270" s="2945" t="s">
        <v>305</v>
      </c>
      <c r="B270" s="2945" t="s">
        <v>3126</v>
      </c>
      <c r="C270" s="2945"/>
      <c r="D270" s="2945"/>
      <c r="E270" s="2945"/>
      <c r="F270" s="2945">
        <v>1380</v>
      </c>
      <c r="G270" s="2945"/>
    </row>
    <row r="271" spans="1:7" s="2779" customFormat="1" ht="14.25" customHeight="1">
      <c r="A271" s="2945" t="s">
        <v>305</v>
      </c>
      <c r="B271" s="2945" t="s">
        <v>3127</v>
      </c>
      <c r="C271" s="2945"/>
      <c r="D271" s="2945"/>
      <c r="E271" s="2945"/>
      <c r="F271" s="2945">
        <v>1460</v>
      </c>
      <c r="G271" s="2945"/>
    </row>
    <row r="272" spans="1:7" s="2779" customFormat="1" ht="14.25" customHeight="1">
      <c r="A272" s="2945" t="s">
        <v>305</v>
      </c>
      <c r="B272" s="2945" t="s">
        <v>3128</v>
      </c>
      <c r="C272" s="2945"/>
      <c r="D272" s="2945"/>
      <c r="E272" s="2945"/>
      <c r="F272" s="2945">
        <v>1460</v>
      </c>
      <c r="G272" s="2945"/>
    </row>
    <row r="273" spans="1:7" s="2779" customFormat="1" ht="14.25" customHeight="1">
      <c r="A273" s="2945" t="s">
        <v>305</v>
      </c>
      <c r="B273" s="2945" t="s">
        <v>3021</v>
      </c>
      <c r="C273" s="2945"/>
      <c r="D273" s="2945"/>
      <c r="E273" s="2945"/>
      <c r="F273" s="2945">
        <v>1490</v>
      </c>
      <c r="G273" s="2945"/>
    </row>
    <row r="274" spans="1:7" s="2779" customFormat="1" ht="14.25" customHeight="1">
      <c r="A274" s="2945" t="s">
        <v>305</v>
      </c>
      <c r="B274" s="2945" t="s">
        <v>3129</v>
      </c>
      <c r="C274" s="2945"/>
      <c r="D274" s="2945"/>
      <c r="E274" s="2945"/>
      <c r="F274" s="2945">
        <v>1490</v>
      </c>
      <c r="G274" s="2945"/>
    </row>
    <row r="275" spans="1:7" s="2779" customFormat="1" ht="14.25" customHeight="1">
      <c r="A275" s="2945" t="s">
        <v>305</v>
      </c>
      <c r="B275" s="2945" t="s">
        <v>3130</v>
      </c>
      <c r="C275" s="2945"/>
      <c r="D275" s="2945"/>
      <c r="E275" s="2945"/>
      <c r="F275" s="2945">
        <v>1220</v>
      </c>
      <c r="G275" s="2945"/>
    </row>
    <row r="276" spans="1:7" s="2779" customFormat="1" ht="14.25" customHeight="1" thickBot="1">
      <c r="A276" s="2953" t="s">
        <v>305</v>
      </c>
      <c r="B276" s="2955" t="s">
        <v>3131</v>
      </c>
      <c r="C276" s="2956"/>
      <c r="D276" s="2956"/>
      <c r="E276" s="2956"/>
      <c r="F276" s="2956">
        <v>1380</v>
      </c>
      <c r="G276" s="2956"/>
    </row>
    <row r="277" spans="1:7" s="2779" customFormat="1" ht="14.25" customHeight="1">
      <c r="A277" s="2950" t="s">
        <v>306</v>
      </c>
      <c r="B277" s="2941" t="s">
        <v>3132</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3133</v>
      </c>
      <c r="C279" s="2945">
        <v>4760</v>
      </c>
      <c r="D279" s="2945">
        <v>4720</v>
      </c>
      <c r="E279" s="2945">
        <v>5540</v>
      </c>
      <c r="F279" s="2945">
        <v>810</v>
      </c>
      <c r="G279" s="2958">
        <v>2850</v>
      </c>
    </row>
    <row r="280" spans="1:7" s="2779" customFormat="1" ht="14.25" customHeight="1">
      <c r="A280" s="2945" t="s">
        <v>306</v>
      </c>
      <c r="B280" s="2945" t="s">
        <v>3134</v>
      </c>
      <c r="C280" s="2945">
        <v>4010</v>
      </c>
      <c r="D280" s="2945">
        <v>3950</v>
      </c>
      <c r="E280" s="2945">
        <v>4710</v>
      </c>
      <c r="F280" s="2945">
        <v>800</v>
      </c>
      <c r="G280" s="2958">
        <v>2390</v>
      </c>
    </row>
    <row r="281" spans="1:7" s="2779" customFormat="1" ht="14.25" customHeight="1">
      <c r="A281" s="2945" t="s">
        <v>306</v>
      </c>
      <c r="B281" s="2945" t="s">
        <v>3135</v>
      </c>
      <c r="C281" s="2945">
        <v>4480</v>
      </c>
      <c r="D281" s="2945">
        <v>4420</v>
      </c>
      <c r="E281" s="2945">
        <v>5230</v>
      </c>
      <c r="F281" s="2945">
        <v>870</v>
      </c>
      <c r="G281" s="2958">
        <v>2660</v>
      </c>
    </row>
    <row r="282" spans="1:7" s="2779" customFormat="1" ht="14.25" customHeight="1">
      <c r="A282" s="2945" t="s">
        <v>306</v>
      </c>
      <c r="B282" s="2945" t="s">
        <v>3136</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3137</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3138</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2913</v>
      </c>
      <c r="C293" s="2945">
        <v>5320</v>
      </c>
      <c r="D293" s="2945">
        <v>5270</v>
      </c>
      <c r="E293" s="2945">
        <v>6160</v>
      </c>
      <c r="F293" s="2945">
        <v>990</v>
      </c>
      <c r="G293" s="2958">
        <v>3170</v>
      </c>
    </row>
    <row r="294" spans="1:7" s="2779" customFormat="1" ht="14.25" customHeight="1">
      <c r="A294" s="2945" t="s">
        <v>306</v>
      </c>
      <c r="B294" s="2945" t="s">
        <v>3139</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2932</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3140</v>
      </c>
      <c r="C302" s="2945">
        <v>5520</v>
      </c>
      <c r="D302" s="2945">
        <v>5470</v>
      </c>
      <c r="E302" s="2945">
        <v>6410</v>
      </c>
      <c r="F302" s="2945">
        <v>950</v>
      </c>
      <c r="G302" s="2958">
        <v>3300</v>
      </c>
    </row>
    <row r="303" spans="1:7" s="2779" customFormat="1" ht="14.25" customHeight="1">
      <c r="A303" s="2945" t="s">
        <v>306</v>
      </c>
      <c r="B303" s="2945" t="s">
        <v>2952</v>
      </c>
      <c r="C303" s="2945">
        <v>5630</v>
      </c>
      <c r="D303" s="2945">
        <v>5590</v>
      </c>
      <c r="E303" s="2945">
        <v>6550</v>
      </c>
      <c r="F303" s="2945">
        <v>1010</v>
      </c>
      <c r="G303" s="2958">
        <v>3370</v>
      </c>
    </row>
    <row r="304" spans="1:7" s="2779" customFormat="1" ht="14.25" customHeight="1">
      <c r="A304" s="2945" t="s">
        <v>306</v>
      </c>
      <c r="B304" s="2945" t="s">
        <v>2959</v>
      </c>
      <c r="C304" s="2945">
        <v>5680</v>
      </c>
      <c r="D304" s="2945">
        <v>5620</v>
      </c>
      <c r="E304" s="2945">
        <v>6620</v>
      </c>
      <c r="F304" s="2945">
        <v>1050</v>
      </c>
      <c r="G304" s="2958">
        <v>3390</v>
      </c>
    </row>
    <row r="305" spans="1:7" s="2779" customFormat="1" ht="14.25" customHeight="1">
      <c r="A305" s="2945" t="s">
        <v>306</v>
      </c>
      <c r="B305" s="2945" t="s">
        <v>2965</v>
      </c>
      <c r="C305" s="2945">
        <v>5590</v>
      </c>
      <c r="D305" s="2945">
        <v>5530</v>
      </c>
      <c r="E305" s="2945">
        <v>6460</v>
      </c>
      <c r="F305" s="2945">
        <v>900</v>
      </c>
      <c r="G305" s="2958">
        <v>3340</v>
      </c>
    </row>
    <row r="306" spans="1:7" s="2779" customFormat="1" ht="14.25" customHeight="1">
      <c r="A306" s="2945" t="s">
        <v>306</v>
      </c>
      <c r="B306" s="2945" t="s">
        <v>3141</v>
      </c>
      <c r="C306" s="2945">
        <v>5560</v>
      </c>
      <c r="D306" s="2945">
        <v>5510</v>
      </c>
      <c r="E306" s="2945">
        <v>6440</v>
      </c>
      <c r="F306" s="2945">
        <v>900</v>
      </c>
      <c r="G306" s="2958">
        <v>3320</v>
      </c>
    </row>
    <row r="307" spans="1:7" s="2779" customFormat="1" ht="14.25" customHeight="1">
      <c r="A307" s="2945" t="s">
        <v>306</v>
      </c>
      <c r="B307" s="2945" t="s">
        <v>2977</v>
      </c>
      <c r="C307" s="2945">
        <v>5650</v>
      </c>
      <c r="D307" s="2945">
        <v>5600</v>
      </c>
      <c r="E307" s="2945">
        <v>6590</v>
      </c>
      <c r="F307" s="2945">
        <v>930</v>
      </c>
      <c r="G307" s="2958">
        <v>3380</v>
      </c>
    </row>
    <row r="308" spans="1:7" s="2779" customFormat="1" ht="14.25" customHeight="1">
      <c r="A308" s="2945" t="s">
        <v>306</v>
      </c>
      <c r="B308" s="2945" t="s">
        <v>3142</v>
      </c>
      <c r="C308" s="2945">
        <v>5620</v>
      </c>
      <c r="D308" s="2945">
        <v>5580</v>
      </c>
      <c r="E308" s="2945">
        <v>6540</v>
      </c>
      <c r="F308" s="2945">
        <v>910</v>
      </c>
      <c r="G308" s="2958">
        <v>3370</v>
      </c>
    </row>
    <row r="309" spans="1:7" s="2779" customFormat="1" ht="14.25" customHeight="1">
      <c r="A309" s="2945" t="s">
        <v>306</v>
      </c>
      <c r="B309" s="2945" t="s">
        <v>3143</v>
      </c>
      <c r="C309" s="2945">
        <v>5060</v>
      </c>
      <c r="D309" s="2945">
        <v>5020</v>
      </c>
      <c r="E309" s="2945">
        <v>6370</v>
      </c>
      <c r="F309" s="2945">
        <v>800</v>
      </c>
      <c r="G309" s="2958">
        <v>3020</v>
      </c>
    </row>
    <row r="310" spans="1:7" s="2779" customFormat="1" ht="14.25" customHeight="1">
      <c r="A310" s="2945" t="s">
        <v>306</v>
      </c>
      <c r="B310" s="2945" t="s">
        <v>2992</v>
      </c>
      <c r="C310" s="2945">
        <v>5150</v>
      </c>
      <c r="D310" s="2945">
        <v>5110</v>
      </c>
      <c r="E310" s="2945">
        <v>6500</v>
      </c>
      <c r="F310" s="2945">
        <v>880</v>
      </c>
      <c r="G310" s="2958">
        <v>3080</v>
      </c>
    </row>
    <row r="311" spans="1:7" s="2779" customFormat="1" ht="14.25" customHeight="1">
      <c r="A311" s="2945" t="s">
        <v>306</v>
      </c>
      <c r="B311" s="2945" t="s">
        <v>3144</v>
      </c>
      <c r="C311" s="2945">
        <v>4750</v>
      </c>
      <c r="D311" s="2945">
        <v>4710</v>
      </c>
      <c r="E311" s="2945">
        <v>5510</v>
      </c>
      <c r="F311" s="2945">
        <v>880</v>
      </c>
      <c r="G311" s="2958">
        <v>2840</v>
      </c>
    </row>
    <row r="312" spans="1:7" s="2779" customFormat="1" ht="14.25" customHeight="1">
      <c r="A312" s="2945" t="s">
        <v>306</v>
      </c>
      <c r="B312" s="2945" t="s">
        <v>3002</v>
      </c>
      <c r="C312" s="2945">
        <v>4690</v>
      </c>
      <c r="D312" s="2945">
        <v>4640</v>
      </c>
      <c r="E312" s="2945">
        <v>5420</v>
      </c>
      <c r="F312" s="2945">
        <v>800</v>
      </c>
      <c r="G312" s="2958">
        <v>2800</v>
      </c>
    </row>
    <row r="313" spans="1:7" s="2779" customFormat="1" ht="14.25" customHeight="1">
      <c r="A313" s="2945" t="s">
        <v>306</v>
      </c>
      <c r="B313" s="2945" t="s">
        <v>3007</v>
      </c>
      <c r="C313" s="2945">
        <v>4810</v>
      </c>
      <c r="D313" s="2945">
        <v>4760</v>
      </c>
      <c r="E313" s="2945">
        <v>5550</v>
      </c>
      <c r="F313" s="2945">
        <v>920</v>
      </c>
      <c r="G313" s="2958">
        <v>2870</v>
      </c>
    </row>
    <row r="314" spans="1:7" s="2779" customFormat="1" ht="14.25" customHeight="1">
      <c r="A314" s="2945" t="s">
        <v>306</v>
      </c>
      <c r="B314" s="2945" t="s">
        <v>3145</v>
      </c>
      <c r="C314" s="2945"/>
      <c r="D314" s="2945"/>
      <c r="E314" s="2945"/>
      <c r="F314" s="2945">
        <v>1020</v>
      </c>
      <c r="G314" s="2958"/>
    </row>
    <row r="315" spans="1:7" s="2779" customFormat="1" ht="14.25" customHeight="1">
      <c r="A315" s="2945" t="s">
        <v>306</v>
      </c>
      <c r="B315" s="2945" t="s">
        <v>3146</v>
      </c>
      <c r="C315" s="2945"/>
      <c r="D315" s="2945"/>
      <c r="E315" s="2945"/>
      <c r="F315" s="2945">
        <v>1050</v>
      </c>
      <c r="G315" s="2958"/>
    </row>
    <row r="316" spans="1:7" s="2779" customFormat="1" ht="14.25" customHeight="1">
      <c r="A316" s="2945" t="s">
        <v>306</v>
      </c>
      <c r="B316" s="2945" t="s">
        <v>3022</v>
      </c>
      <c r="C316" s="2945"/>
      <c r="D316" s="2945"/>
      <c r="E316" s="2945"/>
      <c r="F316" s="2945">
        <v>900</v>
      </c>
      <c r="G316" s="2958"/>
    </row>
    <row r="317" spans="1:7" s="2779" customFormat="1" ht="14.25" customHeight="1">
      <c r="A317" s="2945" t="s">
        <v>306</v>
      </c>
      <c r="B317" s="2945" t="s">
        <v>3147</v>
      </c>
      <c r="C317" s="2945"/>
      <c r="D317" s="2945"/>
      <c r="E317" s="2945"/>
      <c r="F317" s="2945">
        <v>920</v>
      </c>
      <c r="G317" s="2958"/>
    </row>
    <row r="318" spans="1:7" s="2779" customFormat="1" ht="14.25" customHeight="1">
      <c r="A318" s="2945" t="s">
        <v>306</v>
      </c>
      <c r="B318" s="2945" t="s">
        <v>3148</v>
      </c>
      <c r="C318" s="2945"/>
      <c r="D318" s="2945"/>
      <c r="E318" s="2945"/>
      <c r="F318" s="2945">
        <v>1080</v>
      </c>
      <c r="G318" s="2958"/>
    </row>
    <row r="319" spans="1:7" s="2779" customFormat="1" ht="14.25" customHeight="1">
      <c r="A319" s="2945" t="s">
        <v>306</v>
      </c>
      <c r="B319" s="2945" t="s">
        <v>3035</v>
      </c>
      <c r="C319" s="2945"/>
      <c r="D319" s="2945"/>
      <c r="E319" s="2945"/>
      <c r="F319" s="2945">
        <v>1020</v>
      </c>
      <c r="G319" s="2958"/>
    </row>
    <row r="320" spans="1:7" s="2779" customFormat="1" ht="14.25" customHeight="1">
      <c r="A320" s="2945" t="s">
        <v>306</v>
      </c>
      <c r="B320" s="2945" t="s">
        <v>3038</v>
      </c>
      <c r="C320" s="2945"/>
      <c r="D320" s="2945"/>
      <c r="E320" s="2945"/>
      <c r="F320" s="2945">
        <v>1050</v>
      </c>
      <c r="G320" s="2958"/>
    </row>
    <row r="321" spans="1:7" s="2779" customFormat="1" ht="14.25" customHeight="1">
      <c r="A321" s="2945" t="s">
        <v>306</v>
      </c>
      <c r="B321" s="2945" t="s">
        <v>3040</v>
      </c>
      <c r="C321" s="2945"/>
      <c r="D321" s="2945"/>
      <c r="E321" s="2945"/>
      <c r="F321" s="2945">
        <v>960</v>
      </c>
      <c r="G321" s="2958"/>
    </row>
    <row r="322" spans="1:7" s="2779" customFormat="1" ht="14.25" customHeight="1">
      <c r="A322" s="2945" t="s">
        <v>306</v>
      </c>
      <c r="B322" s="2945" t="s">
        <v>3042</v>
      </c>
      <c r="C322" s="2945"/>
      <c r="D322" s="2945"/>
      <c r="E322" s="2945"/>
      <c r="F322" s="2945">
        <v>960</v>
      </c>
      <c r="G322" s="2958"/>
    </row>
    <row r="323" spans="1:7" s="2779" customFormat="1" ht="14.25" customHeight="1">
      <c r="A323" s="2945" t="s">
        <v>306</v>
      </c>
      <c r="B323" s="2945" t="s">
        <v>3044</v>
      </c>
      <c r="C323" s="2945"/>
      <c r="D323" s="2945"/>
      <c r="E323" s="2945"/>
      <c r="F323" s="2945">
        <v>880</v>
      </c>
      <c r="G323" s="2958"/>
    </row>
    <row r="324" spans="1:7" s="2779" customFormat="1" ht="14.25" customHeight="1">
      <c r="A324" s="2945" t="s">
        <v>306</v>
      </c>
      <c r="B324" s="2945" t="s">
        <v>3046</v>
      </c>
      <c r="C324" s="2945"/>
      <c r="D324" s="2945"/>
      <c r="E324" s="2945"/>
      <c r="F324" s="2945">
        <v>930</v>
      </c>
      <c r="G324" s="2958"/>
    </row>
    <row r="325" spans="1:7" s="2779" customFormat="1" ht="14.25" customHeight="1">
      <c r="A325" s="2945" t="s">
        <v>306</v>
      </c>
      <c r="B325" s="2946" t="s">
        <v>3048</v>
      </c>
      <c r="C325" s="2945"/>
      <c r="D325" s="2945"/>
      <c r="E325" s="2945"/>
      <c r="F325" s="2945">
        <v>900</v>
      </c>
      <c r="G325" s="2958"/>
    </row>
    <row r="326" spans="1:7" s="2779" customFormat="1" ht="14.25" customHeight="1" thickBot="1">
      <c r="A326" s="2959" t="s">
        <v>306</v>
      </c>
      <c r="B326" s="2952" t="s">
        <v>3050</v>
      </c>
      <c r="C326" s="2952"/>
      <c r="D326" s="2952"/>
      <c r="E326" s="2952"/>
      <c r="F326" s="2952">
        <v>790</v>
      </c>
      <c r="G326" s="2960"/>
    </row>
    <row r="327" spans="1:7" s="2779" customFormat="1" ht="14.25" customHeight="1">
      <c r="A327" s="2950" t="s">
        <v>307</v>
      </c>
      <c r="B327" s="2941" t="s">
        <v>3149</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3150</v>
      </c>
      <c r="C329" s="2945">
        <v>2730</v>
      </c>
      <c r="D329" s="2945">
        <v>2690</v>
      </c>
      <c r="E329" s="2945">
        <v>3100</v>
      </c>
      <c r="F329" s="2945">
        <v>660</v>
      </c>
      <c r="G329" s="2945">
        <v>1610</v>
      </c>
    </row>
    <row r="330" spans="1:7" s="2779" customFormat="1" ht="14.25" customHeight="1">
      <c r="A330" s="2945" t="s">
        <v>307</v>
      </c>
      <c r="B330" s="2945" t="s">
        <v>3151</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2884</v>
      </c>
      <c r="C332" s="2945">
        <v>3520</v>
      </c>
      <c r="D332" s="2945">
        <v>3480</v>
      </c>
      <c r="E332" s="2945">
        <v>3830</v>
      </c>
      <c r="F332" s="2945">
        <v>720</v>
      </c>
      <c r="G332" s="2945">
        <v>2090</v>
      </c>
    </row>
    <row r="333" spans="1:7" s="2779" customFormat="1" ht="14.25" customHeight="1">
      <c r="A333" s="2945" t="s">
        <v>307</v>
      </c>
      <c r="B333" s="2945" t="s">
        <v>3152</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2894</v>
      </c>
      <c r="C336" s="2945">
        <v>3570</v>
      </c>
      <c r="D336" s="2945">
        <v>3530</v>
      </c>
      <c r="E336" s="2945">
        <v>3880</v>
      </c>
      <c r="F336" s="2945">
        <v>770</v>
      </c>
      <c r="G336" s="2945">
        <v>2110</v>
      </c>
    </row>
    <row r="337" spans="1:10" s="2779" customFormat="1" ht="14.25" customHeight="1">
      <c r="A337" s="2945" t="s">
        <v>307</v>
      </c>
      <c r="B337" s="2945" t="s">
        <v>3153</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3154</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3155</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2919</v>
      </c>
      <c r="C345" s="2945">
        <v>3190</v>
      </c>
      <c r="D345" s="2945">
        <v>3140</v>
      </c>
      <c r="E345" s="2945">
        <v>3450</v>
      </c>
      <c r="F345" s="2945">
        <v>720</v>
      </c>
      <c r="G345" s="2945">
        <v>1880</v>
      </c>
      <c r="J345" s="2779"/>
    </row>
    <row r="346" spans="1:10">
      <c r="A346" s="2945" t="s">
        <v>307</v>
      </c>
      <c r="B346" s="2945" t="s">
        <v>3156</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2928</v>
      </c>
      <c r="C348" s="2945">
        <v>4000</v>
      </c>
      <c r="D348" s="2945">
        <v>3950</v>
      </c>
      <c r="E348" s="2945">
        <v>4430</v>
      </c>
      <c r="F348" s="2945">
        <v>760</v>
      </c>
      <c r="G348" s="2945">
        <v>2360</v>
      </c>
      <c r="J348" s="2779"/>
    </row>
    <row r="349" spans="1:10">
      <c r="A349" s="2945" t="s">
        <v>307</v>
      </c>
      <c r="B349" s="2945" t="s">
        <v>2933</v>
      </c>
      <c r="C349" s="2945">
        <v>3820</v>
      </c>
      <c r="D349" s="2945">
        <v>3780</v>
      </c>
      <c r="E349" s="2945">
        <v>4170</v>
      </c>
      <c r="F349" s="2945">
        <v>710</v>
      </c>
      <c r="G349" s="2945">
        <v>2260</v>
      </c>
      <c r="J349" s="2779"/>
    </row>
    <row r="350" spans="1:10">
      <c r="A350" s="2945" t="s">
        <v>307</v>
      </c>
      <c r="B350" s="2945" t="s">
        <v>3157</v>
      </c>
      <c r="C350" s="2945">
        <v>3760</v>
      </c>
      <c r="D350" s="2945">
        <v>3730</v>
      </c>
      <c r="E350" s="2945">
        <v>4100</v>
      </c>
      <c r="F350" s="2945">
        <v>800</v>
      </c>
      <c r="G350" s="2945">
        <v>2230</v>
      </c>
      <c r="J350" s="2779"/>
    </row>
    <row r="351" spans="1:10">
      <c r="A351" s="2945" t="s">
        <v>307</v>
      </c>
      <c r="B351" s="2945" t="s">
        <v>2941</v>
      </c>
      <c r="C351" s="2945">
        <v>3610</v>
      </c>
      <c r="D351" s="2945">
        <v>3580</v>
      </c>
      <c r="E351" s="2945">
        <v>3930</v>
      </c>
      <c r="F351" s="2945">
        <v>700</v>
      </c>
      <c r="G351" s="2945">
        <v>2140</v>
      </c>
      <c r="J351" s="2779"/>
    </row>
    <row r="352" spans="1:10">
      <c r="A352" s="2945" t="s">
        <v>307</v>
      </c>
      <c r="B352" s="2945" t="s">
        <v>2946</v>
      </c>
      <c r="C352" s="2945">
        <v>3670</v>
      </c>
      <c r="D352" s="2945">
        <v>3630</v>
      </c>
      <c r="E352" s="2945">
        <v>4000</v>
      </c>
      <c r="F352" s="2945">
        <v>750</v>
      </c>
      <c r="G352" s="2945">
        <v>2180</v>
      </c>
    </row>
    <row r="353" spans="1:7" s="2780" customFormat="1">
      <c r="A353" s="2945" t="s">
        <v>307</v>
      </c>
      <c r="B353" s="2945" t="s">
        <v>3158</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2966</v>
      </c>
      <c r="C355" s="2945">
        <v>3650</v>
      </c>
      <c r="D355" s="2945">
        <v>3610</v>
      </c>
      <c r="E355" s="2945">
        <v>4200</v>
      </c>
      <c r="F355" s="2945">
        <v>640</v>
      </c>
      <c r="G355" s="2945">
        <v>2160</v>
      </c>
    </row>
    <row r="356" spans="1:7" s="2780" customFormat="1">
      <c r="A356" s="2945" t="s">
        <v>307</v>
      </c>
      <c r="B356" s="2945" t="s">
        <v>2973</v>
      </c>
      <c r="C356" s="2945">
        <v>3260</v>
      </c>
      <c r="D356" s="2945">
        <v>3230</v>
      </c>
      <c r="E356" s="2945">
        <v>3740</v>
      </c>
      <c r="F356" s="2945">
        <v>600</v>
      </c>
      <c r="G356" s="2945">
        <v>1930</v>
      </c>
    </row>
    <row r="357" spans="1:7" s="2780" customFormat="1" ht="12" thickBot="1">
      <c r="A357" s="2953" t="s">
        <v>307</v>
      </c>
      <c r="B357" s="2956" t="s">
        <v>3159</v>
      </c>
      <c r="C357" s="2956">
        <v>3690</v>
      </c>
      <c r="D357" s="2956">
        <v>3650</v>
      </c>
      <c r="E357" s="2956">
        <v>4020</v>
      </c>
      <c r="F357" s="2956">
        <v>700</v>
      </c>
      <c r="G357" s="2956">
        <v>2190</v>
      </c>
    </row>
    <row r="358" spans="1:7" s="2780" customFormat="1">
      <c r="A358" s="2950" t="s">
        <v>3160</v>
      </c>
      <c r="B358" s="2941" t="s">
        <v>3161</v>
      </c>
      <c r="C358" s="2941">
        <v>2080</v>
      </c>
      <c r="D358" s="2941">
        <v>2040</v>
      </c>
      <c r="E358" s="2941">
        <v>2010</v>
      </c>
      <c r="F358" s="2941">
        <v>530</v>
      </c>
      <c r="G358" s="2957">
        <v>1230</v>
      </c>
    </row>
    <row r="359" spans="1:7" s="2780" customFormat="1">
      <c r="A359" s="2945" t="s">
        <v>3160</v>
      </c>
      <c r="B359" s="2945" t="s">
        <v>3162</v>
      </c>
      <c r="C359" s="2945">
        <v>1850</v>
      </c>
      <c r="D359" s="2945">
        <v>1820</v>
      </c>
      <c r="E359" s="2945">
        <v>1780</v>
      </c>
      <c r="F359" s="2945">
        <v>520</v>
      </c>
      <c r="G359" s="2958">
        <v>1100</v>
      </c>
    </row>
    <row r="360" spans="1:7" s="2780" customFormat="1">
      <c r="A360" s="2945" t="s">
        <v>3160</v>
      </c>
      <c r="B360" s="2945" t="s">
        <v>3163</v>
      </c>
      <c r="C360" s="2945">
        <v>2020</v>
      </c>
      <c r="D360" s="2945">
        <v>1990</v>
      </c>
      <c r="E360" s="2945">
        <v>1950</v>
      </c>
      <c r="F360" s="2945">
        <v>500</v>
      </c>
      <c r="G360" s="2958">
        <v>1200</v>
      </c>
    </row>
    <row r="361" spans="1:7" s="2780" customFormat="1">
      <c r="A361" s="2945" t="s">
        <v>3160</v>
      </c>
      <c r="B361" s="2945" t="s">
        <v>153</v>
      </c>
      <c r="C361" s="2945">
        <v>2260</v>
      </c>
      <c r="D361" s="2945">
        <v>2220</v>
      </c>
      <c r="E361" s="2945">
        <v>2180</v>
      </c>
      <c r="F361" s="2945">
        <v>580</v>
      </c>
      <c r="G361" s="2958">
        <v>1340</v>
      </c>
    </row>
    <row r="362" spans="1:7" s="2780" customFormat="1">
      <c r="A362" s="2945" t="s">
        <v>3160</v>
      </c>
      <c r="B362" s="2945" t="s">
        <v>3164</v>
      </c>
      <c r="C362" s="2945">
        <v>2650</v>
      </c>
      <c r="D362" s="2945">
        <v>2610</v>
      </c>
      <c r="E362" s="2945">
        <v>2570</v>
      </c>
      <c r="F362" s="2945">
        <v>630</v>
      </c>
      <c r="G362" s="2958">
        <v>1570</v>
      </c>
    </row>
    <row r="363" spans="1:7" s="2780" customFormat="1">
      <c r="A363" s="2945" t="s">
        <v>3160</v>
      </c>
      <c r="B363" s="2945" t="s">
        <v>2885</v>
      </c>
      <c r="C363" s="2945">
        <v>2390</v>
      </c>
      <c r="D363" s="2945">
        <v>2360</v>
      </c>
      <c r="E363" s="2945">
        <v>2320</v>
      </c>
      <c r="F363" s="2945">
        <v>600</v>
      </c>
      <c r="G363" s="2958">
        <v>1420</v>
      </c>
    </row>
    <row r="364" spans="1:7" s="2780" customFormat="1">
      <c r="A364" s="2945" t="s">
        <v>3160</v>
      </c>
      <c r="B364" s="2945" t="s">
        <v>3165</v>
      </c>
      <c r="C364" s="2945">
        <v>2050</v>
      </c>
      <c r="D364" s="2945">
        <v>2030</v>
      </c>
      <c r="E364" s="2945">
        <v>1990</v>
      </c>
      <c r="F364" s="2945">
        <v>550</v>
      </c>
      <c r="G364" s="2958">
        <v>1220</v>
      </c>
    </row>
    <row r="365" spans="1:7" s="2780" customFormat="1">
      <c r="A365" s="2945" t="s">
        <v>3160</v>
      </c>
      <c r="B365" s="2945" t="s">
        <v>200</v>
      </c>
      <c r="C365" s="2945">
        <v>2140</v>
      </c>
      <c r="D365" s="2945">
        <v>2100</v>
      </c>
      <c r="E365" s="2945">
        <v>2060</v>
      </c>
      <c r="F365" s="2945">
        <v>540</v>
      </c>
      <c r="G365" s="2958">
        <v>1270</v>
      </c>
    </row>
    <row r="366" spans="1:7" s="2780" customFormat="1">
      <c r="A366" s="2945" t="s">
        <v>3160</v>
      </c>
      <c r="B366" s="2945" t="s">
        <v>2892</v>
      </c>
      <c r="C366" s="2945">
        <v>2410</v>
      </c>
      <c r="D366" s="2945">
        <v>2370</v>
      </c>
      <c r="E366" s="2945">
        <v>2330</v>
      </c>
      <c r="F366" s="2945">
        <v>570</v>
      </c>
      <c r="G366" s="2958">
        <v>1440</v>
      </c>
    </row>
    <row r="367" spans="1:7" s="2780" customFormat="1">
      <c r="A367" s="2945" t="s">
        <v>3160</v>
      </c>
      <c r="B367" s="2945" t="s">
        <v>3166</v>
      </c>
      <c r="C367" s="2945">
        <v>2300</v>
      </c>
      <c r="D367" s="2945">
        <v>2260</v>
      </c>
      <c r="E367" s="2945">
        <v>2220</v>
      </c>
      <c r="F367" s="2945">
        <v>560</v>
      </c>
      <c r="G367" s="2958">
        <v>1370</v>
      </c>
    </row>
    <row r="368" spans="1:7" s="2780" customFormat="1">
      <c r="A368" s="2945" t="s">
        <v>3160</v>
      </c>
      <c r="B368" s="2945" t="s">
        <v>3167</v>
      </c>
      <c r="C368" s="2945">
        <v>2430</v>
      </c>
      <c r="D368" s="2945">
        <v>2390</v>
      </c>
      <c r="E368" s="2945">
        <v>2350</v>
      </c>
      <c r="F368" s="2945">
        <v>570</v>
      </c>
      <c r="G368" s="2958">
        <v>1450</v>
      </c>
    </row>
    <row r="369" spans="1:7" s="2780" customFormat="1">
      <c r="A369" s="2945" t="s">
        <v>3160</v>
      </c>
      <c r="B369" s="2945" t="s">
        <v>214</v>
      </c>
      <c r="C369" s="2945">
        <v>2320</v>
      </c>
      <c r="D369" s="2945">
        <v>2290</v>
      </c>
      <c r="E369" s="2945">
        <v>2250</v>
      </c>
      <c r="F369" s="2945">
        <v>550</v>
      </c>
      <c r="G369" s="2958">
        <v>1380</v>
      </c>
    </row>
    <row r="370" spans="1:7" s="2780" customFormat="1">
      <c r="A370" s="2945" t="s">
        <v>3160</v>
      </c>
      <c r="B370" s="2945" t="s">
        <v>221</v>
      </c>
      <c r="C370" s="2945">
        <v>2190</v>
      </c>
      <c r="D370" s="2945">
        <v>2170</v>
      </c>
      <c r="E370" s="2945">
        <v>2130</v>
      </c>
      <c r="F370" s="2945">
        <v>530</v>
      </c>
      <c r="G370" s="2958">
        <v>1310</v>
      </c>
    </row>
    <row r="371" spans="1:7" s="2780" customFormat="1">
      <c r="A371" s="2945" t="s">
        <v>3160</v>
      </c>
      <c r="B371" s="2945" t="s">
        <v>229</v>
      </c>
      <c r="C371" s="2945">
        <v>2460</v>
      </c>
      <c r="D371" s="2945">
        <v>2420</v>
      </c>
      <c r="E371" s="2945">
        <v>2370</v>
      </c>
      <c r="F371" s="2945">
        <v>560</v>
      </c>
      <c r="G371" s="2958">
        <v>1470</v>
      </c>
    </row>
    <row r="372" spans="1:7" s="2780" customFormat="1">
      <c r="A372" s="2945" t="s">
        <v>3160</v>
      </c>
      <c r="B372" s="2945" t="s">
        <v>3168</v>
      </c>
      <c r="C372" s="2945">
        <v>2250</v>
      </c>
      <c r="D372" s="2945">
        <v>2210</v>
      </c>
      <c r="E372" s="2945">
        <v>2180</v>
      </c>
      <c r="F372" s="2945">
        <v>550</v>
      </c>
      <c r="G372" s="2958">
        <v>1340</v>
      </c>
    </row>
    <row r="373" spans="1:7" s="2780" customFormat="1">
      <c r="A373" s="2945" t="s">
        <v>3160</v>
      </c>
      <c r="B373" s="2945" t="s">
        <v>258</v>
      </c>
      <c r="C373" s="2945">
        <v>2210</v>
      </c>
      <c r="D373" s="2945">
        <v>2190</v>
      </c>
      <c r="E373" s="2945">
        <v>2150</v>
      </c>
      <c r="F373" s="2945">
        <v>530</v>
      </c>
      <c r="G373" s="2958">
        <v>1320</v>
      </c>
    </row>
    <row r="374" spans="1:7" s="2780" customFormat="1">
      <c r="A374" s="2945" t="s">
        <v>3160</v>
      </c>
      <c r="B374" s="2945" t="s">
        <v>266</v>
      </c>
      <c r="C374" s="2945">
        <v>2320</v>
      </c>
      <c r="D374" s="2945">
        <v>2280</v>
      </c>
      <c r="E374" s="2945">
        <v>2230</v>
      </c>
      <c r="F374" s="2945">
        <v>580</v>
      </c>
      <c r="G374" s="2958">
        <v>1380</v>
      </c>
    </row>
    <row r="375" spans="1:7" s="2780" customFormat="1">
      <c r="A375" s="2945" t="s">
        <v>3160</v>
      </c>
      <c r="B375" s="2945" t="s">
        <v>3169</v>
      </c>
      <c r="C375" s="2945">
        <v>2090</v>
      </c>
      <c r="D375" s="2945">
        <v>2050</v>
      </c>
      <c r="E375" s="2945">
        <v>2020</v>
      </c>
      <c r="F375" s="2945">
        <v>520</v>
      </c>
      <c r="G375" s="2958">
        <v>1240</v>
      </c>
    </row>
    <row r="376" spans="1:7" s="2780" customFormat="1">
      <c r="A376" s="2945" t="s">
        <v>3160</v>
      </c>
      <c r="B376" s="2945" t="s">
        <v>277</v>
      </c>
      <c r="C376" s="2945">
        <v>2010</v>
      </c>
      <c r="D376" s="2945">
        <v>1980</v>
      </c>
      <c r="E376" s="2945">
        <v>1940</v>
      </c>
      <c r="F376" s="2945">
        <v>540</v>
      </c>
      <c r="G376" s="2958">
        <v>1190</v>
      </c>
    </row>
    <row r="377" spans="1:7" s="2780" customFormat="1" ht="12" thickBot="1">
      <c r="A377" s="2953" t="s">
        <v>3160</v>
      </c>
      <c r="B377" s="2956" t="s">
        <v>2922</v>
      </c>
      <c r="C377" s="2956">
        <v>1930</v>
      </c>
      <c r="D377" s="2956">
        <v>1890</v>
      </c>
      <c r="E377" s="2956">
        <v>1860</v>
      </c>
      <c r="F377" s="2956">
        <v>530</v>
      </c>
      <c r="G377" s="2961">
        <v>1150</v>
      </c>
    </row>
    <row r="378" spans="1:7" s="2780" customFormat="1">
      <c r="A378" s="2962" t="s">
        <v>3170</v>
      </c>
      <c r="B378" s="2941" t="s">
        <v>3171</v>
      </c>
      <c r="C378" s="2941">
        <v>1520</v>
      </c>
      <c r="D378" s="2941">
        <v>1490</v>
      </c>
      <c r="E378" s="2941">
        <v>1460</v>
      </c>
      <c r="F378" s="2941">
        <v>460</v>
      </c>
      <c r="G378" s="2957">
        <v>940</v>
      </c>
    </row>
    <row r="379" spans="1:7" s="2780" customFormat="1">
      <c r="A379" s="2963" t="s">
        <v>3170</v>
      </c>
      <c r="B379" s="2945" t="s">
        <v>3172</v>
      </c>
      <c r="C379" s="2945">
        <v>1500</v>
      </c>
      <c r="D379" s="2945">
        <v>1470</v>
      </c>
      <c r="E379" s="2945">
        <v>1430</v>
      </c>
      <c r="F379" s="2945">
        <v>460</v>
      </c>
      <c r="G379" s="2958">
        <v>920</v>
      </c>
    </row>
    <row r="380" spans="1:7" s="2780" customFormat="1">
      <c r="A380" s="2963" t="s">
        <v>3170</v>
      </c>
      <c r="B380" s="2945" t="s">
        <v>3173</v>
      </c>
      <c r="C380" s="2945">
        <v>1620</v>
      </c>
      <c r="D380" s="2945">
        <v>1590</v>
      </c>
      <c r="E380" s="2945">
        <v>1560</v>
      </c>
      <c r="F380" s="2945">
        <v>480</v>
      </c>
      <c r="G380" s="2958">
        <v>1000</v>
      </c>
    </row>
    <row r="381" spans="1:7" s="2780" customFormat="1">
      <c r="A381" s="2963" t="s">
        <v>3170</v>
      </c>
      <c r="B381" s="2945" t="s">
        <v>3174</v>
      </c>
      <c r="C381" s="2945">
        <v>1460</v>
      </c>
      <c r="D381" s="2945">
        <v>1430</v>
      </c>
      <c r="E381" s="2945">
        <v>1390</v>
      </c>
      <c r="F381" s="2945">
        <v>450</v>
      </c>
      <c r="G381" s="2958">
        <v>900</v>
      </c>
    </row>
    <row r="382" spans="1:7" s="2780" customFormat="1">
      <c r="A382" s="2963" t="s">
        <v>3170</v>
      </c>
      <c r="B382" s="2945" t="s">
        <v>3175</v>
      </c>
      <c r="C382" s="2945">
        <v>1310</v>
      </c>
      <c r="D382" s="2945">
        <v>1280</v>
      </c>
      <c r="E382" s="2945">
        <v>1250</v>
      </c>
      <c r="F382" s="2945">
        <v>440</v>
      </c>
      <c r="G382" s="2958">
        <v>800</v>
      </c>
    </row>
    <row r="383" spans="1:7" s="2780" customFormat="1">
      <c r="A383" s="2963" t="s">
        <v>3170</v>
      </c>
      <c r="B383" s="2945" t="s">
        <v>3176</v>
      </c>
      <c r="C383" s="2945">
        <v>1260</v>
      </c>
      <c r="D383" s="2945">
        <v>1230</v>
      </c>
      <c r="E383" s="2945">
        <v>1200</v>
      </c>
      <c r="F383" s="2945">
        <v>420</v>
      </c>
      <c r="G383" s="2958">
        <v>770</v>
      </c>
    </row>
    <row r="384" spans="1:7" s="2780" customFormat="1" ht="12" thickBot="1">
      <c r="A384" s="2964" t="s">
        <v>3170</v>
      </c>
      <c r="B384" s="2952" t="s">
        <v>3177</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45884</v>
      </c>
      <c r="D1" s="1215" t="s">
        <v>603</v>
      </c>
      <c r="E1" s="1210">
        <f>'数据-取费表'!B22</f>
        <v>3</v>
      </c>
      <c r="F1" s="1215" t="s">
        <v>604</v>
      </c>
      <c r="G1" s="1211">
        <f ca="1">INDIRECT("d"&amp;$K$1)/100</f>
        <v>0.03</v>
      </c>
      <c r="H1" s="1215" t="s">
        <v>634</v>
      </c>
      <c r="I1" s="1211">
        <f ca="1">F4/100</f>
        <v>1.4999999999999999E-2</v>
      </c>
      <c r="J1" s="1216">
        <f>IF(C1&gt;C13,0,MATCH(C1,C$13:C$115,-1))+IF(SUMIF(C13:C115,C1,D13:D115)=0,13,12)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3">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45097</v>
      </c>
      <c r="D18" s="1203">
        <v>3.55</v>
      </c>
      <c r="E18" s="1203">
        <f>D18</f>
        <v>3.55</v>
      </c>
      <c r="F18" s="1203">
        <f t="shared" si="0"/>
        <v>3.55</v>
      </c>
      <c r="G18" s="1203">
        <f t="shared" si="1"/>
        <v>3.55</v>
      </c>
      <c r="H18" s="1203">
        <v>4.2</v>
      </c>
      <c r="I18" s="1199"/>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4"/>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1198" t="s">
        <v>2306</v>
      </c>
      <c r="C27" s="1205">
        <v>43697</v>
      </c>
      <c r="D27" s="2572">
        <v>4.25</v>
      </c>
      <c r="E27" s="2572">
        <v>4.25</v>
      </c>
      <c r="F27" s="2572">
        <v>4.25</v>
      </c>
      <c r="G27" s="2572">
        <v>4.25</v>
      </c>
      <c r="H27" s="2572">
        <v>4.8499999999999996</v>
      </c>
      <c r="I27" s="2572"/>
      <c r="J27" s="2572"/>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4.25">
      <c r="B28" s="2575"/>
      <c r="C28" s="2576">
        <v>42301</v>
      </c>
      <c r="D28" s="2577">
        <v>4.3499999999999996</v>
      </c>
      <c r="E28" s="2577">
        <v>4.3499999999999996</v>
      </c>
      <c r="F28" s="2577">
        <v>4.75</v>
      </c>
      <c r="G28" s="2577">
        <v>4.75</v>
      </c>
      <c r="H28" s="2577">
        <v>4.9000000000000004</v>
      </c>
      <c r="I28" s="2577"/>
      <c r="J28" s="2577"/>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4A4D2-BF06-457C-B822-DEE17D62CF62}">
  <sheetPr>
    <tabColor rgb="FFFFFFFF"/>
  </sheetPr>
  <dimension ref="A1:U78"/>
  <sheetViews>
    <sheetView topLeftCell="A25" workbookViewId="0">
      <selection activeCell="C75" sqref="C75"/>
    </sheetView>
  </sheetViews>
  <sheetFormatPr defaultRowHeight="13.5"/>
  <sheetData>
    <row r="1" spans="1:21">
      <c r="A1" s="1403" t="s">
        <v>3417</v>
      </c>
      <c r="B1" s="1403" t="s">
        <v>3418</v>
      </c>
      <c r="C1">
        <v>16610</v>
      </c>
      <c r="S1" s="1403" t="s">
        <v>2809</v>
      </c>
      <c r="T1" s="1403" t="s">
        <v>3418</v>
      </c>
      <c r="U1">
        <v>16540</v>
      </c>
    </row>
    <row r="56" spans="1:5">
      <c r="A56" s="1446" t="s">
        <v>3442</v>
      </c>
      <c r="B56" s="3170">
        <v>3434.37</v>
      </c>
      <c r="E56" t="s">
        <v>3450</v>
      </c>
    </row>
    <row r="57" spans="1:5">
      <c r="A57" s="1446" t="s">
        <v>3445</v>
      </c>
      <c r="B57" s="3170">
        <v>682.17</v>
      </c>
      <c r="D57" t="s">
        <v>3451</v>
      </c>
      <c r="E57">
        <v>2364.37</v>
      </c>
    </row>
    <row r="58" spans="1:5">
      <c r="A58" s="1446" t="s">
        <v>3446</v>
      </c>
      <c r="B58" s="3170">
        <v>5677.85</v>
      </c>
      <c r="D58" t="s">
        <v>3452</v>
      </c>
      <c r="E58">
        <v>2482.7799999999997</v>
      </c>
    </row>
    <row r="59" spans="1:5">
      <c r="A59" s="1446" t="s">
        <v>3443</v>
      </c>
      <c r="B59" s="3170">
        <v>3518.8</v>
      </c>
      <c r="D59" t="s">
        <v>3453</v>
      </c>
      <c r="E59">
        <v>3138.87</v>
      </c>
    </row>
    <row r="60" spans="1:5">
      <c r="A60" s="1446" t="s">
        <v>3444</v>
      </c>
      <c r="B60" s="3170">
        <v>17387.98</v>
      </c>
      <c r="D60" t="s">
        <v>3454</v>
      </c>
      <c r="E60">
        <v>3138.3099999999995</v>
      </c>
    </row>
    <row r="61" spans="1:5">
      <c r="A61" s="1403" t="s">
        <v>2589</v>
      </c>
      <c r="B61">
        <f>SUM(B56:B60)</f>
        <v>30701.17</v>
      </c>
      <c r="D61" s="1403" t="s">
        <v>2589</v>
      </c>
      <c r="E61">
        <v>11124.329999999998</v>
      </c>
    </row>
    <row r="65" spans="1:4">
      <c r="A65" s="1403" t="s">
        <v>3460</v>
      </c>
    </row>
    <row r="66" spans="1:4">
      <c r="A66" s="1403" t="s">
        <v>3461</v>
      </c>
      <c r="B66" s="1403" t="s">
        <v>3462</v>
      </c>
      <c r="D66" t="s">
        <v>3450</v>
      </c>
    </row>
    <row r="67" spans="1:4">
      <c r="A67" t="s">
        <v>3451</v>
      </c>
      <c r="B67">
        <v>1</v>
      </c>
      <c r="C67">
        <v>5.0999999999999996</v>
      </c>
      <c r="D67">
        <v>2364.37</v>
      </c>
    </row>
    <row r="68" spans="1:4">
      <c r="A68" t="s">
        <v>3452</v>
      </c>
      <c r="B68">
        <v>0.8</v>
      </c>
      <c r="C68">
        <f>ROUND($C$67*B68,1)</f>
        <v>4.0999999999999996</v>
      </c>
      <c r="D68">
        <v>2482.7799999999997</v>
      </c>
    </row>
    <row r="69" spans="1:4">
      <c r="A69" t="s">
        <v>3453</v>
      </c>
      <c r="B69">
        <v>0.7</v>
      </c>
      <c r="C69">
        <f>ROUND($C$67*B69,1)</f>
        <v>3.6</v>
      </c>
      <c r="D69">
        <v>3138.87</v>
      </c>
    </row>
    <row r="70" spans="1:4">
      <c r="A70" t="s">
        <v>3454</v>
      </c>
      <c r="B70">
        <v>0.5</v>
      </c>
      <c r="C70">
        <f>ROUND($C$67*B70,1)</f>
        <v>2.6</v>
      </c>
      <c r="D70">
        <v>3138.3099999999995</v>
      </c>
    </row>
    <row r="71" spans="1:4">
      <c r="A71" s="3518" t="s">
        <v>3463</v>
      </c>
      <c r="B71" s="3519"/>
      <c r="C71" s="3519"/>
      <c r="D71">
        <f>ROUND((C67*D67+C68*D68+C69*D69+C70*D70)/E61,1)</f>
        <v>3.7</v>
      </c>
    </row>
    <row r="72" spans="1:4">
      <c r="B72" s="1403" t="s">
        <v>3464</v>
      </c>
      <c r="C72" s="1403" t="s">
        <v>3465</v>
      </c>
    </row>
    <row r="73" spans="1:4">
      <c r="A73" s="1446" t="s">
        <v>3446</v>
      </c>
      <c r="B73">
        <v>0.4</v>
      </c>
      <c r="C73">
        <v>1</v>
      </c>
      <c r="D73">
        <f>ROUND($C$67*B73*C73,1)</f>
        <v>2</v>
      </c>
    </row>
    <row r="74" spans="1:4">
      <c r="A74" s="1446" t="s">
        <v>3445</v>
      </c>
      <c r="B74">
        <v>0.4</v>
      </c>
      <c r="C74">
        <v>0.8</v>
      </c>
      <c r="D74">
        <f>ROUND($C$67*B74*C74,1)</f>
        <v>1.6</v>
      </c>
    </row>
    <row r="75" spans="1:4">
      <c r="B75" s="1403" t="s">
        <v>654</v>
      </c>
      <c r="C75" t="s">
        <v>3450</v>
      </c>
      <c r="D75" s="1403" t="s">
        <v>3467</v>
      </c>
    </row>
    <row r="76" spans="1:4">
      <c r="A76" s="1403" t="s">
        <v>3444</v>
      </c>
      <c r="B76">
        <v>700</v>
      </c>
      <c r="C76">
        <f>B60</f>
        <v>17387.98</v>
      </c>
      <c r="D76">
        <f>315+5</f>
        <v>320</v>
      </c>
    </row>
    <row r="77" spans="1:4">
      <c r="A77" s="1403" t="s">
        <v>3443</v>
      </c>
      <c r="B77">
        <f>B76*0.7</f>
        <v>489.99999999999994</v>
      </c>
      <c r="C77">
        <f>B59</f>
        <v>3518.8</v>
      </c>
      <c r="D77">
        <f>47+20+24+12+12</f>
        <v>115</v>
      </c>
    </row>
    <row r="78" spans="1:4">
      <c r="A78" s="1403" t="s">
        <v>3469</v>
      </c>
      <c r="B78">
        <v>1</v>
      </c>
      <c r="C78">
        <f>B56</f>
        <v>3434.37</v>
      </c>
    </row>
  </sheetData>
  <mergeCells count="1">
    <mergeCell ref="A71:C71"/>
  </mergeCells>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5" t="s">
        <v>949</v>
      </c>
      <c r="B1" s="3205"/>
      <c r="C1" s="3205"/>
      <c r="D1" s="3205"/>
    </row>
    <row r="2" spans="1:4" ht="18">
      <c r="A2" s="3206" t="s">
        <v>933</v>
      </c>
      <c r="B2" s="3206"/>
      <c r="C2" s="3206"/>
      <c r="D2" s="3206"/>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06" t="s">
        <v>939</v>
      </c>
      <c r="B6" s="3206"/>
      <c r="C6" s="3206"/>
      <c r="D6" s="3206"/>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07"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8FFBA-80AE-4EAE-B7CB-D443E840E260}">
  <dimension ref="A1:Y129"/>
  <sheetViews>
    <sheetView topLeftCell="A82" workbookViewId="0">
      <selection activeCell="I128" sqref="I128"/>
    </sheetView>
  </sheetViews>
  <sheetFormatPr defaultRowHeight="13.5"/>
  <sheetData>
    <row r="1" spans="1:1">
      <c r="A1" s="1403" t="s">
        <v>3417</v>
      </c>
    </row>
    <row r="43" spans="1:24">
      <c r="B43">
        <f>240000/130/365</f>
        <v>5.0579557428872501</v>
      </c>
      <c r="M43">
        <f>66000*12/400/365</f>
        <v>5.4246575342465757</v>
      </c>
      <c r="X43">
        <f>11.13*120000/365/742.18</f>
        <v>4.9303108170413932</v>
      </c>
    </row>
    <row r="44" spans="1:24">
      <c r="A44" s="1403" t="s">
        <v>3458</v>
      </c>
      <c r="B44">
        <f>AVERAGE(B43:X43)</f>
        <v>5.1376413647250727</v>
      </c>
    </row>
    <row r="46" spans="1:24">
      <c r="A46" s="1403" t="s">
        <v>3391</v>
      </c>
    </row>
    <row r="47" spans="1:24">
      <c r="A47">
        <f>9891*12/157/365</f>
        <v>2.0712328767123287</v>
      </c>
    </row>
    <row r="48" spans="1:24">
      <c r="N48">
        <f>120000/365/71.2</f>
        <v>4.6175157765122359</v>
      </c>
    </row>
    <row r="92" spans="1:25">
      <c r="A92" s="1403" t="s">
        <v>3444</v>
      </c>
      <c r="B92" s="1403"/>
      <c r="O92" s="1403" t="s">
        <v>3459</v>
      </c>
      <c r="X92" s="1403" t="s">
        <v>3468</v>
      </c>
      <c r="Y92">
        <f>1999*12/365/90</f>
        <v>0.7302283105022831</v>
      </c>
    </row>
    <row r="128" spans="2:4">
      <c r="B128" s="3171" t="s">
        <v>672</v>
      </c>
      <c r="C128" s="3171" t="s">
        <v>3475</v>
      </c>
      <c r="D128" s="3171" t="s">
        <v>3476</v>
      </c>
    </row>
    <row r="129" spans="2:6">
      <c r="B129" s="3171" t="s">
        <v>3466</v>
      </c>
      <c r="C129" s="3171">
        <v>3518.8</v>
      </c>
      <c r="D129" s="3171">
        <v>21</v>
      </c>
      <c r="E129" s="1403" t="s">
        <v>3477</v>
      </c>
      <c r="F129">
        <f>ROUND(15000*D129/C129,0)</f>
        <v>90</v>
      </c>
    </row>
  </sheetData>
  <phoneticPr fontId="134"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13" t="s">
        <v>956</v>
      </c>
      <c r="B15" s="3208" t="s">
        <v>109</v>
      </c>
      <c r="C15" s="3209"/>
    </row>
    <row r="16" spans="1:7" ht="13.5">
      <c r="A16" s="3214"/>
      <c r="B16" s="3208" t="s">
        <v>42</v>
      </c>
      <c r="C16" s="3209"/>
    </row>
    <row r="17" spans="1:3" ht="13.5">
      <c r="A17" s="3214"/>
      <c r="B17" s="3211" t="s">
        <v>957</v>
      </c>
      <c r="C17" s="1427" t="s">
        <v>956</v>
      </c>
    </row>
    <row r="18" spans="1:3" ht="13.5">
      <c r="A18" s="3214"/>
      <c r="B18" s="3211"/>
      <c r="C18" s="1427" t="s">
        <v>958</v>
      </c>
    </row>
    <row r="19" spans="1:3" ht="13.5">
      <c r="A19" s="3214"/>
      <c r="B19" s="3211"/>
      <c r="C19" s="1427" t="s">
        <v>959</v>
      </c>
    </row>
    <row r="20" spans="1:3" ht="13.5">
      <c r="A20" s="3215"/>
      <c r="B20" s="3210" t="s">
        <v>960</v>
      </c>
      <c r="C20" s="3209"/>
    </row>
    <row r="21" spans="1:3" ht="13.5">
      <c r="A21" s="1428" t="s">
        <v>961</v>
      </c>
      <c r="B21" s="1429"/>
      <c r="C21" s="1430"/>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7" t="s">
        <v>967</v>
      </c>
    </row>
    <row r="26" spans="1:3" ht="13.5">
      <c r="A26" s="3212"/>
      <c r="B26" s="3211"/>
      <c r="C26" s="1427" t="s">
        <v>968</v>
      </c>
    </row>
    <row r="27" spans="1:3" ht="13.5">
      <c r="A27" s="3212"/>
      <c r="B27" s="3211"/>
      <c r="C27" s="1427" t="s">
        <v>969</v>
      </c>
    </row>
    <row r="28" spans="1:3" ht="13.5">
      <c r="A28" s="3212"/>
      <c r="B28" s="3211"/>
      <c r="C28" s="1427" t="s">
        <v>970</v>
      </c>
    </row>
    <row r="29" spans="1:3" ht="13.5">
      <c r="A29" s="3212"/>
      <c r="B29" s="3211"/>
      <c r="C29" s="1427" t="s">
        <v>971</v>
      </c>
    </row>
    <row r="30" spans="1:3" ht="13.5">
      <c r="A30" s="3212"/>
      <c r="B30" s="3211"/>
      <c r="C30" s="1427" t="s">
        <v>972</v>
      </c>
    </row>
    <row r="31" spans="1:3" ht="13.5">
      <c r="A31" s="3212"/>
      <c r="B31" s="3211"/>
      <c r="C31" s="1427" t="s">
        <v>973</v>
      </c>
    </row>
    <row r="32" spans="1:3" ht="13.5">
      <c r="A32" s="3212"/>
      <c r="B32" s="3211"/>
      <c r="C32" s="1427" t="s">
        <v>974</v>
      </c>
    </row>
    <row r="33" spans="1:3" ht="13.5">
      <c r="A33" s="3212"/>
      <c r="B33" s="3211"/>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45888</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t="str">
        <f ca="1">IF(C10&lt;B2,"已过期",1120100036)</f>
        <v>已过期</v>
      </c>
      <c r="C10" s="2165">
        <v>45752</v>
      </c>
      <c r="D10" s="2161" t="str">
        <f t="shared" ca="1" si="0"/>
        <v>崔锴（注册号：已过期）</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2434</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8"/>
      <c r="E18" s="3218" t="s">
        <v>2162</v>
      </c>
      <c r="F18" s="3217"/>
      <c r="G18" s="3217"/>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2435</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170</vt:i4>
      </vt:variant>
    </vt:vector>
  </HeadingPairs>
  <TitlesOfParts>
    <vt:vector size="23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结果一览表</vt:lpstr>
      <vt:lpstr>成本法</vt:lpstr>
      <vt:lpstr>成本法地上商业 (元)</vt:lpstr>
      <vt:lpstr>假设开发法</vt:lpstr>
      <vt:lpstr>收益法 (元)地上商业</vt:lpstr>
      <vt:lpstr>成本法地下商业 (元)</vt:lpstr>
      <vt:lpstr>收益法 (元) 地下商业</vt:lpstr>
      <vt:lpstr>成本法地下办公 (元)</vt:lpstr>
      <vt:lpstr>收益法 (元) 地下办公</vt:lpstr>
      <vt:lpstr>成本法机械车位 (元) </vt:lpstr>
      <vt:lpstr>收益法 (元)机械车位</vt:lpstr>
      <vt:lpstr>成本法车位 (元) </vt:lpstr>
      <vt:lpstr>收益法</vt:lpstr>
      <vt:lpstr>收益法 (元)车位</vt:lpstr>
      <vt:lpstr>成本法车仓储 (元) </vt:lpstr>
      <vt:lpstr>收益法（元）仓储</vt:lpstr>
      <vt:lpstr>收益法 仓储</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-办公</vt:lpstr>
      <vt:lpstr>基准地价修正-商业</vt:lpstr>
      <vt:lpstr>修正</vt:lpstr>
      <vt:lpstr>容积率修正</vt:lpstr>
      <vt:lpstr>成本法（废）</vt:lpstr>
      <vt:lpstr>因素修正幅度</vt:lpstr>
      <vt:lpstr>区片价（范围）</vt:lpstr>
      <vt:lpstr>地价-分区</vt:lpstr>
      <vt:lpstr>地价</vt:lpstr>
      <vt:lpstr>区片价</vt:lpstr>
      <vt:lpstr>存贷款利率</vt:lpstr>
      <vt:lpstr>租金计算</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'成本法车仓储 (元) '!Print_Area</vt:lpstr>
      <vt:lpstr>'成本法车位 (元) '!Print_Area</vt:lpstr>
      <vt:lpstr>'成本法地上商业 (元)'!Print_Area</vt:lpstr>
      <vt:lpstr>'成本法地下办公 (元)'!Print_Area</vt:lpstr>
      <vt:lpstr>'成本法地下商业 (元)'!Print_Area</vt:lpstr>
      <vt:lpstr>'成本法机械车位 (元) '!Print_Area</vt:lpstr>
      <vt:lpstr>估价对象房地状况!Print_Area</vt:lpstr>
      <vt:lpstr>估价师及机构信息!Print_Area</vt:lpstr>
      <vt:lpstr>'基准地价（汇总）'!Print_Area</vt:lpstr>
      <vt:lpstr>'基准地价修正 -办公'!Print_Area</vt:lpstr>
      <vt:lpstr>'基准地价修正-商业'!Print_Area</vt:lpstr>
      <vt:lpstr>假设开发法!Print_Area</vt:lpstr>
      <vt:lpstr>结果表!Print_Area</vt:lpstr>
      <vt:lpstr>收益法!Print_Area</vt:lpstr>
      <vt:lpstr>'收益法 (元) 地下办公'!Print_Area</vt:lpstr>
      <vt:lpstr>'收益法 (元) 地下商业'!Print_Area</vt:lpstr>
      <vt:lpstr>'收益法 (元)车位'!Print_Area</vt:lpstr>
      <vt:lpstr>'收益法 (元)地上商业'!Print_Area</vt:lpstr>
      <vt:lpstr>'收益法 (元)机械车位'!Print_Area</vt:lpstr>
      <vt:lpstr>'收益法 仓储'!Print_Area</vt:lpstr>
      <vt:lpstr>'收益法（汇总）'!Print_Area</vt:lpstr>
      <vt:lpstr>'收益法（元）仓储'!Print_Area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2025-08-19T07:41:24Z</dcterms:modified>
</cp:coreProperties>
</file>