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45" yWindow="180" windowWidth="9480" windowHeight="7515" tabRatio="875" firstSheet="17"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0"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 name="Sheet2" sheetId="69" r:id="rId43"/>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O58" i="70" l="1"/>
  <c r="I58" i="70"/>
  <c r="J22" i="70"/>
  <c r="AN31" i="3"/>
  <c r="J24" i="70"/>
  <c r="J58" i="70"/>
  <c r="AF33" i="3"/>
  <c r="AN33" i="3"/>
  <c r="AT33" i="3"/>
  <c r="I27" i="70"/>
  <c r="L27" i="70"/>
  <c r="AD28" i="3"/>
  <c r="A6" i="1"/>
  <c r="A7" i="1"/>
  <c r="G1" i="15"/>
  <c r="M40" i="3"/>
  <c r="M41" i="3"/>
  <c r="M52" i="3"/>
  <c r="M53" i="3"/>
  <c r="M54" i="3"/>
  <c r="M55" i="3"/>
  <c r="M56" i="3"/>
  <c r="M57" i="3"/>
  <c r="M58" i="3"/>
  <c r="M59" i="3"/>
  <c r="M60" i="3"/>
  <c r="M5" i="3"/>
  <c r="G20" i="6"/>
  <c r="E20" i="6"/>
  <c r="K7" i="1"/>
  <c r="F7" i="15"/>
  <c r="F8" i="15"/>
  <c r="C1" i="65"/>
  <c r="N1" i="65"/>
  <c r="N4" i="65"/>
  <c r="C4" i="65"/>
  <c r="B39" i="1"/>
  <c r="F11" i="15"/>
  <c r="C5" i="35"/>
  <c r="C5" i="21"/>
  <c r="L44" i="70"/>
  <c r="L58" i="70"/>
  <c r="D7" i="70"/>
  <c r="D8" i="70"/>
  <c r="D9" i="70"/>
  <c r="D10" i="70"/>
  <c r="D11" i="70"/>
  <c r="D12" i="70"/>
  <c r="D13" i="70"/>
  <c r="D14" i="70"/>
  <c r="D15" i="70"/>
  <c r="D16" i="70"/>
  <c r="D17" i="70"/>
  <c r="D18" i="70"/>
  <c r="D19" i="70"/>
  <c r="D20" i="70"/>
  <c r="D21" i="70"/>
  <c r="D22" i="70"/>
  <c r="D23" i="70"/>
  <c r="D24" i="70"/>
  <c r="D25" i="70"/>
  <c r="D26" i="70"/>
  <c r="G27" i="70"/>
  <c r="D27" i="70"/>
  <c r="D28" i="70"/>
  <c r="D29" i="70"/>
  <c r="D30" i="70"/>
  <c r="D31" i="70"/>
  <c r="D32" i="70"/>
  <c r="D33" i="70"/>
  <c r="D34" i="70"/>
  <c r="D35" i="70"/>
  <c r="D36" i="70"/>
  <c r="D37" i="70"/>
  <c r="D38" i="70"/>
  <c r="D39" i="70"/>
  <c r="D40" i="70"/>
  <c r="D41" i="70"/>
  <c r="D42" i="70"/>
  <c r="D43" i="70"/>
  <c r="D44" i="70"/>
  <c r="D45" i="70"/>
  <c r="D46" i="70"/>
  <c r="D47" i="70"/>
  <c r="D48" i="70"/>
  <c r="D49" i="70"/>
  <c r="D50" i="70"/>
  <c r="D51" i="70"/>
  <c r="D52" i="70"/>
  <c r="D53" i="70"/>
  <c r="D54" i="70"/>
  <c r="D55" i="70"/>
  <c r="D56" i="70"/>
  <c r="D57" i="70"/>
  <c r="D58" i="70"/>
  <c r="E58" i="70"/>
  <c r="F58" i="70"/>
  <c r="G58" i="70"/>
  <c r="H7" i="70"/>
  <c r="H8" i="70"/>
  <c r="H9" i="70"/>
  <c r="H10" i="70"/>
  <c r="H11" i="70"/>
  <c r="H12" i="70"/>
  <c r="H13" i="70"/>
  <c r="H14" i="70"/>
  <c r="H15" i="70"/>
  <c r="H16" i="70"/>
  <c r="H17" i="70"/>
  <c r="H18" i="70"/>
  <c r="H19" i="70"/>
  <c r="H20" i="70"/>
  <c r="H21" i="70"/>
  <c r="H22" i="70"/>
  <c r="H23" i="70"/>
  <c r="H24" i="70"/>
  <c r="H25" i="70"/>
  <c r="H26" i="70"/>
  <c r="J27" i="70"/>
  <c r="H27" i="70"/>
  <c r="H28" i="70"/>
  <c r="H29" i="70"/>
  <c r="H30" i="70"/>
  <c r="J31" i="70"/>
  <c r="H31" i="70"/>
  <c r="H32" i="70"/>
  <c r="H33" i="70"/>
  <c r="H34" i="70"/>
  <c r="H35" i="70"/>
  <c r="H36" i="70"/>
  <c r="H37" i="70"/>
  <c r="H38" i="70"/>
  <c r="H39" i="70"/>
  <c r="H40" i="70"/>
  <c r="H41" i="70"/>
  <c r="H42" i="70"/>
  <c r="H43" i="70"/>
  <c r="J44" i="70"/>
  <c r="H44" i="70"/>
  <c r="H45" i="70"/>
  <c r="H46" i="70"/>
  <c r="H47" i="70"/>
  <c r="H48" i="70"/>
  <c r="H49" i="70"/>
  <c r="H50" i="70"/>
  <c r="H51" i="70"/>
  <c r="H52" i="70"/>
  <c r="H53" i="70"/>
  <c r="H54" i="70"/>
  <c r="H55" i="70"/>
  <c r="J56" i="70"/>
  <c r="H56" i="70"/>
  <c r="H57" i="70"/>
  <c r="H58" i="70"/>
  <c r="C8" i="70"/>
  <c r="C9" i="70"/>
  <c r="C10" i="70"/>
  <c r="C11" i="70"/>
  <c r="C12" i="70"/>
  <c r="C13" i="70"/>
  <c r="C14" i="70"/>
  <c r="C15"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7" i="70"/>
  <c r="K58" i="70"/>
  <c r="C58" i="70"/>
  <c r="K33" i="3"/>
  <c r="K50" i="3"/>
  <c r="K62" i="3"/>
  <c r="K5" i="3"/>
  <c r="G21" i="6"/>
  <c r="I13" i="3"/>
  <c r="I14" i="3"/>
  <c r="I15" i="3"/>
  <c r="I16" i="3"/>
  <c r="I17" i="3"/>
  <c r="I18" i="3"/>
  <c r="I19" i="3"/>
  <c r="I20" i="3"/>
  <c r="I21" i="3"/>
  <c r="I22" i="3"/>
  <c r="I23" i="3"/>
  <c r="I24" i="3"/>
  <c r="I25" i="3"/>
  <c r="I26" i="3"/>
  <c r="I27" i="3"/>
  <c r="I28" i="3"/>
  <c r="I29" i="3"/>
  <c r="I30" i="3"/>
  <c r="I31" i="3"/>
  <c r="I34" i="3"/>
  <c r="I35" i="3"/>
  <c r="I36" i="3"/>
  <c r="I37" i="3"/>
  <c r="I38" i="3"/>
  <c r="I39" i="3"/>
  <c r="I40" i="3"/>
  <c r="I41" i="3"/>
  <c r="I42" i="3"/>
  <c r="I43" i="3"/>
  <c r="I44" i="3"/>
  <c r="I45" i="3"/>
  <c r="I46" i="3"/>
  <c r="I52" i="3"/>
  <c r="I53" i="3"/>
  <c r="I54" i="3"/>
  <c r="I55" i="3"/>
  <c r="I56" i="3"/>
  <c r="I57" i="3"/>
  <c r="I58" i="3"/>
  <c r="I59" i="3"/>
  <c r="I60" i="3"/>
  <c r="I5" i="3"/>
  <c r="F19" i="6"/>
  <c r="AF62" i="3"/>
  <c r="AD61" i="3"/>
  <c r="AN53" i="3"/>
  <c r="AN54" i="3"/>
  <c r="AN55" i="3"/>
  <c r="AN56" i="3"/>
  <c r="AN57" i="3"/>
  <c r="AN58" i="3"/>
  <c r="AN59" i="3"/>
  <c r="AN60" i="3"/>
  <c r="AN61" i="3"/>
  <c r="AN62" i="3"/>
  <c r="AN52" i="3"/>
  <c r="AT50" i="3"/>
  <c r="AF50" i="3"/>
  <c r="AD48" i="3"/>
  <c r="AD49" i="3"/>
  <c r="AD47" i="3"/>
  <c r="AF35" i="3"/>
  <c r="AF36" i="3"/>
  <c r="AF37" i="3"/>
  <c r="AF38" i="3"/>
  <c r="AF39" i="3"/>
  <c r="AF40" i="3"/>
  <c r="AF41" i="3"/>
  <c r="AF42" i="3"/>
  <c r="AF43" i="3"/>
  <c r="AF44" i="3"/>
  <c r="AF45" i="3"/>
  <c r="AF46" i="3"/>
  <c r="AF34" i="3"/>
  <c r="AN35" i="3"/>
  <c r="AN36" i="3"/>
  <c r="AN37" i="3"/>
  <c r="AN38" i="3"/>
  <c r="AN39" i="3"/>
  <c r="AN40" i="3"/>
  <c r="AN41" i="3"/>
  <c r="AN42" i="3"/>
  <c r="AN43" i="3"/>
  <c r="AN44" i="3"/>
  <c r="AN45" i="3"/>
  <c r="AN46" i="3"/>
  <c r="AN47" i="3"/>
  <c r="AN48" i="3"/>
  <c r="AN49" i="3"/>
  <c r="AN50" i="3"/>
  <c r="AN34" i="3"/>
  <c r="C44" i="3"/>
  <c r="C45" i="3"/>
  <c r="C46" i="3"/>
  <c r="C47" i="3"/>
  <c r="C48" i="3"/>
  <c r="C49" i="3"/>
  <c r="C50" i="3"/>
  <c r="C51" i="3"/>
  <c r="C52" i="3"/>
  <c r="C53" i="3"/>
  <c r="C54" i="3"/>
  <c r="C55" i="3"/>
  <c r="C56" i="3"/>
  <c r="C57" i="3"/>
  <c r="C58" i="3"/>
  <c r="C59" i="3"/>
  <c r="C60" i="3"/>
  <c r="C61" i="3"/>
  <c r="C62" i="3"/>
  <c r="C63" i="3"/>
  <c r="AN14" i="3"/>
  <c r="AN15" i="3"/>
  <c r="AN16" i="3"/>
  <c r="AN17" i="3"/>
  <c r="AN18" i="3"/>
  <c r="AN19" i="3"/>
  <c r="AN20" i="3"/>
  <c r="AN21" i="3"/>
  <c r="AN22" i="3"/>
  <c r="AN23" i="3"/>
  <c r="AN24" i="3"/>
  <c r="AN25" i="3"/>
  <c r="AN26" i="3"/>
  <c r="AN27" i="3"/>
  <c r="AN28" i="3"/>
  <c r="AN13" i="3"/>
  <c r="AT22" i="3"/>
  <c r="AF20" i="3"/>
  <c r="AF21" i="3"/>
  <c r="AF25" i="3"/>
  <c r="AD30" i="3"/>
  <c r="AD31" i="3"/>
  <c r="AD29" i="3"/>
  <c r="AJ31" i="3"/>
  <c r="AH30"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13" i="3"/>
  <c r="G7" i="39"/>
  <c r="E7" i="39"/>
  <c r="C7" i="39"/>
  <c r="D91" i="21"/>
  <c r="E91" i="21"/>
  <c r="F91" i="21"/>
  <c r="G91" i="21"/>
  <c r="I48" i="39"/>
  <c r="G48" i="39"/>
  <c r="E48" i="39"/>
  <c r="F6" i="15"/>
  <c r="F9" i="15"/>
  <c r="C6" i="15"/>
  <c r="C10" i="15"/>
  <c r="C5" i="15"/>
  <c r="B43" i="1"/>
  <c r="B41" i="1"/>
  <c r="F32" i="15"/>
  <c r="B2" i="1"/>
  <c r="C42" i="1"/>
  <c r="C32" i="15"/>
  <c r="F33" i="15"/>
  <c r="C33" i="15"/>
  <c r="H33" i="3"/>
  <c r="AC33" i="3"/>
  <c r="G33" i="3"/>
  <c r="H32" i="3"/>
  <c r="AC32" i="3"/>
  <c r="G32" i="3"/>
  <c r="H13" i="3"/>
  <c r="AC13" i="3"/>
  <c r="G13" i="3"/>
  <c r="AC14" i="3"/>
  <c r="H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13" i="3"/>
  <c r="BD13" i="3"/>
  <c r="BC13" i="3"/>
  <c r="BE13" i="3"/>
  <c r="BF13" i="3"/>
  <c r="BG13" i="3"/>
  <c r="BH13" i="3"/>
  <c r="BI13" i="3"/>
  <c r="BJ13" i="3"/>
  <c r="BK13" i="3"/>
  <c r="BA13" i="3"/>
  <c r="BM13" i="3"/>
  <c r="BN13" i="3"/>
  <c r="BO13" i="3"/>
  <c r="BP13" i="3"/>
  <c r="BQ13" i="3"/>
  <c r="BR13" i="3"/>
  <c r="BS13" i="3"/>
  <c r="BT13" i="3"/>
  <c r="BL13" i="3"/>
  <c r="AZ1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Q5" i="3"/>
  <c r="BS5" i="3"/>
  <c r="F28" i="6"/>
  <c r="BR5" i="3"/>
  <c r="BT5" i="3"/>
  <c r="G28" i="6"/>
  <c r="E28" i="6"/>
  <c r="BA5" i="3"/>
  <c r="E19" i="6"/>
  <c r="E21" i="6"/>
  <c r="BB5" i="3"/>
  <c r="BB10" i="3"/>
  <c r="BC10" i="3"/>
  <c r="BD10" i="3"/>
  <c r="BE10" i="3"/>
  <c r="BF10" i="3"/>
  <c r="BG10" i="3"/>
  <c r="BH10" i="3"/>
  <c r="BI10" i="3"/>
  <c r="BJ10" i="3"/>
  <c r="BK10" i="3"/>
  <c r="BC5" i="3"/>
  <c r="BD5" i="3"/>
  <c r="BE5" i="3"/>
  <c r="BF5" i="3"/>
  <c r="BG5" i="3"/>
  <c r="BH5" i="3"/>
  <c r="BI5" i="3"/>
  <c r="BJ5" i="3"/>
  <c r="BK5" i="3"/>
  <c r="E8" i="6"/>
  <c r="F27" i="6"/>
  <c r="E22" i="6"/>
  <c r="E23" i="6"/>
  <c r="E24" i="6"/>
  <c r="E25" i="6"/>
  <c r="E26" i="6"/>
  <c r="E27" i="6"/>
  <c r="K20" i="6"/>
  <c r="L20" i="6"/>
  <c r="M20" i="6"/>
  <c r="I20" i="6"/>
  <c r="H20" i="6"/>
  <c r="R20" i="6"/>
  <c r="R7" i="1"/>
  <c r="F35" i="15"/>
  <c r="B52" i="1"/>
  <c r="F34" i="15"/>
  <c r="C34" i="15"/>
  <c r="C31" i="15"/>
  <c r="M7" i="1"/>
  <c r="L14" i="1"/>
  <c r="K14" i="1"/>
  <c r="M14" i="1"/>
  <c r="S7" i="1"/>
  <c r="K19" i="6"/>
  <c r="S6" i="1"/>
  <c r="K21" i="6"/>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H19" i="4"/>
  <c r="F7" i="1"/>
  <c r="L48" i="15"/>
  <c r="J50" i="15"/>
  <c r="J51" i="15"/>
  <c r="M47" i="15"/>
  <c r="J53" i="15"/>
  <c r="F1" i="15"/>
  <c r="AE7" i="1"/>
  <c r="F41" i="15"/>
  <c r="C40" i="15"/>
  <c r="M6" i="15"/>
  <c r="M8" i="15"/>
  <c r="M7" i="15"/>
  <c r="M9" i="15"/>
  <c r="J6" i="15"/>
  <c r="M11" i="15"/>
  <c r="J10" i="15"/>
  <c r="J5" i="15"/>
  <c r="J26" i="15"/>
  <c r="J29" i="15"/>
  <c r="L46" i="15"/>
  <c r="B2" i="15"/>
  <c r="D10" i="12"/>
  <c r="D79" i="21"/>
  <c r="E79" i="21"/>
  <c r="F17" i="21"/>
  <c r="AA17" i="21"/>
  <c r="D85" i="21"/>
  <c r="E85" i="21"/>
  <c r="F23" i="21"/>
  <c r="AA23" i="21"/>
  <c r="F34" i="21"/>
  <c r="AA34" i="21"/>
  <c r="C63" i="21"/>
  <c r="F9" i="21"/>
  <c r="AA9" i="21"/>
  <c r="F10" i="21"/>
  <c r="AA10" i="21"/>
  <c r="F25" i="21"/>
  <c r="AA25" i="21"/>
  <c r="F26" i="21"/>
  <c r="AA26" i="21"/>
  <c r="B90" i="21"/>
  <c r="F27" i="21"/>
  <c r="AA27" i="21"/>
  <c r="B92" i="21"/>
  <c r="F28" i="21"/>
  <c r="AA28" i="21"/>
  <c r="B94" i="21"/>
  <c r="F29" i="21"/>
  <c r="AA29" i="21"/>
  <c r="B96" i="21"/>
  <c r="F30" i="21"/>
  <c r="AA30" i="21"/>
  <c r="B98" i="21"/>
  <c r="F31" i="21"/>
  <c r="AA31" i="21"/>
  <c r="F36" i="21"/>
  <c r="AA36" i="21"/>
  <c r="F38" i="21"/>
  <c r="AA38" i="21"/>
  <c r="D117" i="21"/>
  <c r="E117" i="21"/>
  <c r="F117" i="21"/>
  <c r="G117" i="21"/>
  <c r="F39" i="21"/>
  <c r="AA39" i="21"/>
  <c r="F40" i="21"/>
  <c r="AA40" i="21"/>
  <c r="F42" i="21"/>
  <c r="AA42" i="21"/>
  <c r="D83" i="21"/>
  <c r="F21" i="21"/>
  <c r="AA21" i="21"/>
  <c r="D125" i="21"/>
  <c r="F43" i="21"/>
  <c r="AA43" i="21"/>
  <c r="F41" i="21"/>
  <c r="AA41" i="21"/>
  <c r="B126" i="21"/>
  <c r="F44" i="21"/>
  <c r="AA44" i="21"/>
  <c r="B128" i="21"/>
  <c r="F45" i="21"/>
  <c r="AA45" i="21"/>
  <c r="B130" i="21"/>
  <c r="F46" i="21"/>
  <c r="AA46" i="21"/>
  <c r="B70" i="21"/>
  <c r="F12" i="21"/>
  <c r="AA12" i="21"/>
  <c r="B72" i="21"/>
  <c r="F13" i="21"/>
  <c r="AA13" i="21"/>
  <c r="B74" i="21"/>
  <c r="F14" i="21"/>
  <c r="AA14" i="21"/>
  <c r="D81" i="21"/>
  <c r="E81" i="21"/>
  <c r="F19" i="21"/>
  <c r="AA19" i="21"/>
  <c r="D101" i="21"/>
  <c r="E101" i="21"/>
  <c r="F32" i="21"/>
  <c r="AA32" i="21"/>
  <c r="R47" i="21"/>
  <c r="C7" i="21"/>
  <c r="C58" i="21"/>
  <c r="D58" i="21"/>
  <c r="E58" i="21"/>
  <c r="F58" i="21"/>
  <c r="G58" i="21"/>
  <c r="H58" i="21"/>
  <c r="I58" i="21"/>
  <c r="J58" i="21"/>
  <c r="K58" i="21"/>
  <c r="L58" i="21"/>
  <c r="M58" i="21"/>
  <c r="N58" i="21"/>
  <c r="O58" i="21"/>
  <c r="F7" i="21"/>
  <c r="AA7" i="21"/>
  <c r="D77" i="21"/>
  <c r="E77" i="21"/>
  <c r="F15" i="21"/>
  <c r="AA15" i="21"/>
  <c r="F33" i="21"/>
  <c r="AA33" i="21"/>
  <c r="F35" i="21"/>
  <c r="AA35" i="21"/>
  <c r="F8" i="21"/>
  <c r="AA8" i="21"/>
  <c r="D69" i="21"/>
  <c r="E69" i="21"/>
  <c r="F69" i="21"/>
  <c r="G69" i="21"/>
  <c r="F11" i="21"/>
  <c r="AA11" i="21"/>
  <c r="D113" i="21"/>
  <c r="E113" i="21"/>
  <c r="F113" i="21"/>
  <c r="G113" i="21"/>
  <c r="F37" i="21"/>
  <c r="AA37" i="21"/>
  <c r="R48" i="21"/>
  <c r="H17" i="21"/>
  <c r="AB17" i="21"/>
  <c r="H23" i="21"/>
  <c r="AB23" i="21"/>
  <c r="H34" i="21"/>
  <c r="AB34" i="21"/>
  <c r="H9" i="21"/>
  <c r="AB9" i="21"/>
  <c r="H10" i="21"/>
  <c r="AB10" i="21"/>
  <c r="H25" i="21"/>
  <c r="AB25" i="21"/>
  <c r="H26" i="21"/>
  <c r="AB26" i="21"/>
  <c r="H27" i="21"/>
  <c r="AB27" i="21"/>
  <c r="H28" i="21"/>
  <c r="AB28" i="21"/>
  <c r="H29" i="21"/>
  <c r="AB29" i="21"/>
  <c r="H30" i="21"/>
  <c r="AB30" i="21"/>
  <c r="H31" i="21"/>
  <c r="AB31" i="21"/>
  <c r="H36" i="21"/>
  <c r="AB36" i="21"/>
  <c r="H38" i="21"/>
  <c r="AB38" i="21"/>
  <c r="H39" i="21"/>
  <c r="AB39" i="21"/>
  <c r="H40" i="21"/>
  <c r="AB40" i="21"/>
  <c r="D123" i="21"/>
  <c r="E123" i="21"/>
  <c r="F123" i="21"/>
  <c r="H42" i="21"/>
  <c r="AB42" i="21"/>
  <c r="H21" i="21"/>
  <c r="AB21" i="21"/>
  <c r="H43" i="21"/>
  <c r="AB43" i="21"/>
  <c r="H41" i="21"/>
  <c r="AB41" i="21"/>
  <c r="H44" i="21"/>
  <c r="AB44" i="21"/>
  <c r="H45" i="21"/>
  <c r="AB45" i="21"/>
  <c r="H46" i="21"/>
  <c r="AB46" i="21"/>
  <c r="H12" i="21"/>
  <c r="AB12" i="21"/>
  <c r="H13" i="21"/>
  <c r="AB13" i="21"/>
  <c r="H14" i="21"/>
  <c r="AB14" i="21"/>
  <c r="T47" i="21"/>
  <c r="H19" i="21"/>
  <c r="AB19" i="21"/>
  <c r="H32" i="21"/>
  <c r="AB32" i="21"/>
  <c r="H7" i="21"/>
  <c r="AB7" i="21"/>
  <c r="H15" i="21"/>
  <c r="AB15" i="21"/>
  <c r="H33" i="21"/>
  <c r="AB33" i="21"/>
  <c r="H35" i="21"/>
  <c r="AB35" i="21"/>
  <c r="H8" i="21"/>
  <c r="AB8" i="21"/>
  <c r="H11" i="21"/>
  <c r="AB11" i="21"/>
  <c r="H37" i="21"/>
  <c r="AB37" i="21"/>
  <c r="T48" i="21"/>
  <c r="J17" i="21"/>
  <c r="AC17" i="21"/>
  <c r="J23" i="21"/>
  <c r="AC23" i="21"/>
  <c r="J34" i="21"/>
  <c r="AC34" i="21"/>
  <c r="J9" i="21"/>
  <c r="AC9" i="21"/>
  <c r="J10" i="21"/>
  <c r="AC10" i="21"/>
  <c r="J25" i="21"/>
  <c r="AC25" i="21"/>
  <c r="J26" i="21"/>
  <c r="AC26" i="21"/>
  <c r="J27" i="21"/>
  <c r="AC27" i="21"/>
  <c r="J28" i="21"/>
  <c r="AC28" i="21"/>
  <c r="J29" i="21"/>
  <c r="AC29" i="21"/>
  <c r="J30" i="21"/>
  <c r="AC30" i="21"/>
  <c r="J31" i="21"/>
  <c r="AC31" i="21"/>
  <c r="J36" i="21"/>
  <c r="AC36" i="21"/>
  <c r="J38" i="21"/>
  <c r="AC38" i="21"/>
  <c r="J39" i="21"/>
  <c r="AC39" i="21"/>
  <c r="J40" i="21"/>
  <c r="AC40" i="21"/>
  <c r="J42" i="21"/>
  <c r="AC42" i="21"/>
  <c r="J21" i="21"/>
  <c r="AC21" i="21"/>
  <c r="J43" i="21"/>
  <c r="AC43" i="21"/>
  <c r="J41" i="21"/>
  <c r="AC41" i="21"/>
  <c r="J44" i="21"/>
  <c r="AC44" i="21"/>
  <c r="J45" i="21"/>
  <c r="AC45" i="21"/>
  <c r="J46" i="21"/>
  <c r="AC46" i="21"/>
  <c r="J12" i="21"/>
  <c r="AC12" i="21"/>
  <c r="J13" i="21"/>
  <c r="AC13" i="21"/>
  <c r="J14" i="21"/>
  <c r="AC14" i="21"/>
  <c r="J19" i="21"/>
  <c r="AC19" i="21"/>
  <c r="J32" i="21"/>
  <c r="AC32" i="21"/>
  <c r="V47" i="21"/>
  <c r="J7" i="21"/>
  <c r="AC7" i="21"/>
  <c r="J15" i="21"/>
  <c r="AC15" i="21"/>
  <c r="J33" i="21"/>
  <c r="AC33" i="21"/>
  <c r="J35" i="21"/>
  <c r="AC35" i="21"/>
  <c r="J8" i="21"/>
  <c r="AC8" i="21"/>
  <c r="J11" i="21"/>
  <c r="AC11" i="21"/>
  <c r="J37" i="21"/>
  <c r="AC37" i="21"/>
  <c r="V48" i="21"/>
  <c r="R49" i="21"/>
  <c r="C49" i="21"/>
  <c r="B3" i="21"/>
  <c r="D3" i="21"/>
  <c r="B2" i="21"/>
  <c r="C10" i="12"/>
  <c r="D64" i="35"/>
  <c r="E64" i="35"/>
  <c r="F14" i="35"/>
  <c r="AA14" i="35"/>
  <c r="D70" i="35"/>
  <c r="E70" i="35"/>
  <c r="F20" i="35"/>
  <c r="AA20" i="35"/>
  <c r="C7" i="35"/>
  <c r="C48" i="35"/>
  <c r="D48" i="35"/>
  <c r="E48" i="35"/>
  <c r="F48" i="35"/>
  <c r="G48" i="35"/>
  <c r="H48" i="35"/>
  <c r="I48" i="35"/>
  <c r="J48" i="35"/>
  <c r="K48" i="35"/>
  <c r="L48" i="35"/>
  <c r="M48" i="35"/>
  <c r="N48" i="35"/>
  <c r="O48" i="35"/>
  <c r="F7" i="35"/>
  <c r="AA7" i="35"/>
  <c r="R37" i="35"/>
  <c r="F8" i="35"/>
  <c r="AA8" i="35"/>
  <c r="C53" i="35"/>
  <c r="F9" i="35"/>
  <c r="AA9" i="35"/>
  <c r="F10" i="35"/>
  <c r="AA10" i="35"/>
  <c r="B57" i="35"/>
  <c r="F11" i="35"/>
  <c r="AA11" i="35"/>
  <c r="B59" i="35"/>
  <c r="F12" i="35"/>
  <c r="AA12" i="35"/>
  <c r="B61" i="35"/>
  <c r="F13" i="35"/>
  <c r="AA13" i="35"/>
  <c r="D66" i="35"/>
  <c r="E66" i="35"/>
  <c r="F16" i="35"/>
  <c r="AA16" i="35"/>
  <c r="D68" i="35"/>
  <c r="F18" i="35"/>
  <c r="AA18" i="35"/>
  <c r="F22" i="35"/>
  <c r="AA22" i="35"/>
  <c r="B73" i="35"/>
  <c r="F23" i="35"/>
  <c r="AA23" i="35"/>
  <c r="B75" i="35"/>
  <c r="F24" i="35"/>
  <c r="AA24" i="35"/>
  <c r="B77" i="35"/>
  <c r="F25" i="35"/>
  <c r="AA25" i="35"/>
  <c r="C26" i="35"/>
  <c r="C79" i="35"/>
  <c r="F26" i="35"/>
  <c r="AA26" i="35"/>
  <c r="F27" i="35"/>
  <c r="AA27" i="35"/>
  <c r="D84" i="35"/>
  <c r="E84" i="35"/>
  <c r="F28" i="35"/>
  <c r="AA28" i="35"/>
  <c r="D87" i="35"/>
  <c r="E87" i="35"/>
  <c r="F87" i="35"/>
  <c r="G87" i="35"/>
  <c r="F29" i="35"/>
  <c r="AA29" i="35"/>
  <c r="F30" i="35"/>
  <c r="AA30" i="35"/>
  <c r="F31" i="35"/>
  <c r="AA31" i="35"/>
  <c r="D94" i="35"/>
  <c r="F32" i="35"/>
  <c r="AA32" i="35"/>
  <c r="D96" i="35"/>
  <c r="F33" i="35"/>
  <c r="AA33" i="35"/>
  <c r="B97" i="35"/>
  <c r="F34" i="35"/>
  <c r="AA34" i="35"/>
  <c r="B99" i="35"/>
  <c r="F35" i="35"/>
  <c r="AA35" i="35"/>
  <c r="B101" i="35"/>
  <c r="F36" i="35"/>
  <c r="AA36" i="35"/>
  <c r="R38" i="35"/>
  <c r="H14" i="35"/>
  <c r="AB14" i="35"/>
  <c r="H20" i="35"/>
  <c r="AB20" i="35"/>
  <c r="H7" i="35"/>
  <c r="AB7" i="35"/>
  <c r="T37" i="35"/>
  <c r="H8" i="35"/>
  <c r="AB8" i="35"/>
  <c r="H9" i="35"/>
  <c r="AB9" i="35"/>
  <c r="H10" i="35"/>
  <c r="AB10" i="35"/>
  <c r="H11" i="35"/>
  <c r="AB11" i="35"/>
  <c r="H12" i="35"/>
  <c r="AB12" i="35"/>
  <c r="H13" i="35"/>
  <c r="AB13" i="35"/>
  <c r="H16" i="35"/>
  <c r="AB16" i="35"/>
  <c r="H18" i="35"/>
  <c r="AB18"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20" i="35"/>
  <c r="AC20" i="35"/>
  <c r="J7" i="35"/>
  <c r="AC7" i="35"/>
  <c r="V37" i="35"/>
  <c r="J8" i="35"/>
  <c r="AC8" i="35"/>
  <c r="J9" i="35"/>
  <c r="AC9" i="35"/>
  <c r="J10" i="35"/>
  <c r="AC10" i="35"/>
  <c r="J11" i="35"/>
  <c r="AC11" i="35"/>
  <c r="J12" i="35"/>
  <c r="AC12" i="35"/>
  <c r="J13" i="35"/>
  <c r="AC13" i="35"/>
  <c r="J16" i="35"/>
  <c r="AC16" i="35"/>
  <c r="J18" i="35"/>
  <c r="AC18"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3" i="35"/>
  <c r="D3" i="35"/>
  <c r="B2" i="35"/>
  <c r="E10" i="12"/>
  <c r="C6" i="12"/>
  <c r="K6" i="1"/>
  <c r="M6" i="1"/>
  <c r="O6" i="1"/>
  <c r="P6" i="1"/>
  <c r="O7" i="1"/>
  <c r="P7" i="1"/>
  <c r="L8" i="1"/>
  <c r="K8" i="1"/>
  <c r="M8" i="1"/>
  <c r="O8" i="1"/>
  <c r="P8" i="1"/>
  <c r="O14" i="1"/>
  <c r="P14" i="1"/>
  <c r="K9" i="1"/>
  <c r="M9"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C11" i="3"/>
  <c r="BD11" i="3"/>
  <c r="BB11" i="3"/>
  <c r="BE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C19" i="9"/>
  <c r="G7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3" i="46"/>
  <c r="B73" i="39"/>
  <c r="E9" i="39"/>
  <c r="F9" i="39"/>
  <c r="AA9" i="39"/>
  <c r="D91" i="39"/>
  <c r="E91" i="39"/>
  <c r="F17" i="39"/>
  <c r="AA17" i="39"/>
  <c r="D97" i="39"/>
  <c r="E97" i="39"/>
  <c r="F23" i="39"/>
  <c r="AA23" i="39"/>
  <c r="D99" i="39"/>
  <c r="E99" i="39"/>
  <c r="F25" i="39"/>
  <c r="AA25" i="39"/>
  <c r="D101" i="39"/>
  <c r="E101" i="39"/>
  <c r="F27" i="39"/>
  <c r="AA27" i="39"/>
  <c r="D103" i="39"/>
  <c r="E103" i="39"/>
  <c r="F29" i="39"/>
  <c r="AA29" i="39"/>
  <c r="R48" i="39"/>
  <c r="B86" i="39"/>
  <c r="F15" i="39"/>
  <c r="AA15" i="39"/>
  <c r="I4" i="6"/>
  <c r="C13" i="39"/>
  <c r="D83" i="39"/>
  <c r="E83" i="39"/>
  <c r="E13" i="39"/>
  <c r="F13" i="39"/>
  <c r="AA13" i="39"/>
  <c r="B84" i="39"/>
  <c r="F14" i="39"/>
  <c r="AA14" i="39"/>
  <c r="B88" i="39"/>
  <c r="F16" i="39"/>
  <c r="AA16" i="39"/>
  <c r="D105" i="39"/>
  <c r="F31" i="39"/>
  <c r="AA31" i="39"/>
  <c r="D109" i="39"/>
  <c r="E109" i="39"/>
  <c r="F109" i="39"/>
  <c r="G109" i="39"/>
  <c r="F34" i="39"/>
  <c r="AA34" i="39"/>
  <c r="G9" i="39"/>
  <c r="H9" i="39"/>
  <c r="AB9" i="39"/>
  <c r="H17" i="39"/>
  <c r="AB17" i="39"/>
  <c r="H23" i="39"/>
  <c r="AB23" i="39"/>
  <c r="H25" i="39"/>
  <c r="AB25" i="39"/>
  <c r="H27" i="39"/>
  <c r="AB27" i="39"/>
  <c r="H29" i="39"/>
  <c r="AB29" i="39"/>
  <c r="T48" i="39"/>
  <c r="H15" i="39"/>
  <c r="AB15" i="39"/>
  <c r="G13" i="39"/>
  <c r="H13" i="39"/>
  <c r="AB13" i="39"/>
  <c r="H14" i="39"/>
  <c r="AB14" i="39"/>
  <c r="H16" i="39"/>
  <c r="AB16" i="39"/>
  <c r="H31" i="39"/>
  <c r="AB31" i="39"/>
  <c r="H34" i="39"/>
  <c r="AB34" i="39"/>
  <c r="I9" i="39"/>
  <c r="J9" i="39"/>
  <c r="AC9" i="39"/>
  <c r="J17" i="39"/>
  <c r="AC17" i="39"/>
  <c r="J23" i="39"/>
  <c r="AC23" i="39"/>
  <c r="J25" i="39"/>
  <c r="AC25" i="39"/>
  <c r="J27" i="39"/>
  <c r="AC27" i="39"/>
  <c r="J29" i="39"/>
  <c r="AC29" i="39"/>
  <c r="V48" i="39"/>
  <c r="J15" i="39"/>
  <c r="AC15" i="39"/>
  <c r="I13" i="39"/>
  <c r="J13" i="39"/>
  <c r="AC13" i="39"/>
  <c r="J14" i="39"/>
  <c r="AC14" i="39"/>
  <c r="J16" i="39"/>
  <c r="AC16" i="39"/>
  <c r="J31" i="39"/>
  <c r="AC31" i="39"/>
  <c r="J34" i="39"/>
  <c r="AC34" i="39"/>
  <c r="E58" i="39"/>
  <c r="E11" i="6"/>
  <c r="E63" i="39"/>
  <c r="E12" i="6"/>
  <c r="E64" i="39"/>
  <c r="E13" i="6"/>
  <c r="E65" i="39"/>
  <c r="E14" i="6"/>
  <c r="E66" i="39"/>
  <c r="E15" i="6"/>
  <c r="E67" i="39"/>
  <c r="F29" i="6"/>
  <c r="F30" i="6"/>
  <c r="F31" i="6"/>
  <c r="C8" i="12"/>
  <c r="Q18" i="1"/>
  <c r="C38" i="9"/>
  <c r="B37" i="9"/>
  <c r="C37" i="9"/>
  <c r="E37" i="9"/>
  <c r="B38" i="9"/>
  <c r="E38" i="9"/>
  <c r="G35" i="9"/>
  <c r="C9" i="12"/>
  <c r="B3" i="15"/>
  <c r="D8" i="12"/>
  <c r="E8" i="12"/>
  <c r="G49" i="35"/>
  <c r="H49" i="35"/>
  <c r="I49" i="35"/>
  <c r="J49" i="35"/>
  <c r="K49" i="35"/>
  <c r="D119" i="39"/>
  <c r="E119" i="39"/>
  <c r="F119" i="39"/>
  <c r="G119" i="39"/>
  <c r="H119" i="39"/>
  <c r="I73" i="39"/>
  <c r="M73" i="39"/>
  <c r="C40" i="39"/>
  <c r="I40" i="39"/>
  <c r="G40" i="39"/>
  <c r="E40" i="39"/>
  <c r="D19" i="4"/>
  <c r="C12" i="39"/>
  <c r="I7" i="39"/>
  <c r="G29" i="6"/>
  <c r="E29" i="6"/>
  <c r="K15" i="1"/>
  <c r="K16" i="1"/>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E26" i="59"/>
  <c r="E27" i="59"/>
  <c r="E28"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F9" i="1"/>
  <c r="AP9" i="1"/>
  <c r="F19" i="4"/>
  <c r="F8" i="1"/>
  <c r="AP8" i="1"/>
  <c r="E19" i="4"/>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E96" i="35"/>
  <c r="F96" i="35"/>
  <c r="G96" i="35"/>
  <c r="F84" i="35"/>
  <c r="G84" i="35"/>
  <c r="H84" i="35"/>
  <c r="I84" i="35"/>
  <c r="J84" i="35"/>
  <c r="K84" i="35"/>
  <c r="L84" i="35"/>
  <c r="M84" i="35"/>
  <c r="D80"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N9"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U11" i="39"/>
  <c r="U41" i="39"/>
  <c r="U23" i="39"/>
  <c r="AB38" i="39"/>
  <c r="U31" i="39"/>
  <c r="S25" i="39"/>
  <c r="S38" i="39"/>
  <c r="S22" i="31"/>
  <c r="D18" i="9"/>
  <c r="M44" i="9"/>
  <c r="M43" i="9"/>
  <c r="B22" i="63"/>
  <c r="M20" i="15"/>
  <c r="D96" i="9"/>
  <c r="M18" i="15"/>
  <c r="A18" i="64"/>
  <c r="B74" i="63"/>
  <c r="C53" i="10"/>
  <c r="A25" i="64"/>
  <c r="A18" i="51"/>
  <c r="B14" i="63"/>
  <c r="F3" i="35"/>
  <c r="K1" i="43"/>
  <c r="K1" i="12"/>
  <c r="G1" i="44"/>
  <c r="G3" i="46"/>
  <c r="G28" i="12"/>
  <c r="G22" i="43"/>
  <c r="G26" i="12"/>
  <c r="D24" i="44"/>
  <c r="D26" i="44"/>
  <c r="G27" i="12"/>
  <c r="G23" i="43"/>
  <c r="G21" i="43"/>
  <c r="N8" i="46"/>
  <c r="N4" i="46"/>
  <c r="N1" i="46"/>
  <c r="F47" i="46"/>
  <c r="M9" i="46"/>
  <c r="M2" i="46"/>
  <c r="N11"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G9" i="1"/>
  <c r="G8" i="1"/>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21" i="52"/>
  <c r="E4" i="4"/>
  <c r="E11" i="52"/>
  <c r="C4" i="4"/>
  <c r="G66" i="36"/>
  <c r="J18" i="36"/>
  <c r="AE8" i="1"/>
  <c r="AE6" i="1"/>
  <c r="W18" i="36"/>
  <c r="AC18" i="36"/>
  <c r="AG6" i="1"/>
  <c r="D12" i="11"/>
  <c r="C12" i="11"/>
  <c r="D16" i="43"/>
  <c r="C16" i="43"/>
  <c r="L19" i="6"/>
  <c r="L27" i="6"/>
  <c r="B21" i="55"/>
  <c r="B72" i="63"/>
  <c r="B20" i="55"/>
  <c r="B70" i="63"/>
  <c r="L38" i="9"/>
  <c r="B14" i="66"/>
  <c r="B1" i="66"/>
  <c r="C45" i="9"/>
  <c r="H14" i="66"/>
  <c r="B7" i="66"/>
  <c r="C7" i="66"/>
  <c r="R9"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5" i="46"/>
  <c r="P24" i="46"/>
  <c r="B68" i="40"/>
  <c r="E22" i="52"/>
  <c r="B22" i="52"/>
  <c r="B10" i="52"/>
  <c r="B11" i="52"/>
  <c r="B4" i="52"/>
  <c r="E9"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5" i="52"/>
  <c r="E13" i="52"/>
  <c r="B14" i="52"/>
  <c r="E8" i="52"/>
  <c r="E16" i="52"/>
  <c r="B5" i="52"/>
  <c r="B9" i="52"/>
  <c r="B16" i="52"/>
  <c r="B8" i="52"/>
  <c r="B13" i="52"/>
  <c r="E10" i="52"/>
  <c r="C18" i="44"/>
  <c r="F33" i="44"/>
  <c r="J7" i="65"/>
  <c r="J5" i="65"/>
  <c r="J6" i="65"/>
  <c r="F31" i="15"/>
  <c r="F58" i="15"/>
  <c r="I7" i="65"/>
  <c r="I4" i="65"/>
  <c r="J3" i="65"/>
  <c r="I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102" i="46"/>
  <c r="G102" i="46"/>
  <c r="J102" i="46"/>
  <c r="C103" i="46"/>
  <c r="G103" i="46"/>
  <c r="J103" i="46"/>
  <c r="L103" i="46"/>
  <c r="C104" i="46"/>
  <c r="G104" i="46"/>
  <c r="J104" i="46"/>
  <c r="C105" i="46"/>
  <c r="G105" i="46"/>
  <c r="J105" i="46"/>
  <c r="C106" i="46"/>
  <c r="G106" i="46"/>
  <c r="J106" i="46"/>
  <c r="C107" i="46"/>
  <c r="G107" i="46"/>
  <c r="J107" i="46"/>
  <c r="L107" i="46"/>
  <c r="C23" i="46"/>
  <c r="C21"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9" i="46"/>
  <c r="K109"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C19" i="11"/>
  <c r="C20" i="11"/>
  <c r="C21" i="11"/>
  <c r="C22" i="11"/>
  <c r="C23" i="11"/>
  <c r="B2" i="11"/>
  <c r="S5" i="46"/>
  <c r="S2" i="46"/>
  <c r="S3" i="46"/>
  <c r="S7" i="46"/>
  <c r="S6" i="46"/>
  <c r="S4" i="46"/>
  <c r="K27" i="6"/>
  <c r="E63" i="40"/>
  <c r="C22" i="4"/>
  <c r="D25" i="6"/>
  <c r="D10" i="6"/>
  <c r="D13" i="6"/>
  <c r="H24" i="6"/>
  <c r="D6" i="6"/>
  <c r="D23" i="6"/>
  <c r="D14" i="6"/>
  <c r="D28" i="6"/>
  <c r="D8" i="6"/>
  <c r="H23" i="6"/>
  <c r="E45" i="9"/>
  <c r="F45" i="9"/>
  <c r="E68" i="39"/>
  <c r="K38" i="9"/>
  <c r="C14" i="66"/>
  <c r="B2" i="66"/>
  <c r="D24" i="6"/>
  <c r="D26" i="6"/>
  <c r="H26" i="6"/>
  <c r="R26" i="6"/>
  <c r="D22" i="6"/>
  <c r="D11" i="6"/>
  <c r="D12" i="6"/>
  <c r="H25" i="6"/>
  <c r="D9" i="6"/>
  <c r="D5" i="6"/>
  <c r="D29" i="6"/>
  <c r="H22" i="6"/>
  <c r="D15" i="6"/>
  <c r="F46" i="9"/>
  <c r="E46" i="9"/>
  <c r="G52" i="37"/>
  <c r="H7" i="34"/>
  <c r="J7" i="34"/>
  <c r="R49" i="33"/>
  <c r="E48" i="33"/>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2" i="6"/>
  <c r="R23" i="6"/>
  <c r="R25" i="6"/>
  <c r="D27" i="6"/>
  <c r="M27" i="6"/>
  <c r="D7" i="66"/>
  <c r="D8" i="66"/>
  <c r="A6" i="51"/>
  <c r="B7" i="63"/>
  <c r="A6" i="64"/>
  <c r="A20" i="64"/>
  <c r="A20" i="51"/>
  <c r="B15" i="63"/>
  <c r="N5" i="54"/>
  <c r="B43" i="63"/>
  <c r="T13" i="1"/>
  <c r="M16" i="1"/>
  <c r="T9" i="1"/>
  <c r="T11" i="1"/>
  <c r="T12" i="1"/>
  <c r="O16" i="1"/>
  <c r="T10" i="1"/>
  <c r="T6" i="1"/>
  <c r="T8"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E36" i="36"/>
  <c r="R37" i="36"/>
  <c r="Q68" i="44"/>
  <c r="Q77" i="44"/>
  <c r="Q59" i="44"/>
  <c r="Q64" i="44"/>
  <c r="H67" i="40"/>
  <c r="I65" i="40"/>
  <c r="G39" i="46"/>
  <c r="I39" i="46"/>
  <c r="E39" i="46"/>
  <c r="E38" i="46"/>
  <c r="G38" i="46"/>
  <c r="I38" i="46"/>
  <c r="E33" i="46"/>
  <c r="E36" i="46"/>
  <c r="E37" i="46"/>
  <c r="C26" i="46"/>
  <c r="G33" i="46"/>
  <c r="I33" i="46"/>
  <c r="G37" i="46"/>
  <c r="I37" i="46"/>
  <c r="G36" i="46"/>
  <c r="I36" i="46"/>
  <c r="I5" i="6"/>
  <c r="C27" i="46"/>
  <c r="C21" i="44"/>
  <c r="C22" i="44"/>
  <c r="C25" i="44"/>
  <c r="C14" i="43"/>
  <c r="C17" i="43"/>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52" i="37"/>
  <c r="B3" i="46"/>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I38" i="35"/>
  <c r="W7" i="35"/>
  <c r="L52" i="37"/>
  <c r="K67" i="40"/>
  <c r="L65" i="40"/>
  <c r="B3" i="67"/>
  <c r="C55" i="15"/>
  <c r="C64" i="15"/>
  <c r="C63" i="15"/>
  <c r="Q71" i="15"/>
  <c r="J16" i="15"/>
  <c r="J25" i="15"/>
  <c r="B4" i="43"/>
  <c r="B5" i="43"/>
  <c r="B3" i="43"/>
  <c r="Q72" i="44"/>
  <c r="C39" i="44"/>
  <c r="C32" i="44"/>
  <c r="C42" i="44"/>
  <c r="C43" i="44"/>
  <c r="J24" i="44"/>
  <c r="J15" i="44"/>
  <c r="J25" i="44"/>
  <c r="G38" i="35"/>
  <c r="U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D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L44" i="9"/>
  <c r="B3" i="39"/>
  <c r="D20" i="9"/>
  <c r="G20" i="9"/>
  <c r="D22" i="9"/>
  <c r="B4" i="39"/>
  <c r="D21" i="9"/>
  <c r="G21" i="9"/>
  <c r="C6" i="66"/>
  <c r="M83" i="9"/>
  <c r="N83" i="9"/>
  <c r="M84" i="9"/>
  <c r="N84" i="9"/>
  <c r="M85" i="9"/>
  <c r="N85" i="9"/>
  <c r="M86" i="9"/>
  <c r="N86" i="9"/>
  <c r="M87" i="9"/>
  <c r="N87" i="9"/>
  <c r="M88" i="9"/>
  <c r="N88" i="9"/>
  <c r="N89" i="9"/>
  <c r="O89" i="9"/>
  <c r="O39" i="9"/>
  <c r="R6" i="54"/>
  <c r="B50" i="63"/>
  <c r="K29" i="9"/>
  <c r="K30" i="9"/>
  <c r="D44" i="9"/>
  <c r="K2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<sst xmlns="http://schemas.openxmlformats.org/spreadsheetml/2006/main" count="7383" uniqueCount="3285">
  <si>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</si>
  <si>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</si>
  <si>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</si>
  <si>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</si>
  <si>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</si>
  <si>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</si>
  <si>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</si>
  <si>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</si>
  <si>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</si>
  <si>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</si>
  <si>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</si>
  <si>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</si>
  <si>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</si>
  <si>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</si>
  <si>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</si>
  <si>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</si>
  <si>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</si>
  <si>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</si>
  <si>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</si>
  <si>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</si>
  <si>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</si>
  <si>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</si>
  <si>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</si>
  <si>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</si>
  <si>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</si>
  <si>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</si>
  <si>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</si>
  <si>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</si>
  <si>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</si>
  <si>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</si>
  <si>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</si>
  <si>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</si>
  <si>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</si>
  <si>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</si>
  <si>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</si>
  <si>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</si>
  <si>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</si>
  <si>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</si>
  <si>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</si>
  <si>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</si>
  <si>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</si>
  <si>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</si>
  <si>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</si>
  <si>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</si>
  <si>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</si>
  <si>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</si>
  <si>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</si>
  <si>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</si>
  <si>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</si>
  <si>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</si>
  <si>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</si>
  <si>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</si>
  <si>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</si>
  <si>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</si>
  <si>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</si>
  <si>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</si>
  <si>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</si>
  <si>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</si>
  <si>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</si>
  <si>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</si>
  <si>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</si>
  <si>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</si>
  <si>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</si>
  <si>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</si>
  <si>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</si>
  <si>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</si>
  <si>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</si>
  <si>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</si>
  <si>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</si>
  <si>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</si>
  <si>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</si>
  <si>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</si>
  <si>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</si>
  <si>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</si>
  <si>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</si>
  <si>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</si>
  <si>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</si>
  <si>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</si>
  <si>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</si>
  <si>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</si>
  <si>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</si>
  <si>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</si>
  <si>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</si>
  <si>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</si>
  <si>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</si>
  <si>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</si>
  <si>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</si>
  <si>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</si>
  <si>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</si>
  <si>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</si>
  <si>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</si>
  <si>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</si>
  <si>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</si>
  <si>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</si>
  <si>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</si>
  <si>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</si>
  <si>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</si>
  <si>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</si>
  <si>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</si>
  <si>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</si>
  <si>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</si>
  <si>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</si>
  <si>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</si>
  <si>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</si>
  <si>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</si>
  <si>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</si>
  <si>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</si>
  <si>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</si>
  <si>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</si>
  <si>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</si>
  <si>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</si>
  <si>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</si>
  <si>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</si>
  <si>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</si>
  <si>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</si>
  <si>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</si>
  <si>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</si>
  <si>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</si>
  <si>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</si>
  <si>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</si>
  <si>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</si>
  <si>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</si>
  <si>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</si>
  <si>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</si>
  <si>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</si>
  <si>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</si>
  <si>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</si>
  <si>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</si>
  <si>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</si>
  <si>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</si>
  <si>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</si>
  <si>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</si>
  <si>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</si>
  <si>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</si>
  <si>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</si>
  <si>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</si>
  <si>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</si>
  <si>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</si>
  <si>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</si>
  <si>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</si>
  <si>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</si>
  <si>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</si>
  <si>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</si>
  <si>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</si>
  <si>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</si>
  <si>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</si>
  <si>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</si>
  <si>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</si>
  <si>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</si>
  <si>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</si>
  <si>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</si>
  <si>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</si>
  <si>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</si>
  <si>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</si>
  <si>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</si>
  <si>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</si>
  <si>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</si>
  <si>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</si>
  <si>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</si>
  <si>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</si>
  <si>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</si>
  <si>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</si>
  <si>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</si>
  <si>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</si>
  <si>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</si>
  <si>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</si>
  <si>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</si>
  <si>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</si>
  <si>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</si>
  <si>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</si>
  <si>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</si>
  <si>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</si>
  <si>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</si>
  <si>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</si>
  <si>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</si>
  <si>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</si>
  <si>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</si>
  <si>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</si>
  <si>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</si>
  <si>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</si>
  <si>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</si>
  <si>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</si>
  <si>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</si>
  <si>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</si>
  <si>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</si>
  <si>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</si>
  <si>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</si>
  <si>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</si>
  <si>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</si>
  <si>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</si>
  <si>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</si>
  <si>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</si>
  <si>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</si>
  <si>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</si>
  <si>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</si>
  <si>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</si>
  <si>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</si>
  <si>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</si>
  <si>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</si>
  <si>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</si>
  <si>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</si>
  <si>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</si>
  <si>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</si>
  <si>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</si>
  <si>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</si>
  <si>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</si>
  <si>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</si>
  <si>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</si>
  <si>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</si>
  <si>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</si>
  <si>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</si>
  <si>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</si>
  <si>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</si>
  <si>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</si>
  <si>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</si>
  <si>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</si>
  <si>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</si>
  <si>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</si>
  <si>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</si>
  <si>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</si>
  <si>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</si>
  <si>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</si>
  <si>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</si>
  <si>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</si>
  <si>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</si>
  <si>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</si>
  <si>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</si>
  <si>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</si>
  <si>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</si>
  <si>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</si>
  <si>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</si>
  <si>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</si>
  <si>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</si>
  <si>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</si>
  <si>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</si>
  <si>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</si>
  <si>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</si>
  <si>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</si>
  <si>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</si>
  <si>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</si>
  <si>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</si>
  <si>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</si>
  <si>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</si>
  <si>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</si>
  <si>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</si>
  <si>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</si>
  <si>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</si>
  <si>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</si>
  <si>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</si>
  <si>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</si>
  <si>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</si>
  <si>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</si>
  <si>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</si>
  <si>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</si>
  <si>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</si>
  <si>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</si>
  <si>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</si>
  <si>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</si>
  <si>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</si>
  <si>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</si>
  <si>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</si>
  <si>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</si>
  <si>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</si>
  <si>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</si>
  <si>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</si>
  <si>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</si>
  <si>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</si>
  <si>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</si>
  <si>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</si>
  <si>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</si>
  <si>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</si>
  <si>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</si>
  <si>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</si>
  <si>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</si>
  <si>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</si>
  <si>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</si>
  <si>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</si>
  <si>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</si>
  <si>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</si>
  <si>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</si>
  <si>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</si>
  <si>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</si>
  <si>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</si>
  <si>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</si>
  <si>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</si>
  <si>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</si>
  <si>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</si>
  <si>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</si>
  <si>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</si>
  <si>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</si>
  <si>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</si>
  <si>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</si>
  <si>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</si>
  <si>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</si>
  <si>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</si>
  <si>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</si>
  <si>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</si>
  <si>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</si>
  <si>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</si>
  <si>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</si>
  <si>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</si>
  <si>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</si>
  <si>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</si>
  <si>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</si>
  <si>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</si>
  <si>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</si>
  <si>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</si>
  <si>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</si>
  <si>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</si>
  <si>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</si>
  <si>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</si>
  <si>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</si>
  <si>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</si>
  <si>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</si>
  <si>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</si>
  <si>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</si>
  <si>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</si>
  <si>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</si>
  <si>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</si>
  <si>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</si>
  <si>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</si>
  <si>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</si>
  <si>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</si>
  <si>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</si>
  <si>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</si>
  <si>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</si>
  <si>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</si>
  <si>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</si>
  <si>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</si>
  <si>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</si>
  <si>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</si>
  <si>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</si>
  <si>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</si>
  <si>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</si>
  <si>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</si>
  <si>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</si>
  <si>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</si>
  <si>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</si>
  <si>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</si>
  <si>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</si>
  <si>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</si>
  <si>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</si>
  <si>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</si>
  <si>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</si>
  <si>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</si>
  <si>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</si>
  <si>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</si>
  <si>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</si>
  <si>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</si>
  <si>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</si>
  <si>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</si>
  <si>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</si>
  <si>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</si>
  <si>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</si>
  <si>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</si>
  <si>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</si>
  <si>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</si>
  <si>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</si>
  <si>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</si>
  <si>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</si>
  <si>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</si>
  <si>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</si>
  <si>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</si>
  <si>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</si>
  <si>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</si>
  <si>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</si>
  <si>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</si>
  <si>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</si>
  <si>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</si>
  <si>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</si>
  <si>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</si>
  <si>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</si>
  <si>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</si>
  <si>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</si>
  <si>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</si>
  <si>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</si>
  <si>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</si>
  <si>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</si>
  <si>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</si>
  <si>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</si>
  <si>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</si>
  <si>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</si>
  <si>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</si>
  <si>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</si>
  <si>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</si>
  <si>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</si>
  <si>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</si>
  <si>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</si>
  <si>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</si>
  <si>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</si>
  <si>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</si>
  <si>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</si>
  <si>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</si>
  <si>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</si>
  <si>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</si>
  <si>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</si>
  <si>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</si>
  <si>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</si>
  <si>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</si>
  <si>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</si>
  <si>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</si>
  <si>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</si>
  <si>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</si>
  <si>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</si>
  <si>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</si>
  <si>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</si>
  <si>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</si>
  <si>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</si>
  <si>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</si>
  <si>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</si>
  <si>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</si>
  <si>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</si>
  <si>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</si>
  <si>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</si>
  <si>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</si>
  <si>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</si>
  <si>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</si>
  <si>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</si>
  <si>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</si>
  <si>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</si>
  <si>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</si>
  <si>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</si>
  <si>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</si>
  <si>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</si>
  <si>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</si>
  <si>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</si>
  <si>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</si>
  <si>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</si>
  <si>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</si>
  <si>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</si>
  <si>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</si>
  <si>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</si>
  <si>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</si>
  <si>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</si>
  <si>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</si>
  <si>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</si>
  <si>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</si>
  <si>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</si>
  <si>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</si>
  <si>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</si>
  <si>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</si>
  <si>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</si>
  <si>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</si>
  <si>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</si>
  <si>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</si>
  <si>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</si>
  <si>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</si>
  <si>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</si>
  <si>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</si>
  <si>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</si>
  <si>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</si>
  <si>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</si>
  <si>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</si>
  <si>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</si>
  <si>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</si>
  <si>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</si>
  <si>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</si>
  <si>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</si>
  <si>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</si>
  <si>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</si>
  <si>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</si>
  <si>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</si>
  <si>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</si>
  <si>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</si>
  <si>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</si>
  <si>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</si>
  <si>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</si>
  <si>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</si>
  <si>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</si>
  <si>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</si>
  <si>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</si>
  <si>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</si>
  <si>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</si>
  <si>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</si>
  <si>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</si>
  <si>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</si>
  <si>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</si>
  <si>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</si>
  <si>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</si>
  <si>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</si>
  <si>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</si>
  <si>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</si>
  <si>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</si>
  <si>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</si>
  <si>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</si>
  <si>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</si>
  <si>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</si>
  <si>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</si>
  <si>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</si>
  <si>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</si>
  <si>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</si>
  <si>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</si>
  <si>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</si>
  <si>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</si>
  <si>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</si>
  <si>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</si>
  <si>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</si>
  <si>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</si>
  <si>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</si>
  <si>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</si>
  <si>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</si>
  <si>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</si>
  <si>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</si>
  <si>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</si>
  <si>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</si>
  <si>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</si>
  <si>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</si>
  <si>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</si>
  <si>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</si>
  <si>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</si>
  <si>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</si>
  <si>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</si>
  <si>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</si>
  <si>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</si>
  <si>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</si>
  <si>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</si>
  <si>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</si>
  <si>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</si>
  <si>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</si>
  <si>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</si>
  <si>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</si>
  <si>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</si>
  <si>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</si>
  <si>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</si>
  <si>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</si>
  <si>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</si>
  <si>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</si>
  <si>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</si>
  <si>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</si>
  <si>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</si>
  <si>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</si>
  <si>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</si>
  <si>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</si>
  <si>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</si>
  <si>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</si>
  <si>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</si>
  <si>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</si>
  <si>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</si>
  <si>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</si>
  <si>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</si>
  <si>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</si>
  <si>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</si>
  <si>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</si>
  <si>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</si>
  <si>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</si>
  <si>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</si>
  <si>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</si>
  <si>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</si>
  <si>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</si>
  <si>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</si>
  <si>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</si>
  <si>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</si>
  <si>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</si>
  <si>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</si>
  <si>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</si>
  <si>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</si>
  <si>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</si>
  <si>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</si>
  <si>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</si>
  <si>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</si>
  <si>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</si>
  <si>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</si>
  <si>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</si>
  <si>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</si>
  <si>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</si>
  <si>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</si>
  <si>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</si>
  <si>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</si>
  <si>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</si>
  <si>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</si>
  <si>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</si>
  <si>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</si>
  <si>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</si>
  <si>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</si>
  <si>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</si>
  <si>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</si>
  <si>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</si>
  <si>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</si>
  <si>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</si>
  <si>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</si>
  <si>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</si>
  <si>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</si>
  <si>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</si>
  <si>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</si>
  <si>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</si>
  <si>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</si>
  <si>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</si>
  <si>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</si>
  <si>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</si>
  <si>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</si>
  <si>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</si>
  <si>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</si>
  <si>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</si>
  <si>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</si>
  <si>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</si>
  <si>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</si>
  <si>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</si>
  <si>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</si>
  <si>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</si>
  <si>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</si>
  <si>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</si>
  <si>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</si>
  <si>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</si>
  <si>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</si>
  <si>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</si>
  <si>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</si>
  <si>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</si>
  <si>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</si>
  <si>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</si>
  <si>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</si>
  <si>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</si>
  <si>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</si>
  <si>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</si>
  <si>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</si>
  <si>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</si>
  <si>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</si>
  <si>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</si>
  <si>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</si>
  <si>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</si>
  <si>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</si>
  <si>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</si>
  <si>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</si>
  <si>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</si>
  <si>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</si>
  <si>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</si>
  <si>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</si>
  <si>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</si>
  <si>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</si>
  <si>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</si>
  <si>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</si>
  <si>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</si>
  <si>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</si>
  <si>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</si>
  <si>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</si>
  <si>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</si>
  <si>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</si>
  <si>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</si>
  <si>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</si>
  <si>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</si>
  <si>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</si>
  <si>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</si>
  <si>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</si>
  <si>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</si>
  <si>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</si>
  <si>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</si>
  <si>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</si>
  <si>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</si>
  <si>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</si>
  <si>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</si>
  <si>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</si>
  <si>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</si>
  <si>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</si>
  <si>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</si>
  <si>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</si>
  <si>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</si>
  <si>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</si>
  <si>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</si>
  <si>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</si>
  <si>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</si>
  <si>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</si>
  <si>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</si>
  <si>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</si>
  <si>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</si>
  <si>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</si>
  <si>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</si>
  <si>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</si>
  <si>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</si>
  <si>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</si>
  <si>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</si>
  <si>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</si>
  <si>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</si>
  <si>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</si>
  <si>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</si>
  <si>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</si>
  <si>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</si>
  <si>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</si>
  <si>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</si>
  <si>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</si>
  <si>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</si>
  <si>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</si>
  <si>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</si>
  <si>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</si>
  <si>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</si>
  <si>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</si>
  <si>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</si>
  <si>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</si>
  <si>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</si>
  <si>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</si>
  <si>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</si>
  <si>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</si>
  <si>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</si>
  <si>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</si>
  <si>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</si>
  <si>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</si>
  <si>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</si>
  <si>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</si>
  <si>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</si>
  <si>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</si>
  <si>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</si>
  <si>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</si>
  <si>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</si>
  <si>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</si>
  <si>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</si>
  <si>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</si>
  <si>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</si>
  <si>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</si>
  <si>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</si>
  <si>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</si>
  <si>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</si>
  <si>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</si>
  <si>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</si>
  <si>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</si>
  <si>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</si>
  <si>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</si>
  <si>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</si>
  <si>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</si>
  <si>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</si>
  <si>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</si>
  <si>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</si>
  <si>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</si>
  <si>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</si>
  <si>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</si>
  <si>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</si>
  <si>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</si>
  <si>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</si>
  <si>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</si>
  <si>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</si>
  <si>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</si>
  <si>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</si>
  <si>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</si>
  <si>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</si>
  <si>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</si>
  <si>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</si>
  <si>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</si>
  <si>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</si>
  <si>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</si>
  <si>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</si>
  <si>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</si>
  <si>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</si>
  <si>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</si>
  <si>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</si>
  <si>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</si>
  <si>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</si>
  <si>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</si>
  <si>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</si>
  <si>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</si>
  <si>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</si>
  <si>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</si>
  <si>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</si>
  <si>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</si>
  <si>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</si>
  <si>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</si>
  <si>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</si>
  <si>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</si>
  <si>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</si>
  <si>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</si>
  <si>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</si>
  <si>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</si>
  <si>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</si>
  <si>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</si>
  <si>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</si>
  <si>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</si>
  <si>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</si>
  <si>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</si>
  <si>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</si>
  <si>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</si>
  <si>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</si>
  <si>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</si>
  <si>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</si>
  <si>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</si>
  <si>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</si>
  <si>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</si>
  <si>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</si>
  <si>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</si>
  <si>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</si>
  <si>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</si>
  <si>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</si>
  <si>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</si>
  <si>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</si>
  <si>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</si>
  <si>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</si>
  <si>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</si>
  <si>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</si>
  <si>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</si>
  <si>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</si>
  <si>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</si>
  <si>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</si>
  <si>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</si>
  <si>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</si>
  <si>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</si>
  <si>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</si>
  <si>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</si>
  <si>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</si>
  <si>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</si>
  <si>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</si>
  <si>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</si>
  <si>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</si>
  <si>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</si>
  <si>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</si>
  <si>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</si>
  <si>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</si>
  <si>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</si>
  <si>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</si>
  <si>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</si>
  <si>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</si>
  <si>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</si>
  <si>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</si>
  <si>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</si>
  <si>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</si>
  <si>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</si>
  <si>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</si>
  <si>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</si>
  <si>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</si>
  <si>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</si>
  <si>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</si>
  <si>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</si>
  <si>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</si>
  <si>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</si>
  <si>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</si>
  <si>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</si>
  <si>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</si>
  <si>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</si>
  <si>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</si>
  <si>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</si>
  <si>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</si>
  <si>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</si>
  <si>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</si>
  <si>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</si>
  <si>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</si>
  <si>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</si>
  <si>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</si>
  <si>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</si>
  <si>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</si>
  <si>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</si>
  <si>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</si>
  <si>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</si>
  <si>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</si>
  <si>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</si>
  <si>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</si>
  <si>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</si>
  <si>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</si>
  <si>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</si>
  <si>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</si>
  <si>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</si>
  <si>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</si>
  <si>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</si>
  <si>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</si>
  <si>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</si>
  <si>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</si>
  <si>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</si>
  <si>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</si>
  <si>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</si>
  <si>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</si>
  <si>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</si>
  <si>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</si>
  <si>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</si>
  <si>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</si>
  <si>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</si>
  <si>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</si>
  <si>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</si>
  <si>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</si>
  <si>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</si>
  <si>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</si>
  <si>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</si>
  <si>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</si>
  <si>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</si>
  <si>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</si>
  <si>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</si>
  <si>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</si>
  <si>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</si>
  <si>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</si>
  <si>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</si>
  <si>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</si>
  <si>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</si>
  <si>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</si>
  <si>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</si>
  <si>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</si>
  <si>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</si>
  <si>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</si>
  <si>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</si>
  <si>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</si>
  <si>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</si>
  <si>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</si>
  <si>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</si>
  <si>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</si>
  <si>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</si>
  <si>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</si>
  <si>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</si>
  <si>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</si>
  <si>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</si>
  <si>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</si>
  <si>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</si>
  <si>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</si>
  <si>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</si>
  <si>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</si>
  <si>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</si>
  <si>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</si>
  <si>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</si>
  <si>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</si>
  <si>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</si>
  <si>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</si>
  <si>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</si>
  <si>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</si>
  <si>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</si>
  <si>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</si>
  <si>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</si>
  <si>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</si>
  <si>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</si>
  <si>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</si>
  <si>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</si>
  <si>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</si>
  <si>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</si>
  <si>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</si>
  <si>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</si>
  <si>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</si>
  <si>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</si>
  <si>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</si>
  <si>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</si>
  <si>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</si>
  <si>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</si>
  <si>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</si>
  <si>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</si>
  <si>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</si>
  <si>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</si>
  <si>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</si>
  <si>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</si>
  <si>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</si>
  <si>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</si>
  <si>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</si>
  <si>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</si>
  <si>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</si>
  <si>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</si>
  <si>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</si>
  <si>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</si>
  <si>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</si>
  <si>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</si>
  <si>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</si>
  <si>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</si>
  <si>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</si>
  <si>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</si>
  <si>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</si>
  <si>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</si>
  <si>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</si>
  <si>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</si>
  <si>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</si>
  <si>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</si>
  <si>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</si>
  <si>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</si>
  <si>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</si>
  <si>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</si>
  <si>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</si>
  <si>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</si>
  <si>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</si>
  <si>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</si>
  <si>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</si>
  <si>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</si>
  <si>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</si>
  <si>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</si>
  <si>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</si>
  <si>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</si>
  <si>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</si>
  <si>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</si>
  <si>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</si>
  <si>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</si>
  <si>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</si>
  <si>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</si>
  <si>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</si>
  <si>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</si>
  <si>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</si>
  <si>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</si>
  <si>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</si>
  <si>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</si>
  <si>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</si>
  <si>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</si>
  <si>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</si>
  <si>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</si>
  <si>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</si>
  <si>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</si>
  <si>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</si>
  <si>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</si>
  <si>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</si>
  <si>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</si>
  <si>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</si>
  <si>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</si>
  <si>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</si>
  <si>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</si>
  <si>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</si>
  <si>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</si>
  <si>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</si>
  <si>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</si>
  <si>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</si>
  <si>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</si>
  <si>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</si>
  <si>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</si>
  <si>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</si>
  <si>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</si>
  <si>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</si>
  <si>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</si>
  <si>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</si>
  <si>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</si>
  <si>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</si>
  <si>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</si>
  <si>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</si>
  <si>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</si>
  <si>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</si>
  <si>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</si>
  <si>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</si>
  <si>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</si>
  <si>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</si>
  <si>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</si>
  <si>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</si>
  <si>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</si>
  <si>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</si>
  <si>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</si>
  <si>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</si>
  <si>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</si>
  <si>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</si>
  <si>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</si>
  <si>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</si>
  <si>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</si>
  <si>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</si>
  <si>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</si>
  <si>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</si>
  <si>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</si>
  <si>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</si>
  <si>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</si>
  <si>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</si>
  <si>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</si>
  <si>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</si>
  <si>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</si>
  <si>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</si>
  <si>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</si>
  <si>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</si>
  <si>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</si>
  <si>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</si>
  <si>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</si>
  <si>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</si>
  <si>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</si>
  <si>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</si>
  <si>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</si>
  <si>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</si>
  <si>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</si>
  <si>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</si>
  <si>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</si>
  <si>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</si>
  <si>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</si>
  <si>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</si>
  <si>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</si>
  <si>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</si>
  <si>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</si>
  <si>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</si>
  <si>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</si>
  <si>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</si>
  <si>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</si>
  <si>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</si>
  <si>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</si>
  <si>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</si>
  <si>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</si>
  <si>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</si>
  <si>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</si>
  <si>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</si>
  <si>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</si>
  <si>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</si>
  <si>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</si>
  <si>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</si>
  <si>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</si>
  <si>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</si>
  <si>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</si>
  <si>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</si>
  <si>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</si>
  <si>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</si>
  <si>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</si>
  <si>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</si>
  <si>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</si>
  <si>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</si>
  <si>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</si>
  <si>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</si>
  <si>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</si>
  <si>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</si>
  <si>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</si>
  <si>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</si>
  <si>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</si>
  <si>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</si>
  <si>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</si>
  <si>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</si>
  <si>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</si>
  <si>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</si>
  <si>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</si>
  <si>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</si>
  <si>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</si>
  <si>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</si>
  <si>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</si>
  <si>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</si>
  <si>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</si>
  <si>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</si>
  <si>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</si>
  <si>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</si>
  <si>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</si>
  <si>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</si>
  <si>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</si>
  <si>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</si>
  <si>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</si>
  <si>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</si>
  <si>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</si>
  <si>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</si>
  <si>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</si>
  <si>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</si>
  <si>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</si>
  <si>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</si>
  <si>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</si>
  <si>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</si>
  <si>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</si>
  <si>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</si>
  <si>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</si>
  <si>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</si>
  <si>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</si>
  <si>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</si>
  <si>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</si>
  <si>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</si>
  <si>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</si>
  <si>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</si>
  <si>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</si>
  <si>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</si>
  <si>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</si>
  <si>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</si>
  <si>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</si>
  <si>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</si>
  <si>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</si>
  <si>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</si>
  <si>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</si>
  <si>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</si>
  <si>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</si>
  <si>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</si>
  <si>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</si>
  <si>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</si>
  <si>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</si>
  <si>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</si>
  <si>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</si>
  <si>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</si>
  <si>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</si>
  <si>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</si>
  <si>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</si>
  <si>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</si>
  <si>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</si>
  <si>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</si>
  <si>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</si>
  <si>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</si>
  <si>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</si>
  <si>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</si>
  <si>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</si>
  <si>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</si>
  <si>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</si>
  <si>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</si>
  <si>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</si>
  <si>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</si>
  <si>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</si>
  <si>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</si>
  <si>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</si>
  <si>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</si>
  <si>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</si>
  <si>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</si>
  <si>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</si>
  <si>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</si>
  <si>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</si>
  <si>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</si>
  <si>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</si>
  <si>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</si>
  <si>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</si>
  <si>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</si>
  <si>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</si>
  <si>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</si>
  <si>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</si>
  <si>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</si>
  <si>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</si>
  <si>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</si>
  <si>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</si>
  <si>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</si>
  <si>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</si>
  <si>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</si>
  <si>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</si>
  <si>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</si>
  <si>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</si>
  <si>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</si>
  <si>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</si>
  <si>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</si>
  <si>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</si>
  <si>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</si>
  <si>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</si>
  <si>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</si>
  <si>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</si>
  <si>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</si>
  <si>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</si>
  <si>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</si>
  <si>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</si>
  <si>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</si>
  <si>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</si>
  <si>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</si>
  <si>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</si>
  <si>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</si>
  <si>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</si>
  <si>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</si>
  <si>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</si>
  <si>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</si>
  <si>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</si>
  <si>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</si>
  <si>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</si>
  <si>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</si>
  <si>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</si>
  <si>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</si>
  <si>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</si>
  <si>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</si>
  <si>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</si>
  <si>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</si>
  <si>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</si>
  <si>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</si>
  <si>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</si>
  <si>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</si>
  <si>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</si>
  <si>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</si>
  <si>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</si>
  <si>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</si>
  <si>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</si>
  <si>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</si>
  <si>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</si>
  <si>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</si>
  <si>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</si>
  <si>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</si>
  <si>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</si>
  <si>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</si>
  <si>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</si>
  <si>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</si>
  <si>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</si>
  <si>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</si>
  <si>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</si>
  <si>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</si>
  <si>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</si>
  <si>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</si>
  <si>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</si>
  <si>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</si>
  <si>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</si>
  <si>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</si>
  <si>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</si>
  <si>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</si>
  <si>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</si>
  <si>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</si>
  <si>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</si>
  <si>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</si>
  <si>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</si>
  <si>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</si>
  <si>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</si>
  <si>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</si>
  <si>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</si>
  <si>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</si>
  <si>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</si>
  <si>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</si>
  <si>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</si>
  <si>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</si>
  <si>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</si>
  <si>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</si>
  <si>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</si>
  <si>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</si>
  <si>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</si>
  <si>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</si>
  <si>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</si>
  <si>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</si>
  <si>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</si>
  <si>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</si>
  <si>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</si>
  <si>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</si>
  <si>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</si>
  <si>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</si>
  <si>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</si>
  <si>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</si>
  <si>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</si>
  <si>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</si>
  <si>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</si>
  <si>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</si>
  <si>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</si>
  <si>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</si>
  <si>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</si>
  <si>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</si>
  <si>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</si>
  <si>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</si>
  <si>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</si>
  <si>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</si>
  <si>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</si>
  <si>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</si>
  <si>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</si>
  <si>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</si>
  <si>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</si>
  <si>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</si>
  <si>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</si>
  <si>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</si>
  <si>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</si>
  <si>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</si>
  <si>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</si>
  <si>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</si>
  <si>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</si>
  <si>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</si>
  <si>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</si>
  <si>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</si>
  <si>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</si>
  <si>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</si>
  <si>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</si>
  <si>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</si>
  <si>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</si>
  <si>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</si>
  <si>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</si>
  <si>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</si>
  <si>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</si>
  <si>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</si>
  <si>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</si>
  <si>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</si>
  <si>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</si>
  <si>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</si>
  <si>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</si>
  <si>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</si>
  <si>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</si>
  <si>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</si>
  <si>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</si>
  <si>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</si>
  <si>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</si>
  <si>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</si>
  <si>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</si>
  <si>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</si>
  <si>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</si>
  <si>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</si>
  <si>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</si>
  <si>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</si>
  <si>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</si>
  <si>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</si>
  <si>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</si>
  <si>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</si>
  <si>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</si>
  <si>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</si>
  <si>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</si>
  <si>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</si>
  <si>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</si>
  <si>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</si>
  <si>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</si>
  <si>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</si>
  <si>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</si>
  <si>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</si>
  <si>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</si>
  <si>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</si>
  <si>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</si>
  <si>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</si>
  <si>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</si>
  <si>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</si>
  <si>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</si>
  <si>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</si>
  <si>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</si>
  <si>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</si>
  <si>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</si>
  <si>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</si>
  <si>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</si>
  <si>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</si>
  <si>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</si>
  <si>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</si>
  <si>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</si>
  <si>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</si>
  <si>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</si>
  <si>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</si>
  <si>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</si>
  <si>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</si>
  <si>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</si>
  <si>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</si>
  <si>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</si>
  <si>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</si>
  <si>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</si>
  <si>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</si>
  <si>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</si>
  <si>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</si>
  <si>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</si>
  <si>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</si>
  <si>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</si>
  <si>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</si>
  <si>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</si>
  <si>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</si>
  <si>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</si>
  <si>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</si>
  <si>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</si>
  <si>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</si>
  <si>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</si>
  <si>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</si>
  <si>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</si>
  <si>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</si>
  <si>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</si>
  <si>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</si>
  <si>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</si>
  <si>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</si>
  <si>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</si>
  <si>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</si>
  <si>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</si>
  <si>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</si>
  <si>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</si>
  <si>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</si>
  <si>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</si>
  <si>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</si>
  <si>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</si>
  <si>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</si>
  <si>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</si>
  <si>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</si>
  <si>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</si>
  <si>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</si>
  <si>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</si>
  <si>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</si>
  <si>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</si>
  <si>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</si>
  <si>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</si>
  <si>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</si>
  <si>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</si>
  <si>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</si>
  <si>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</si>
  <si>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</si>
  <si>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</si>
  <si>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</si>
  <si>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</si>
  <si>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</si>
  <si>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</si>
  <si>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</si>
  <si>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</si>
  <si>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</si>
  <si>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</si>
  <si>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</si>
  <si>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</si>
  <si>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</si>
  <si>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</si>
  <si>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</si>
  <si>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</si>
  <si>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</si>
  <si>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</si>
  <si>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</si>
  <si>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</si>
  <si>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</si>
  <si>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</si>
  <si>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</si>
  <si>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</si>
  <si>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</si>
  <si>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</si>
  <si>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</si>
  <si>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</si>
  <si>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</si>
  <si>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</si>
  <si>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</si>
  <si>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</si>
  <si>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</si>
  <si>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</si>
  <si>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</si>
  <si>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</si>
  <si>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</si>
  <si>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</si>
  <si>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</si>
  <si>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</si>
  <si>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</si>
  <si>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</si>
  <si>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</si>
  <si>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</si>
  <si>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</si>
  <si>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</si>
  <si>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</si>
  <si>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</si>
  <si>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</si>
  <si>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</si>
  <si>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</si>
  <si>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</si>
  <si>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</si>
  <si>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</si>
  <si>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</si>
  <si>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</si>
  <si>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</si>
  <si>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</si>
  <si>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</si>
  <si>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</si>
  <si>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</si>
  <si>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</si>
  <si>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</si>
  <si>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</si>
  <si>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</si>
  <si>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</si>
  <si>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</si>
  <si>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</si>
  <si>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</si>
  <si>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</si>
  <si>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</si>
  <si>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</si>
  <si>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</si>
  <si>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</si>
  <si>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</si>
  <si>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</si>
  <si>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</si>
  <si>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</si>
  <si>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</si>
  <si>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</si>
  <si>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</si>
  <si>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</si>
  <si>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</si>
  <si>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</si>
  <si>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</si>
  <si>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</si>
  <si>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</si>
  <si>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</si>
  <si>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</si>
  <si>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</si>
  <si>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</si>
  <si>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</si>
  <si>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</si>
  <si>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</si>
  <si>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</si>
  <si>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</si>
  <si>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</si>
  <si>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</si>
  <si>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</si>
  <si>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</si>
  <si>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</si>
  <si>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</si>
  <si>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</si>
  <si>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</si>
  <si>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</si>
  <si>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</si>
  <si>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</si>
  <si>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</si>
  <si>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</si>
  <si>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</si>
  <si>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</si>
  <si>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</si>
  <si>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</si>
  <si>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</si>
  <si>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</si>
  <si>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</si>
  <si>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</si>
  <si>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</si>
  <si>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</si>
  <si>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</si>
  <si>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</si>
  <si>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</si>
  <si>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</si>
  <si>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</si>
  <si>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</si>
  <si>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</si>
  <si>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</si>
  <si>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</si>
  <si>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</si>
  <si>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</si>
  <si>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</si>
  <si>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</si>
  <si>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</si>
  <si>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</si>
  <si>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</si>
  <si>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</si>
  <si>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</si>
  <si>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</si>
  <si>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</si>
  <si>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</si>
  <si>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</si>
  <si>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</si>
  <si>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</si>
  <si>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</si>
  <si>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</si>
  <si>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</si>
  <si>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</si>
  <si>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</si>
  <si>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</si>
  <si>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</si>
  <si>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</si>
  <si>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</si>
  <si>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</si>
  <si>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</si>
  <si>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</si>
  <si>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</si>
  <si>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</si>
  <si>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</si>
  <si>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</si>
  <si>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</si>
  <si>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</si>
  <si>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</si>
  <si>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</si>
  <si>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</si>
  <si>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</si>
  <si>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</si>
  <si>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</si>
  <si>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</si>
  <si>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</si>
  <si>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</si>
  <si>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</si>
  <si>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</si>
  <si>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</si>
  <si>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</si>
  <si>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</si>
  <si>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</si>
  <si>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</si>
  <si>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</si>
  <si>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</si>
  <si>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</si>
  <si>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</si>
  <si>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</si>
  <si>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</si>
  <si>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</si>
  <si>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</si>
  <si>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</si>
  <si>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</si>
  <si>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</si>
  <si>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</si>
  <si>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</si>
  <si>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</si>
  <si>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</si>
  <si>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</si>
  <si>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</si>
  <si>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</si>
  <si>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</si>
  <si>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</si>
  <si>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</si>
  <si>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</si>
  <si>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</si>
  <si>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</si>
  <si>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</si>
  <si>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</si>
  <si>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</si>
  <si>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</si>
  <si>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</si>
  <si>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</si>
  <si>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</si>
  <si>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</si>
  <si>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</si>
  <si>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</si>
  <si>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</si>
  <si>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</si>
  <si>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</si>
  <si>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</si>
  <si>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</si>
  <si>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</si>
  <si>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</si>
  <si>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</si>
  <si>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</si>
  <si>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</si>
  <si>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</si>
  <si>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</si>
  <si>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</si>
  <si>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</si>
  <si>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</si>
  <si>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</si>
  <si>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</si>
  <si>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</si>
  <si>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</si>
  <si>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</si>
  <si>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</si>
  <si>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</si>
  <si>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</si>
  <si>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</si>
  <si>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</si>
  <si>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</si>
  <si>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</si>
  <si>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</si>
  <si>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</si>
  <si>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</si>
  <si>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</si>
  <si>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</si>
  <si>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</si>
  <si>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</si>
  <si>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</si>
  <si>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</si>
  <si>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</si>
  <si>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</si>
  <si>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</si>
  <si>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</si>
  <si>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</si>
  <si>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</si>
  <si>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</si>
  <si>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</si>
  <si>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</si>
  <si>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</si>
  <si>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</si>
  <si>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</si>
  <si>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</si>
  <si>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</si>
  <si>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</si>
  <si>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</si>
  <si>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</si>
  <si>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</si>
  <si>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</si>
  <si>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</si>
  <si>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</si>
  <si>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</si>
  <si>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</si>
  <si>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</si>
  <si>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</si>
  <si>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</si>
  <si>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</si>
  <si>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</si>
  <si>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</si>
  <si>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</si>
  <si>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</si>
  <si>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</si>
  <si>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</si>
  <si>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</si>
  <si>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</si>
  <si>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</si>
  <si>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</si>
  <si>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</si>
  <si>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</si>
  <si>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</si>
  <si>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</si>
  <si>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</si>
  <si>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</si>
  <si>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</si>
  <si>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</si>
  <si>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</si>
  <si>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</si>
  <si>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</si>
  <si>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</si>
  <si>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</si>
  <si>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</si>
  <si>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</si>
  <si>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</si>
  <si>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</si>
  <si>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</si>
  <si>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</si>
  <si>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</si>
  <si>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</si>
  <si>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</si>
  <si>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</si>
  <si>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</si>
  <si>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</si>
  <si>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</si>
  <si>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</si>
  <si>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</si>
  <si>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</si>
  <si>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</si>
  <si>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</si>
  <si>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</si>
  <si>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</si>
  <si>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</si>
  <si>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</si>
  <si>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</si>
  <si>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</si>
  <si>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</si>
  <si>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</si>
  <si>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</si>
  <si>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</si>
  <si>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</si>
  <si>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</si>
  <si>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</si>
  <si>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</si>
  <si>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</si>
  <si>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</si>
  <si>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</si>
  <si>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</si>
  <si>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</si>
  <si>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</si>
  <si>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</si>
  <si>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</si>
  <si>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</si>
  <si>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</si>
  <si>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</si>
  <si>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</si>
  <si>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</si>
  <si>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</si>
  <si>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</si>
  <si>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</si>
  <si>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</si>
  <si>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</si>
  <si>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</si>
  <si>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</si>
  <si>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</si>
  <si>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</si>
  <si>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</si>
  <si>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</si>
  <si>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</si>
  <si>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</si>
  <si>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</si>
  <si>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</si>
  <si>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</si>
  <si>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</si>
  <si>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</si>
  <si>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</si>
  <si>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</si>
  <si>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</si>
  <si>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</si>
  <si>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</si>
  <si>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</si>
  <si>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</si>
  <si>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</si>
  <si>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</si>
  <si>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</si>
  <si>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</si>
  <si>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</si>
  <si>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</si>
  <si>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</si>
  <si>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</si>
  <si>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</si>
  <si>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</si>
  <si>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</si>
  <si>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</si>
  <si>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</si>
  <si>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</si>
  <si>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</si>
  <si>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</si>
  <si>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</si>
  <si>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</si>
  <si>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</si>
  <si>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</si>
  <si>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</si>
  <si>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</si>
  <si>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</si>
  <si>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</si>
  <si>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</si>
  <si>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</si>
  <si>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</si>
  <si>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</si>
  <si>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</si>
  <si>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</si>
  <si>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</si>
  <si>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</si>
  <si>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</si>
  <si>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</si>
  <si>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</si>
  <si>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</si>
  <si>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</si>
  <si>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</si>
  <si>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</si>
  <si>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</si>
  <si>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</si>
  <si>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</si>
  <si>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</si>
  <si>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</si>
  <si>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</si>
  <si>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</si>
  <si>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</si>
  <si>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</si>
  <si>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</si>
  <si>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</si>
  <si>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</si>
  <si>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</si>
  <si>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</si>
  <si>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</si>
  <si>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</si>
  <si>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</si>
  <si>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</si>
  <si>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</si>
  <si>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</si>
  <si>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</si>
  <si>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</si>
  <si>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</si>
  <si>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</si>
  <si>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</si>
  <si>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</si>
  <si>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</si>
  <si>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</si>
  <si>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</si>
  <si>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</si>
  <si>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</si>
  <si>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</si>
  <si>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</si>
  <si>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</si>
  <si>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</si>
  <si>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</si>
  <si>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</si>
  <si>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</si>
  <si>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</si>
  <si>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</si>
  <si>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</si>
  <si>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</si>
  <si>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</si>
  <si>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</si>
  <si>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</si>
  <si>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</si>
  <si>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</si>
  <si>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</si>
  <si>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</si>
  <si>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</si>
  <si>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</si>
  <si>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</si>
  <si>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</si>
  <si>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</si>
  <si>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</si>
  <si>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</si>
  <si>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</si>
  <si>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</si>
  <si>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</si>
  <si>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</si>
  <si>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</si>
  <si>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</si>
  <si>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</si>
  <si>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</si>
  <si>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</si>
  <si>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</si>
  <si>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</si>
  <si>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</si>
  <si>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</si>
  <si>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</si>
  <si>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</si>
  <si>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</si>
  <si>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</si>
  <si>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</si>
  <si>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</si>
  <si>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</si>
  <si>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</si>
  <si>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</si>
  <si>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</si>
  <si>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</si>
  <si>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</si>
  <si>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</si>
  <si>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</si>
  <si>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</si>
  <si>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</si>
  <si>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</si>
  <si>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</si>
  <si>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</si>
  <si>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</si>
  <si>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</si>
  <si>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</si>
  <si>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</si>
  <si>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</si>
  <si>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</si>
  <si>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</si>
  <si>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</si>
  <si>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</si>
  <si>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</si>
  <si>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</si>
  <si>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</si>
  <si>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</si>
  <si>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</si>
  <si>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</si>
  <si>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</si>
  <si>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</si>
  <si>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</si>
  <si>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</si>
  <si>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</si>
  <si>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</si>
  <si>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</si>
  <si>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</si>
  <si>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</si>
  <si>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</si>
  <si>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</si>
  <si>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</si>
  <si>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</si>
  <si>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</si>
  <si>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</si>
  <si>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</si>
  <si>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</si>
  <si>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</si>
  <si>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</si>
  <si>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</si>
  <si>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</si>
  <si>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</si>
  <si>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</si>
  <si>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</si>
  <si>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</si>
  <si>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</si>
  <si>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</si>
  <si>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</si>
  <si>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</si>
  <si>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</si>
  <si>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</si>
  <si>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</si>
  <si>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</si>
  <si>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</si>
  <si>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</si>
  <si>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</si>
  <si>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</si>
  <si>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</si>
  <si>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</si>
  <si>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</si>
  <si>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</si>
  <si>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</si>
  <si>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</si>
  <si>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</si>
  <si>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</si>
  <si>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</si>
  <si>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</si>
  <si>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</si>
  <si>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</si>
  <si>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</si>
  <si>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</si>
  <si>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</si>
  <si>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</si>
  <si>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</si>
  <si>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</si>
  <si>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</si>
  <si>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</si>
  <si>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</si>
  <si>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</si>
  <si>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</si>
  <si>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</si>
  <si>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</si>
  <si>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</si>
  <si>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</si>
  <si>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</si>
  <si>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</si>
  <si>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</si>
  <si>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</si>
  <si>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</si>
  <si>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</si>
  <si>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</si>
  <si>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</si>
  <si>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</si>
  <si>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</si>
  <si>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</si>
  <si>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</si>
  <si>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</si>
  <si>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</si>
  <si>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</si>
  <si>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</si>
  <si>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</si>
  <si>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</si>
  <si>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</si>
  <si>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</si>
  <si>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</si>
  <si>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</si>
  <si>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</si>
  <si>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</si>
  <si>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</si>
  <si>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</si>
  <si>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</si>
  <si>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</si>
  <si>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</si>
  <si>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</si>
  <si>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</si>
  <si>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</si>
  <si>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</si>
  <si>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</si>
  <si>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</si>
  <si>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</si>
  <si>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</si>
  <si>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</si>
  <si>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</si>
  <si>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</si>
  <si>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</si>
  <si>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</si>
  <si>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</si>
  <si>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</si>
  <si>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</si>
  <si>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</si>
  <si>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</si>
  <si>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</si>
  <si>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</si>
  <si>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</si>
  <si>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</si>
  <si>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</si>
  <si>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</si>
  <si>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</si>
  <si>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</si>
  <si>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</si>
  <si>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</si>
  <si>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</si>
  <si>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</si>
  <si>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</si>
  <si>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</si>
  <si>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</si>
  <si>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</si>
  <si>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</si>
  <si>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</si>
  <si>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</si>
  <si>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</si>
  <si>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</si>
  <si>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</si>
  <si>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</si>
  <si>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</si>
  <si>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</si>
  <si>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</si>
  <si>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</si>
  <si>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</si>
  <si>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</si>
  <si>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</si>
  <si>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</si>
  <si>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</si>
  <si>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</si>
  <si>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</si>
  <si>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</si>
  <si>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</si>
  <si>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</si>
  <si>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</si>
  <si>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</si>
  <si>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</si>
  <si>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</si>
  <si>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</si>
  <si>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</si>
  <si>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</si>
  <si>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</si>
  <si>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</si>
  <si>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</si>
  <si>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</si>
  <si>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</si>
  <si>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</si>
  <si>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</si>
  <si>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</si>
  <si>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</si>
  <si>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</si>
  <si>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</si>
  <si>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</si>
  <si>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</si>
  <si>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</si>
  <si>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</si>
  <si>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</si>
  <si>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</si>
  <si>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</si>
  <si>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</si>
  <si>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</si>
  <si>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</si>
  <si>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</si>
  <si>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</si>
  <si>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</si>
  <si>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</si>
  <si>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</si>
  <si>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</si>
  <si>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</si>
  <si>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</si>
  <si>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</si>
  <si>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</si>
  <si>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</si>
  <si>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</si>
  <si>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</si>
  <si>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</si>
  <si>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</si>
  <si>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</si>
  <si>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</si>
  <si>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</si>
  <si>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</si>
  <si>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</si>
  <si>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</si>
  <si>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</si>
  <si>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</si>
  <si>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</si>
  <si>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</si>
  <si>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</si>
  <si>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</si>
  <si>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</si>
  <si>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</si>
  <si>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</si>
  <si>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</si>
  <si>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</si>
  <si>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</si>
  <si>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</si>
  <si>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</si>
  <si>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</si>
  <si>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</si>
  <si>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</si>
  <si>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</si>
  <si>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</si>
  <si>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</si>
  <si>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</si>
  <si>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</si>
  <si>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</si>
  <si>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</si>
  <si>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</si>
  <si>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</si>
  <si>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</si>
  <si>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</si>
  <si>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</si>
  <si>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</si>
  <si>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</si>
  <si>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</si>
  <si>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</si>
  <si>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</si>
  <si>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</si>
  <si>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</si>
  <si>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</si>
  <si>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</si>
  <si>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</si>
  <si>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</si>
  <si>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</si>
  <si>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</si>
  <si>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</si>
  <si>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</si>
  <si>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</si>
  <si>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</si>
  <si>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</si>
  <si>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</si>
  <si>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</si>
  <si>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</si>
  <si>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</si>
  <si>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</si>
  <si>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</si>
  <si>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</si>
  <si>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</si>
  <si>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</si>
  <si>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</si>
  <si>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</si>
  <si>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</si>
  <si>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</si>
  <si>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</si>
  <si>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</si>
  <si>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</si>
  <si>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</si>
  <si>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</si>
  <si>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</si>
  <si>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</si>
  <si>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</si>
  <si>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</si>
  <si>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</si>
  <si>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</si>
  <si>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</si>
  <si>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</si>
  <si>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</si>
  <si>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</si>
  <si>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</si>
  <si>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</si>
  <si>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</si>
  <si>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</si>
  <si>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</si>
  <si>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</si>
  <si>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</si>
  <si>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</si>
  <si>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</si>
  <si>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</si>
  <si>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</si>
  <si>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</si>
  <si>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</si>
  <si>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</si>
  <si>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</si>
  <si>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</si>
  <si>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</si>
  <si>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</si>
  <si>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</si>
  <si>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</si>
  <si>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</si>
  <si>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</si>
  <si>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</si>
  <si>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</si>
  <si>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</si>
  <si>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</si>
  <si>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</si>
  <si>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</si>
  <si>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</si>
  <si>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</si>
  <si>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</si>
  <si>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</si>
  <si>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</si>
  <si>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</si>
  <si>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</si>
  <si>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</si>
  <si>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</si>
  <si>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</si>
  <si>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</si>
  <si>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</si>
  <si>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</si>
  <si>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</si>
  <si>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</si>
  <si>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</si>
  <si>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</si>
  <si>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</si>
  <si>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</si>
  <si>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</si>
  <si>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</si>
  <si>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</si>
  <si>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</si>
  <si>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</si>
  <si>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</si>
  <si>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</si>
  <si>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</si>
  <si>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</si>
  <si>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</si>
  <si>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</si>
  <si>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</si>
  <si>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</si>
  <si>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</si>
  <si>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</si>
  <si>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</si>
  <si>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</si>
  <si>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</si>
  <si>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</si>
  <si>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</si>
  <si>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</si>
  <si>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</si>
  <si>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</si>
  <si>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</si>
  <si>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</si>
  <si>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</si>
  <si>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</si>
  <si>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</si>
  <si>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</si>
  <si>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</si>
  <si>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</si>
  <si>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</si>
  <si>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</si>
  <si>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</si>
  <si>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</si>
  <si>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</si>
  <si>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</si>
  <si>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</si>
  <si>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</si>
  <si>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</si>
  <si>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</si>
  <si>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</si>
  <si>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</si>
  <si>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</si>
  <si>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</si>
  <si>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</si>
  <si>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</si>
  <si>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</si>
  <si>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</si>
  <si>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</si>
  <si>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</si>
  <si>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</si>
  <si>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</si>
  <si>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</si>
  <si>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</si>
  <si>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</si>
  <si>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</si>
  <si>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</si>
  <si>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</si>
  <si>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</si>
  <si>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</si>
  <si>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</si>
  <si>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</si>
  <si>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</si>
  <si>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</si>
  <si>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</si>
  <si>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</si>
  <si>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</si>
  <si>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</si>
  <si>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</si>
  <si>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</si>
  <si>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</si>
  <si>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</si>
  <si>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</si>
  <si>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</si>
  <si>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</si>
  <si>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</si>
  <si>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</si>
  <si>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</si>
  <si>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</si>
  <si>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</si>
  <si>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</si>
  <si>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</si>
  <si>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</si>
  <si>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</si>
  <si>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</si>
  <si>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</si>
  <si>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</si>
  <si>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</si>
  <si>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</si>
  <si>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</si>
  <si>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</si>
  <si>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</si>
  <si>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</si>
  <si>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</si>
  <si>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</si>
  <si>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</si>
  <si>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</si>
  <si>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</si>
  <si>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</si>
  <si>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</si>
  <si>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</si>
  <si>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</si>
  <si>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</si>
  <si>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</si>
  <si>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</si>
  <si>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</si>
  <si>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</si>
  <si>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</si>
  <si>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</si>
  <si>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</si>
  <si>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</si>
  <si>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</si>
  <si>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</si>
  <si>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</si>
  <si>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</si>
  <si>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</si>
  <si>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</si>
  <si>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</si>
  <si>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</si>
  <si>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</si>
  <si>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</si>
  <si>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</si>
  <si>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</si>
  <si>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</si>
  <si>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</si>
  <si>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</si>
  <si>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</si>
  <si>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</si>
  <si>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</si>
  <si>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</si>
  <si>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</si>
  <si>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</si>
  <si>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</si>
  <si>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</si>
  <si>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</si>
  <si>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</si>
  <si>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</si>
  <si>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</si>
  <si>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</si>
  <si>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</si>
  <si>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</si>
  <si>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</si>
  <si>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</si>
  <si>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</si>
  <si>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</si>
  <si>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</si>
  <si>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</si>
  <si>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</si>
  <si>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</si>
  <si>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</si>
  <si>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</si>
  <si>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</si>
  <si>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</si>
  <si>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</si>
  <si>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</si>
  <si>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</si>
  <si>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</si>
  <si>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</si>
  <si>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</si>
  <si>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</si>
  <si>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</si>
  <si>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</si>
  <si>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</si>
  <si>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</si>
  <si>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</si>
  <si>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</si>
  <si>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</si>
  <si>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</si>
  <si>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</si>
  <si>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</si>
  <si>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</si>
  <si>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</si>
  <si>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</si>
  <si>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</si>
  <si>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</si>
  <si>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</si>
  <si>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</si>
  <si>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</si>
  <si>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</si>
  <si>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</si>
  <si>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</si>
  <si>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</si>
  <si>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</si>
  <si>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</si>
  <si>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</si>
  <si>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</si>
  <si>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</si>
  <si>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</si>
  <si>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</si>
  <si>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</si>
  <si>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</si>
  <si>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</si>
  <si>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</si>
  <si>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</si>
  <si>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</si>
  <si>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</si>
  <si>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</si>
  <si>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</si>
  <si>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</si>
  <si>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</si>
  <si>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</si>
  <si>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</si>
  <si>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</si>
  <si>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</si>
  <si>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</si>
  <si>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</si>
  <si>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</si>
  <si>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</si>
  <si>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</si>
  <si>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</si>
  <si>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</si>
  <si>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</si>
  <si>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</si>
  <si>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</si>
  <si>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</si>
  <si>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</si>
  <si>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</si>
  <si>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</si>
  <si>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</si>
  <si>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</si>
  <si>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</si>
  <si>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</si>
  <si>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</si>
  <si>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</si>
  <si>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</si>
  <si>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</si>
  <si>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</si>
  <si>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</si>
  <si>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</si>
  <si>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</si>
  <si>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</si>
  <si>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</si>
  <si>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</si>
  <si>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</si>
  <si>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</si>
  <si>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</si>
  <si>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</si>
  <si>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</si>
  <si>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</si>
  <si>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</si>
  <si>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</si>
  <si>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</si>
  <si>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</si>
  <si>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</si>
  <si>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</si>
  <si>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</si>
  <si>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</si>
  <si>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</si>
  <si>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</si>
  <si>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</si>
  <si>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</si>
  <si>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</si>
  <si>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</si>
  <si>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</si>
  <si>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</si>
  <si>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</si>
  <si>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</si>
  <si>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</si>
  <si>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</si>
  <si>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</si>
  <si>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</si>
  <si>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</si>
  <si>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</si>
  <si>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</si>
  <si>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</si>
  <si>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</si>
  <si>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</si>
  <si>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</si>
  <si>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</si>
  <si>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</si>
  <si>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</si>
  <si>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</si>
  <si>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</si>
  <si>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</si>
  <si>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</si>
  <si>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</si>
  <si>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</si>
  <si>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</si>
  <si>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</si>
  <si>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</si>
  <si>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</si>
  <si>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</si>
  <si>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</si>
  <si>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</si>
  <si>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</si>
  <si>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</si>
  <si>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</si>
  <si>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</si>
  <si>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</si>
  <si>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</si>
  <si>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</si>
  <si>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</si>
  <si>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</si>
  <si>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</si>
  <si>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</si>
  <si>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</si>
  <si>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</si>
  <si>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</si>
  <si>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</si>
  <si>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</si>
  <si>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</si>
  <si>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</si>
  <si>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</si>
  <si>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</si>
  <si>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</si>
  <si>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</si>
  <si>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</si>
  <si>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</si>
  <si>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</si>
  <si>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</si>
  <si>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</si>
  <si>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</si>
  <si>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</si>
  <si>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</si>
  <si>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</si>
  <si>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</si>
  <si>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</si>
  <si>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</si>
  <si>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</si>
  <si>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</si>
  <si>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</si>
  <si>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</si>
  <si>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</si>
  <si>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</si>
  <si>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</si>
  <si>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</si>
  <si>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</si>
  <si>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</si>
  <si>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</si>
  <si>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</si>
  <si>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</si>
  <si>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</si>
  <si>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</si>
  <si>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</si>
  <si>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</si>
  <si>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</si>
  <si>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</si>
  <si>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</si>
  <si>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</si>
  <si>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</si>
  <si>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</si>
  <si>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</si>
  <si>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</si>
  <si>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</si>
  <si>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</si>
  <si>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</si>
  <si>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</si>
  <si>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</si>
  <si>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</si>
  <si>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</si>
  <si>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</si>
  <si>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</si>
  <si>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</si>
  <si>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</si>
  <si>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</si>
  <si>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</si>
  <si>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</si>
  <si>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</si>
  <si>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</si>
  <si>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</si>
  <si>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</si>
  <si>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</si>
  <si>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</si>
  <si>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</si>
  <si>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</si>
  <si>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</si>
  <si>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</si>
  <si>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</si>
  <si>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</si>
  <si>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</si>
  <si>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</si>
  <si>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</si>
  <si>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</si>
  <si>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</si>
  <si>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</si>
  <si>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</si>
  <si>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</si>
  <si>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</si>
  <si>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</si>
  <si>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</si>
  <si>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</si>
  <si>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</si>
  <si>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</si>
  <si>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</si>
  <si>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</si>
  <si>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</si>
  <si>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</si>
  <si>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</si>
  <si>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</si>
  <si>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</si>
  <si>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</si>
  <si>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</si>
  <si>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</si>
  <si>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</si>
  <si>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</si>
  <si>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</si>
  <si>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</si>
  <si>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</si>
  <si>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</si>
  <si>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</si>
  <si>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</si>
  <si>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</si>
  <si>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</si>
  <si>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</si>
  <si>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</si>
  <si>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</si>
  <si>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</si>
  <si>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</si>
  <si>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</si>
  <si>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</si>
  <si>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</si>
  <si>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</si>
  <si>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</si>
  <si>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</si>
  <si>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</si>
  <si>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</si>
  <si>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</si>
  <si>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</si>
  <si>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</si>
  <si>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</si>
  <si>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</si>
  <si>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</si>
  <si>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</si>
  <si>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</si>
  <si>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</si>
  <si>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</si>
  <si>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</si>
  <si>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</si>
  <si>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</si>
  <si>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</si>
  <si>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</si>
  <si>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</si>
  <si>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</si>
  <si>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</si>
  <si>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</si>
  <si>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</si>
  <si>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</si>
  <si>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</si>
  <si>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</si>
  <si>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</si>
  <si>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</si>
  <si>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</si>
  <si>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</si>
  <si>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</si>
  <si>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</si>
  <si>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</si>
  <si>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</si>
  <si>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</si>
  <si>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</si>
  <si>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</si>
  <si>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</si>
  <si>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</si>
  <si>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</si>
  <si>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</si>
  <si>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</si>
  <si>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</si>
  <si>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</si>
  <si>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</si>
  <si>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</si>
  <si>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</si>
  <si>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</si>
  <si>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</si>
  <si>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</si>
  <si>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</si>
  <si>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</si>
  <si>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</si>
  <si>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</si>
  <si>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</si>
  <si>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</si>
  <si>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</si>
  <si>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</si>
  <si>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</si>
  <si>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</si>
  <si>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</si>
  <si>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</si>
  <si>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</si>
  <si>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</si>
  <si>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</si>
  <si>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</si>
  <si>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</si>
  <si>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</si>
  <si>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</si>
  <si>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</si>
  <si>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</si>
  <si>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</si>
  <si>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</si>
  <si>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</si>
  <si>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</si>
  <si>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</si>
  <si>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</si>
  <si>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</si>
  <si>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</si>
  <si>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</si>
  <si>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</si>
  <si>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</si>
  <si>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</si>
  <si>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</si>
  <si>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</si>
  <si>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</si>
  <si>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</si>
  <si>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</si>
  <si>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</si>
  <si>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</si>
  <si>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</si>
  <si>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</si>
  <si>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</si>
  <si>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</si>
  <si>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</si>
  <si>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</si>
  <si>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</si>
  <si>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</si>
  <si>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</si>
  <si>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</si>
  <si>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</si>
  <si>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</si>
  <si>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</si>
  <si>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</si>
  <si>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</si>
  <si>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</si>
  <si>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</si>
  <si>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</si>
  <si>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</si>
  <si>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</si>
  <si>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</si>
  <si>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</si>
  <si>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</si>
  <si>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</si>
  <si>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</si>
  <si>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</si>
  <si>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</si>
  <si>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</si>
  <si>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</si>
  <si>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</si>
  <si>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</si>
  <si>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</si>
  <si>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</si>
  <si>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</si>
  <si>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</si>
  <si>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</si>
  <si>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</si>
  <si>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</si>
  <si>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</si>
  <si>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</si>
  <si>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</si>
  <si>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</si>
  <si>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</si>
  <si>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</si>
  <si>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</si>
  <si>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</si>
  <si>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</si>
  <si>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</si>
  <si>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</si>
  <si>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</si>
  <si>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</si>
  <si>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</si>
  <si>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</si>
  <si>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</si>
  <si>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</si>
  <si>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</si>
  <si>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</si>
  <si>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</si>
  <si>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</si>
  <si>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</si>
  <si>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</si>
  <si>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</si>
  <si>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</si>
  <si>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</si>
  <si>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</si>
  <si>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</si>
  <si>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</si>
  <si>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</si>
  <si>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</si>
  <si>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</si>
  <si>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</si>
  <si>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</si>
  <si>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</si>
  <si>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</si>
  <si>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</si>
  <si>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</si>
  <si>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</si>
  <si>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</si>
  <si>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</si>
  <si>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</si>
  <si>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</si>
  <si>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</si>
  <si>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</si>
  <si>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</si>
  <si>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</si>
  <si>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</si>
  <si>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</si>
  <si>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</si>
  <si>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</si>
  <si>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</si>
  <si>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</si>
  <si>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</si>
  <si>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</si>
  <si>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</si>
  <si>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</si>
  <si>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</si>
  <si>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</si>
  <si>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</si>
  <si>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</si>
  <si>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</si>
  <si>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</si>
  <si>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</si>
  <si>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</si>
  <si>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</si>
  <si>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</si>
  <si>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</si>
  <si>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</si>
  <si>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</si>
  <si>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</si>
  <si>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</si>
  <si>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</si>
  <si>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</si>
  <si>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</si>
  <si>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</si>
  <si>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</si>
  <si>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</si>
  <si>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</si>
  <si>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</si>
  <si>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</si>
  <si>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</si>
  <si>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</si>
  <si>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</si>
  <si>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</si>
  <si>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</si>
  <si>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</si>
  <si>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</si>
  <si>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</si>
  <si>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</si>
  <si>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</si>
  <si>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</si>
  <si>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</si>
  <si>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</si>
  <si>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</si>
  <si>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</si>
  <si>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</si>
  <si>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</si>
  <si>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</si>
  <si>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</si>
  <si>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</si>
  <si>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</si>
  <si>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</si>
  <si>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</si>
  <si>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</si>
  <si>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</si>
  <si>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</si>
  <si>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</si>
  <si>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</si>
  <si>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</si>
  <si>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</si>
  <si>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</si>
  <si>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</si>
  <si>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</si>
  <si>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</si>
  <si>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</si>
  <si>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</si>
  <si>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</si>
  <si>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</si>
  <si>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</si>
  <si>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</si>
  <si>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</si>
  <si>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</si>
  <si>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</si>
  <si>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</si>
  <si>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</si>
  <si>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</si>
  <si>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</si>
  <si>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</si>
  <si>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</si>
  <si>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</si>
  <si>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</si>
  <si>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</si>
  <si>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</si>
  <si>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</si>
  <si>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</si>
  <si>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</si>
  <si>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</si>
  <si>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</si>
  <si>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</si>
  <si>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</si>
  <si>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</si>
  <si>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</si>
  <si>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</si>
  <si>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</si>
  <si>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</si>
  <si>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</si>
  <si>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</si>
  <si>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</si>
  <si>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</si>
  <si>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</si>
  <si>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</si>
  <si>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</si>
  <si>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</si>
  <si>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</si>
  <si>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</si>
  <si>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</si>
  <si>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</si>
  <si>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</si>
  <si>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</si>
  <si>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</si>
  <si>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</si>
  <si>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</si>
  <si>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</si>
  <si>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</si>
  <si>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</si>
  <si>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</si>
  <si>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</si>
  <si>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</si>
  <si>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</si>
  <si>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</si>
  <si>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</si>
  <si>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</si>
  <si>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</si>
  <si>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</si>
  <si>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</si>
  <si>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</si>
  <si>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</si>
  <si>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</si>
  <si>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</si>
  <si>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</si>
  <si>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</si>
  <si>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</si>
  <si>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</si>
  <si>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</si>
  <si>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</si>
  <si>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</si>
  <si>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</si>
  <si>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</si>
  <si>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</si>
  <si>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</si>
  <si>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</si>
  <si>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</si>
  <si>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</si>
  <si>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</si>
  <si>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</si>
  <si>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</si>
  <si>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</si>
  <si>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</si>
  <si>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</si>
  <si>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</si>
  <si>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</si>
  <si>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</si>
  <si>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</si>
  <si>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</si>
  <si>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</si>
  <si>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</si>
  <si>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赵雯</t>
  </si>
  <si>
    <t>崔锴</t>
  </si>
  <si>
    <t>抵押价格</t>
  </si>
  <si>
    <t>企业</t>
  </si>
  <si>
    <t>北京城茂房地产开发有限公司</t>
    <phoneticPr fontId="7" type="noConversion"/>
  </si>
  <si>
    <t>顺义区北小营镇顺义新城第30街区30-01-02地块R2二类居住用地</t>
    <phoneticPr fontId="7" type="noConversion"/>
  </si>
  <si>
    <t>城镇住宅用地</t>
    <phoneticPr fontId="7" type="noConversion"/>
  </si>
  <si>
    <t>符合</t>
  </si>
  <si>
    <t>不一致</t>
  </si>
  <si>
    <t>车库</t>
  </si>
  <si>
    <t>仓储</t>
  </si>
  <si>
    <t>住宅69.8年、地下仓储及地下车库49.8年</t>
    <phoneticPr fontId="7" type="noConversion"/>
  </si>
  <si>
    <t>否</t>
  </si>
  <si>
    <t>居住项目</t>
  </si>
  <si>
    <t>无</t>
  </si>
  <si>
    <t>场地平整</t>
  </si>
  <si>
    <t>平整</t>
  </si>
  <si>
    <t>通路</t>
  </si>
  <si>
    <t>通电</t>
  </si>
  <si>
    <t>通上水</t>
  </si>
  <si>
    <t>地上</t>
  </si>
  <si>
    <t>平层住宅</t>
  </si>
  <si>
    <t>地下</t>
  </si>
  <si>
    <t>戊类库房</t>
  </si>
  <si>
    <t>住宅</t>
    <phoneticPr fontId="8" type="noConversion"/>
  </si>
  <si>
    <t>仓储</t>
    <phoneticPr fontId="8" type="noConversion"/>
  </si>
  <si>
    <t>车库</t>
    <phoneticPr fontId="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</si>
  <si>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</si>
  <si>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</si>
  <si>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</si>
  <si>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</si>
  <si>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</si>
  <si>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</si>
  <si>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</si>
  <si>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</si>
  <si>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</si>
  <si>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</si>
  <si>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</si>
  <si>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</si>
  <si>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</si>
  <si>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</si>
  <si>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</si>
  <si>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</si>
  <si>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</si>
  <si>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</si>
  <si>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</si>
  <si>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1星</t>
  </si>
  <si>
    <t>北京市顺义区高丽营镇SY02-0102-6001、SY02-0102-6002地块R2二类居住用地</t>
  </si>
  <si>
    <t>住宅用地</t>
  </si>
  <si>
    <t>≤1.5</t>
  </si>
  <si>
    <t>2019-06-27</t>
  </si>
  <si>
    <t>北京首都开发股份有限公司和富力瑞康有限公司联合体</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</si>
  <si>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</si>
  <si>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</si>
  <si>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</si>
  <si>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</si>
  <si>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</si>
  <si>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2018-12-04</t>
  </si>
  <si>
    <t>北京润置商业运营管理有限公司</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</si>
  <si>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</si>
  <si>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</si>
  <si>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</si>
  <si>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</si>
  <si>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</si>
  <si>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</si>
  <si>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</si>
  <si>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</si>
  <si>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</si>
  <si>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</si>
  <si>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</si>
  <si>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</si>
  <si>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</si>
  <si>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</si>
  <si>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</si>
  <si>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</si>
  <si>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</si>
  <si>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</si>
  <si>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</si>
  <si>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</si>
  <si>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</si>
  <si>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</si>
  <si>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</si>
  <si>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</si>
  <si>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</si>
  <si>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</si>
  <si>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</si>
  <si>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</si>
  <si>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</si>
  <si>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</si>
  <si>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</si>
  <si>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</si>
  <si>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</si>
  <si>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正常</t>
  </si>
  <si>
    <t>住宅</t>
    <phoneticPr fontId="27" type="noConversion"/>
  </si>
  <si>
    <t>70</t>
    <phoneticPr fontId="27" type="noConversion"/>
  </si>
  <si>
    <t>一般</t>
  </si>
  <si>
    <t>较好</t>
  </si>
  <si>
    <t>限价</t>
    <phoneticPr fontId="27" type="noConversion"/>
  </si>
  <si>
    <t>30000-40000</t>
    <phoneticPr fontId="27" type="noConversion"/>
  </si>
  <si>
    <t>40000-50000</t>
    <phoneticPr fontId="27" type="noConversion"/>
  </si>
  <si>
    <t>六通</t>
  </si>
  <si>
    <t>宗地容积率</t>
  </si>
  <si>
    <t>居住用地（指二类居住用地）</t>
  </si>
  <si>
    <t>多面临街</t>
  </si>
  <si>
    <t>双面临街</t>
  </si>
  <si>
    <t>高速路</t>
    <phoneticPr fontId="27" type="noConversion"/>
  </si>
  <si>
    <t>快速路</t>
    <phoneticPr fontId="27" type="noConversion"/>
  </si>
  <si>
    <t>主干道</t>
    <phoneticPr fontId="27" type="noConversion"/>
  </si>
  <si>
    <t>次干道</t>
  </si>
  <si>
    <t>次干道</t>
    <phoneticPr fontId="27" type="noConversion"/>
  </si>
  <si>
    <t>支路</t>
  </si>
  <si>
    <t>支路</t>
    <phoneticPr fontId="27" type="noConversion"/>
  </si>
  <si>
    <t>楼面地价</t>
  </si>
  <si>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</si>
  <si>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</si>
  <si>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</si>
  <si>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</si>
  <si>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</si>
  <si>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</si>
  <si>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</si>
  <si>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</si>
  <si>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一般适宜</t>
    <phoneticPr fontId="27" type="noConversion"/>
  </si>
  <si>
    <t>较不适宜</t>
    <phoneticPr fontId="27" type="noConversion"/>
  </si>
  <si>
    <t>不适宜</t>
    <phoneticPr fontId="27" type="noConversion"/>
  </si>
  <si>
    <t>七通</t>
    <phoneticPr fontId="27" type="noConversion"/>
  </si>
  <si>
    <t>六通</t>
    <phoneticPr fontId="27" type="noConversion"/>
  </si>
  <si>
    <t>五通</t>
    <phoneticPr fontId="27" type="noConversion"/>
  </si>
  <si>
    <t>四通</t>
    <phoneticPr fontId="27" type="noConversion"/>
  </si>
  <si>
    <t>三通</t>
  </si>
  <si>
    <t>三通</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</si>
  <si>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</si>
  <si>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</si>
  <si>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</si>
  <si>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</si>
  <si>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</si>
  <si>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剩余法-待开发</t>
  </si>
  <si>
    <t>比较法-住宅、综合</t>
  </si>
  <si>
    <t>中国铁建·顺鑫嘉苑</t>
    <phoneticPr fontId="4" type="noConversion"/>
  </si>
  <si>
    <t>售价</t>
  </si>
  <si>
    <t>车库</t>
    <phoneticPr fontId="28" type="noConversion"/>
  </si>
  <si>
    <t>40-50（含）</t>
  </si>
  <si>
    <t>中建·国际城</t>
    <phoneticPr fontId="4" type="noConversion"/>
  </si>
  <si>
    <t>精装</t>
    <phoneticPr fontId="28" type="noConversion"/>
  </si>
  <si>
    <t>普装</t>
    <phoneticPr fontId="28" type="noConversion"/>
  </si>
  <si>
    <t>简装</t>
  </si>
  <si>
    <t>简装</t>
    <phoneticPr fontId="28" type="noConversion"/>
  </si>
  <si>
    <t>毛坯</t>
    <phoneticPr fontId="28" type="noConversion"/>
  </si>
  <si>
    <t>专业</t>
  </si>
  <si>
    <t>专业</t>
    <phoneticPr fontId="28" type="noConversion"/>
  </si>
  <si>
    <t>普通</t>
    <phoneticPr fontId="28" type="noConversion"/>
  </si>
  <si>
    <t>立体车位</t>
    <phoneticPr fontId="28" type="noConversion"/>
  </si>
  <si>
    <t>平面车位</t>
  </si>
  <si>
    <t>平面车位</t>
    <phoneticPr fontId="28" type="noConversion"/>
  </si>
  <si>
    <t>是</t>
    <phoneticPr fontId="28" type="noConversion"/>
  </si>
  <si>
    <t>否</t>
    <phoneticPr fontId="28" type="noConversion"/>
  </si>
  <si>
    <t>不动产收益法</t>
  </si>
  <si>
    <t>土地（套用方法）</t>
  </si>
  <si>
    <t>押一</t>
  </si>
  <si>
    <t>按租金收入计税</t>
  </si>
  <si>
    <t>钢混</t>
  </si>
  <si>
    <t>中国工商银行股份有限公司北京南礼士路支行</t>
    <phoneticPr fontId="7" type="noConversion"/>
  </si>
  <si>
    <t>住宅、地下仓储及地下车库</t>
    <phoneticPr fontId="7" type="noConversion"/>
  </si>
  <si>
    <t>《国有建设用地使用权出让合同》[电子监管号：1101002019B02714]及附件、《北京市顺义区北小营镇顺义新城第30街区30-01-02地块总经济技术指标》</t>
    <phoneticPr fontId="7" type="noConversion"/>
  </si>
  <si>
    <t>《北京市顺义区北小营镇顺义新城第30街区30-01-02地块总经济技术指标》</t>
    <phoneticPr fontId="4" type="noConversion"/>
  </si>
  <si>
    <t>《不动产权证书》[京（2019）顺不动产权第00024024号]及《北京市顺义区北小营镇顺义新城第30街区30-01-02地块总经济技术指标》</t>
    <phoneticPr fontId="4" type="noConversion"/>
  </si>
  <si>
    <t>正常操作</t>
  </si>
  <si>
    <t>土地</t>
  </si>
  <si>
    <t>北京展拓置业有限公司</t>
    <phoneticPr fontId="7" type="noConversion"/>
  </si>
  <si>
    <t>《不动产权证书》[京（2019）顺不动产权第00024024号]</t>
    <phoneticPr fontId="7" type="noConversion"/>
  </si>
  <si>
    <t>低密</t>
    <phoneticPr fontId="22" type="noConversion"/>
  </si>
  <si>
    <t>洋房</t>
  </si>
  <si>
    <t>洋房</t>
    <phoneticPr fontId="22" type="noConversion"/>
  </si>
  <si>
    <t>高层</t>
  </si>
  <si>
    <t>高层</t>
    <phoneticPr fontId="22" type="noConversion"/>
  </si>
  <si>
    <t>香悦四季</t>
    <phoneticPr fontId="4" type="noConversion"/>
  </si>
  <si>
    <t>住宅</t>
    <phoneticPr fontId="22" type="noConversion"/>
  </si>
  <si>
    <t>60-70（含）</t>
  </si>
  <si>
    <t>次干道</t>
    <phoneticPr fontId="22" type="noConversion"/>
  </si>
  <si>
    <t>合景天汇</t>
    <phoneticPr fontId="4" type="noConversion"/>
  </si>
  <si>
    <t>恒华湖公馆</t>
    <phoneticPr fontId="4" type="noConversion"/>
  </si>
  <si>
    <t>精装</t>
  </si>
  <si>
    <t>精装</t>
    <phoneticPr fontId="22" type="noConversion"/>
  </si>
  <si>
    <t>普装</t>
    <phoneticPr fontId="22" type="noConversion"/>
  </si>
  <si>
    <t>简装</t>
    <phoneticPr fontId="22" type="noConversion"/>
  </si>
  <si>
    <t>毛坯</t>
  </si>
  <si>
    <t>毛坯</t>
    <phoneticPr fontId="22" type="noConversion"/>
  </si>
  <si>
    <t>专业</t>
    <phoneticPr fontId="22" type="noConversion"/>
  </si>
  <si>
    <t>普通</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</si>
  <si>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</si>
  <si>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</si>
  <si>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</si>
  <si>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</si>
  <si>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</si>
  <si>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钢混</t>
    <phoneticPr fontId="22" type="noConversion"/>
  </si>
  <si>
    <r>
      <t>A</t>
    </r>
    <r>
      <rPr>
        <sz val="11"/>
        <color theme="1"/>
        <rFont val="宋体"/>
        <family val="3"/>
        <charset val="134"/>
        <scheme val="minor"/>
      </rPr>
      <t>1#住宅楼</t>
    </r>
    <phoneticPr fontId="229" type="noConversion"/>
  </si>
  <si>
    <t>建筑面积</t>
    <phoneticPr fontId="229" type="noConversion"/>
  </si>
  <si>
    <t>住宅</t>
    <phoneticPr fontId="229" type="noConversion"/>
  </si>
  <si>
    <r>
      <t>A</t>
    </r>
    <r>
      <rPr>
        <sz val="11"/>
        <color theme="1"/>
        <rFont val="宋体"/>
        <family val="3"/>
        <charset val="134"/>
        <scheme val="minor"/>
      </rPr>
      <t>2#住宅楼</t>
    </r>
    <r>
      <rPr>
        <sz val="11"/>
        <color theme="1"/>
        <rFont val="宋体"/>
        <family val="2"/>
        <charset val="134"/>
        <scheme val="minor"/>
      </rPr>
      <t/>
    </r>
  </si>
  <si>
    <r>
      <t>A</t>
    </r>
    <r>
      <rPr>
        <sz val="11"/>
        <color theme="1"/>
        <rFont val="宋体"/>
        <family val="3"/>
        <charset val="134"/>
        <scheme val="minor"/>
      </rPr>
      <t>3#住宅楼</t>
    </r>
    <r>
      <rPr>
        <sz val="11"/>
        <color theme="1"/>
        <rFont val="宋体"/>
        <family val="2"/>
        <charset val="134"/>
        <scheme val="minor"/>
      </rPr>
      <t/>
    </r>
  </si>
  <si>
    <r>
      <t>A</t>
    </r>
    <r>
      <rPr>
        <sz val="11"/>
        <color theme="1"/>
        <rFont val="宋体"/>
        <family val="3"/>
        <charset val="134"/>
        <scheme val="minor"/>
      </rPr>
      <t>4#住宅楼</t>
    </r>
    <r>
      <rPr>
        <sz val="11"/>
        <color theme="1"/>
        <rFont val="宋体"/>
        <family val="2"/>
        <charset val="134"/>
        <scheme val="minor"/>
      </rPr>
      <t/>
    </r>
  </si>
  <si>
    <r>
      <t>A</t>
    </r>
    <r>
      <rPr>
        <sz val="11"/>
        <color theme="1"/>
        <rFont val="宋体"/>
        <family val="3"/>
        <charset val="134"/>
        <scheme val="minor"/>
      </rPr>
      <t>5#住宅楼</t>
    </r>
    <r>
      <rPr>
        <sz val="11"/>
        <color theme="1"/>
        <rFont val="宋体"/>
        <family val="2"/>
        <charset val="134"/>
        <scheme val="minor"/>
      </rPr>
      <t/>
    </r>
  </si>
  <si>
    <r>
      <t>A</t>
    </r>
    <r>
      <rPr>
        <sz val="11"/>
        <color theme="1"/>
        <rFont val="宋体"/>
        <family val="3"/>
        <charset val="134"/>
        <scheme val="minor"/>
      </rPr>
      <t>6#住宅楼</t>
    </r>
    <r>
      <rPr>
        <sz val="11"/>
        <color theme="1"/>
        <rFont val="宋体"/>
        <family val="2"/>
        <charset val="134"/>
        <scheme val="minor"/>
      </rPr>
      <t/>
    </r>
  </si>
  <si>
    <r>
      <t>A</t>
    </r>
    <r>
      <rPr>
        <sz val="11"/>
        <color theme="1"/>
        <rFont val="宋体"/>
        <family val="3"/>
        <charset val="134"/>
        <scheme val="minor"/>
      </rPr>
      <t>7#住宅楼</t>
    </r>
    <r>
      <rPr>
        <sz val="11"/>
        <color theme="1"/>
        <rFont val="宋体"/>
        <family val="2"/>
        <charset val="134"/>
        <scheme val="minor"/>
      </rPr>
      <t/>
    </r>
  </si>
  <si>
    <r>
      <t>A</t>
    </r>
    <r>
      <rPr>
        <sz val="11"/>
        <color theme="1"/>
        <rFont val="宋体"/>
        <family val="3"/>
        <charset val="134"/>
        <scheme val="minor"/>
      </rPr>
      <t>8#住宅楼</t>
    </r>
    <r>
      <rPr>
        <sz val="11"/>
        <color theme="1"/>
        <rFont val="宋体"/>
        <family val="2"/>
        <charset val="134"/>
        <scheme val="minor"/>
      </rPr>
      <t/>
    </r>
  </si>
  <si>
    <r>
      <t>A</t>
    </r>
    <r>
      <rPr>
        <sz val="11"/>
        <color theme="1"/>
        <rFont val="宋体"/>
        <family val="3"/>
        <charset val="134"/>
        <scheme val="minor"/>
      </rPr>
      <t>9#住宅楼</t>
    </r>
    <r>
      <rPr>
        <sz val="11"/>
        <color theme="1"/>
        <rFont val="宋体"/>
        <family val="2"/>
        <charset val="134"/>
        <scheme val="minor"/>
      </rPr>
      <t/>
    </r>
  </si>
  <si>
    <r>
      <t>A</t>
    </r>
    <r>
      <rPr>
        <sz val="11"/>
        <color theme="1"/>
        <rFont val="宋体"/>
        <family val="3"/>
        <charset val="134"/>
        <scheme val="minor"/>
      </rPr>
      <t>10#住宅楼</t>
    </r>
    <r>
      <rPr>
        <sz val="11"/>
        <color theme="1"/>
        <rFont val="宋体"/>
        <family val="2"/>
        <charset val="134"/>
        <scheme val="minor"/>
      </rPr>
      <t/>
    </r>
  </si>
  <si>
    <t>人防</t>
    <phoneticPr fontId="229" type="noConversion"/>
  </si>
  <si>
    <r>
      <t>A</t>
    </r>
    <r>
      <rPr>
        <sz val="11"/>
        <color theme="1"/>
        <rFont val="宋体"/>
        <family val="3"/>
        <charset val="134"/>
        <scheme val="minor"/>
      </rPr>
      <t>11#住宅楼</t>
    </r>
    <r>
      <rPr>
        <sz val="11"/>
        <color theme="1"/>
        <rFont val="宋体"/>
        <family val="2"/>
        <charset val="134"/>
        <scheme val="minor"/>
      </rPr>
      <t/>
    </r>
  </si>
  <si>
    <r>
      <t>A</t>
    </r>
    <r>
      <rPr>
        <sz val="11"/>
        <color theme="1"/>
        <rFont val="宋体"/>
        <family val="3"/>
        <charset val="134"/>
        <scheme val="minor"/>
      </rPr>
      <t>12#住宅楼</t>
    </r>
    <r>
      <rPr>
        <sz val="11"/>
        <color theme="1"/>
        <rFont val="宋体"/>
        <family val="2"/>
        <charset val="134"/>
        <scheme val="minor"/>
      </rPr>
      <t/>
    </r>
  </si>
  <si>
    <r>
      <t>A</t>
    </r>
    <r>
      <rPr>
        <sz val="11"/>
        <color theme="1"/>
        <rFont val="宋体"/>
        <family val="3"/>
        <charset val="134"/>
        <scheme val="minor"/>
      </rPr>
      <t>13#住宅楼</t>
    </r>
    <r>
      <rPr>
        <sz val="11"/>
        <color theme="1"/>
        <rFont val="宋体"/>
        <family val="2"/>
        <charset val="134"/>
        <scheme val="minor"/>
      </rPr>
      <t/>
    </r>
  </si>
  <si>
    <r>
      <t>A</t>
    </r>
    <r>
      <rPr>
        <sz val="11"/>
        <color theme="1"/>
        <rFont val="宋体"/>
        <family val="3"/>
        <charset val="134"/>
        <scheme val="minor"/>
      </rPr>
      <t>14#住宅楼</t>
    </r>
    <r>
      <rPr>
        <sz val="11"/>
        <color theme="1"/>
        <rFont val="宋体"/>
        <family val="2"/>
        <charset val="134"/>
        <scheme val="minor"/>
      </rPr>
      <t/>
    </r>
  </si>
  <si>
    <r>
      <t>A</t>
    </r>
    <r>
      <rPr>
        <sz val="11"/>
        <color theme="1"/>
        <rFont val="宋体"/>
        <family val="3"/>
        <charset val="134"/>
        <scheme val="minor"/>
      </rPr>
      <t>15#住宅楼</t>
    </r>
    <r>
      <rPr>
        <sz val="11"/>
        <color theme="1"/>
        <rFont val="宋体"/>
        <family val="2"/>
        <charset val="134"/>
        <scheme val="minor"/>
      </rPr>
      <t/>
    </r>
  </si>
  <si>
    <r>
      <t>A</t>
    </r>
    <r>
      <rPr>
        <sz val="11"/>
        <color theme="1"/>
        <rFont val="宋体"/>
        <family val="3"/>
        <charset val="134"/>
        <scheme val="minor"/>
      </rPr>
      <t>16#住宅楼</t>
    </r>
    <r>
      <rPr>
        <sz val="11"/>
        <color theme="1"/>
        <rFont val="宋体"/>
        <family val="2"/>
        <charset val="134"/>
        <scheme val="minor"/>
      </rPr>
      <t/>
    </r>
  </si>
  <si>
    <t>A-S1#配套楼</t>
    <phoneticPr fontId="229" type="noConversion"/>
  </si>
  <si>
    <t>A-S2#配套楼</t>
  </si>
  <si>
    <t>A-S3#配套楼</t>
  </si>
  <si>
    <t>A-门卫用房</t>
    <phoneticPr fontId="229" type="noConversion"/>
  </si>
  <si>
    <t>A-汽车库</t>
    <phoneticPr fontId="229" type="noConversion"/>
  </si>
  <si>
    <t>B-1#住宅楼</t>
    <phoneticPr fontId="229" type="noConversion"/>
  </si>
  <si>
    <t>B-2#住宅楼</t>
  </si>
  <si>
    <t>B-3#住宅楼</t>
  </si>
  <si>
    <t>B-4#住宅楼</t>
  </si>
  <si>
    <t>B-5#住宅楼</t>
  </si>
  <si>
    <t>B-6#住宅楼</t>
  </si>
  <si>
    <t>B-7#住宅楼</t>
  </si>
  <si>
    <t>B-8#住宅楼</t>
  </si>
  <si>
    <t>B-9#住宅楼</t>
  </si>
  <si>
    <t>B-10#住宅楼</t>
  </si>
  <si>
    <t>B-11#住宅楼</t>
  </si>
  <si>
    <t>B-12#住宅楼</t>
  </si>
  <si>
    <t>B-13#住宅楼</t>
  </si>
  <si>
    <t>B-S1#配套楼</t>
    <phoneticPr fontId="229" type="noConversion"/>
  </si>
  <si>
    <t>B-S2#配套楼</t>
  </si>
  <si>
    <t>B-S3#配套楼</t>
  </si>
  <si>
    <t>B-汽车库</t>
    <phoneticPr fontId="229" type="noConversion"/>
  </si>
  <si>
    <t>B-门卫用房</t>
    <phoneticPr fontId="229" type="noConversion"/>
  </si>
  <si>
    <t>C-1#住宅楼</t>
    <phoneticPr fontId="229" type="noConversion"/>
  </si>
  <si>
    <t>C-2#住宅楼</t>
  </si>
  <si>
    <t>C-3#住宅楼</t>
  </si>
  <si>
    <t>C-4#住宅楼</t>
  </si>
  <si>
    <t>C-5#住宅楼</t>
  </si>
  <si>
    <t>C-6#住宅楼</t>
  </si>
  <si>
    <t>C-7#住宅楼</t>
  </si>
  <si>
    <t>C-8#住宅楼</t>
  </si>
  <si>
    <t>C-9#住宅楼</t>
  </si>
  <si>
    <t>C-S1#配套楼</t>
    <phoneticPr fontId="229" type="noConversion"/>
  </si>
  <si>
    <t>C-汽车库</t>
    <phoneticPr fontId="229" type="noConversion"/>
  </si>
  <si>
    <t>C-门卫用房</t>
    <phoneticPr fontId="229" type="noConversion"/>
  </si>
  <si>
    <t>物业管理用房</t>
    <phoneticPr fontId="229" type="noConversion"/>
  </si>
  <si>
    <t>地下车库</t>
    <phoneticPr fontId="229" type="noConversion"/>
  </si>
  <si>
    <t>地下仓储</t>
    <phoneticPr fontId="229" type="noConversion"/>
  </si>
  <si>
    <t>合计</t>
    <phoneticPr fontId="229" type="noConversion"/>
  </si>
  <si>
    <t>楼号</t>
    <phoneticPr fontId="229" type="noConversion"/>
  </si>
  <si>
    <t>序号</t>
    <phoneticPr fontId="229" type="noConversion"/>
  </si>
  <si>
    <t>合计</t>
    <phoneticPr fontId="229" type="noConversion"/>
  </si>
  <si>
    <t>小计</t>
    <phoneticPr fontId="229" type="noConversion"/>
  </si>
  <si>
    <t>经营性用房</t>
    <phoneticPr fontId="229" type="noConversion"/>
  </si>
  <si>
    <t>非经营性用房</t>
    <phoneticPr fontId="229" type="noConversion"/>
  </si>
  <si>
    <t>设备及其他用房</t>
    <phoneticPr fontId="229" type="noConversion"/>
  </si>
  <si>
    <t>北京市顺义区顺义新城第13街区SY00-0013-6022等地块R2二类居住用地、A61机构养老用地、A33基础教育用地</t>
    <phoneticPr fontId="229" type="noConversion"/>
  </si>
  <si>
    <t>北京市顺义区顺义新城第13街区SY00-0013-6008、SY00-0013-6009地块R2二类居住用地、A33基础教育用地</t>
    <phoneticPr fontId="229" type="noConversion"/>
  </si>
  <si>
    <t>北京市顺义区顺义新城牛栏山组团一级开发项目17-11-07地块(南侧)R2二类居住用地</t>
    <phoneticPr fontId="229" type="noConversion"/>
  </si>
  <si>
    <t>公共配套设施用房</t>
    <phoneticPr fontId="229" type="noConversion"/>
  </si>
  <si>
    <t>估价对象位于北京市顺义区北小营镇顺义新城，周边有水色时光花园、永利小区等住宅社区，居住社区成熟度一般</t>
    <phoneticPr fontId="4" type="noConversion"/>
  </si>
  <si>
    <t>估价对象紧邻城市主干道——昌金路，临近城市主干道——顺密路。估价对象周边有顺16路、顺27路、顺32路、顺37路等多条公交线路通过，距离地铁15号线（俸伯站）约9公里，综合评价交通便捷度一般</t>
    <phoneticPr fontId="4" type="noConversion"/>
  </si>
  <si>
    <t>估价对象周边有箭杆河、民悦广场、凤阳广场、顺义奥林匹克水上公园等自然景观；有北小营镇政府等人文设施，综合考虑自然环境与人文环境一般</t>
    <phoneticPr fontId="4" type="noConversion"/>
  </si>
  <si>
    <t>次干道</t>
    <phoneticPr fontId="22" type="noConversion"/>
  </si>
  <si>
    <t>估价对象所在区域基础设施水平为六通</t>
    <phoneticPr fontId="4" type="noConversion"/>
  </si>
  <si>
    <t>估价对象所在区域有银行（北京顺义银座村镇银行(北小营支行)等），学校（北京顺义第十三中学等），无大型购物场所、医院、餐饮等公共配套设施，综合确定公共配套设施齐备度一般</t>
    <phoneticPr fontId="4" type="noConversion"/>
  </si>
  <si>
    <t>零星有其他用地，基本不影响本宗地</t>
    <phoneticPr fontId="27" type="noConversion"/>
  </si>
  <si>
    <t>周边有合景香悦四季、马坡花园、鲁能七号院等住宅项目，密集度较好，入住率较好，居住社区成熟度较好</t>
    <phoneticPr fontId="27" type="noConversion"/>
  </si>
  <si>
    <t>周边有合景香悦四季、马坡花园、鲁能七号院等住宅项目，密集度较好，入住率较好，居住社区成熟度较好</t>
    <phoneticPr fontId="22" type="noConversion"/>
  </si>
  <si>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27" type="noConversion"/>
  </si>
  <si>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22" type="noConversion"/>
  </si>
  <si>
    <r>
      <rPr>
        <sz val="11"/>
        <rFont val="宋体"/>
        <family val="3"/>
        <charset val="134"/>
      </rPr>
      <t>周边有马坡新城城市森林公园、潮白河等自然环境，有清华大学美术学院</t>
    </r>
    <r>
      <rPr>
        <sz val="11"/>
        <rFont val="Arial"/>
        <family val="2"/>
      </rPr>
      <t>(</t>
    </r>
    <r>
      <rPr>
        <sz val="11"/>
        <rFont val="宋体"/>
        <family val="3"/>
        <charset val="134"/>
      </rPr>
      <t>老教授书画院分院</t>
    </r>
    <r>
      <rPr>
        <sz val="11"/>
        <rFont val="Arial"/>
        <family val="2"/>
      </rPr>
      <t>)</t>
    </r>
    <r>
      <rPr>
        <sz val="11"/>
        <rFont val="宋体"/>
        <family val="3"/>
        <charset val="134"/>
      </rPr>
      <t>，综合考虑自然及人文环境较好</t>
    </r>
    <phoneticPr fontId="27" type="noConversion"/>
  </si>
  <si>
    <t>周边有恒丰花园、民生花园、阳光花园别墅等住宅项目，密集度较好，入住率较好，居住社区成熟度较好</t>
    <phoneticPr fontId="27" type="noConversion"/>
  </si>
  <si>
    <r>
      <rPr>
        <sz val="11"/>
        <rFont val="宋体"/>
        <family val="3"/>
        <charset val="134"/>
      </rPr>
      <t>周边有</t>
    </r>
    <r>
      <rPr>
        <sz val="11"/>
        <rFont val="Arial"/>
        <family val="2"/>
      </rPr>
      <t>850</t>
    </r>
    <r>
      <rPr>
        <sz val="11"/>
        <rFont val="宋体"/>
        <family val="3"/>
        <charset val="134"/>
      </rPr>
      <t>路、</t>
    </r>
    <r>
      <rPr>
        <sz val="11"/>
        <rFont val="Arial"/>
        <family val="2"/>
      </rPr>
      <t>856</t>
    </r>
    <r>
      <rPr>
        <sz val="11"/>
        <rFont val="宋体"/>
        <family val="3"/>
        <charset val="134"/>
      </rPr>
      <t>路、顺</t>
    </r>
    <r>
      <rPr>
        <sz val="11"/>
        <rFont val="Arial"/>
        <family val="2"/>
      </rPr>
      <t>27</t>
    </r>
    <r>
      <rPr>
        <sz val="11"/>
        <rFont val="宋体"/>
        <family val="3"/>
        <charset val="134"/>
      </rPr>
      <t>路等多条公交线路经过，道路状况较好，公共交通通达度较好，综合评价交通便捷度较好</t>
    </r>
    <phoneticPr fontId="27" type="noConversion"/>
  </si>
  <si>
    <t>周边有乡村高尔夫俱乐部、潮白河等自然环境，有清华大学黄河研究中心，综合考虑自然及人文环境较好</t>
    <phoneticPr fontId="27" type="noConversion"/>
  </si>
  <si>
    <r>
      <rPr>
        <sz val="11"/>
        <rFont val="宋体"/>
        <family val="3"/>
        <charset val="134"/>
      </rPr>
      <t>所在区域</t>
    </r>
    <r>
      <rPr>
        <sz val="11"/>
        <rFont val="Arial"/>
        <family val="2"/>
      </rPr>
      <t>2</t>
    </r>
    <r>
      <rPr>
        <sz val="11"/>
        <rFont val="宋体"/>
        <family val="3"/>
        <charset val="134"/>
      </rPr>
      <t>公里内有银行（中国民生银行等），学校（益民学校</t>
    </r>
    <r>
      <rPr>
        <sz val="11"/>
        <rFont val="Arial"/>
        <family val="2"/>
      </rPr>
      <t>(</t>
    </r>
    <r>
      <rPr>
        <sz val="11"/>
        <rFont val="宋体"/>
        <family val="3"/>
        <charset val="134"/>
      </rPr>
      <t>马坡分校</t>
    </r>
    <r>
      <rPr>
        <sz val="11"/>
        <rFont val="Arial"/>
        <family val="2"/>
      </rPr>
      <t>)</t>
    </r>
    <r>
      <rPr>
        <sz val="11"/>
        <rFont val="宋体"/>
        <family val="3"/>
        <charset val="134"/>
      </rPr>
      <t>等），购物场所（鲁能美丽汇）、医院（北京市顺义区中医医院）、餐饮等公共配套设施，综合确定公共配套设施齐备度较好</t>
    </r>
    <phoneticPr fontId="27" type="noConversion"/>
  </si>
  <si>
    <r>
      <rPr>
        <sz val="11"/>
        <rFont val="宋体"/>
        <family val="3"/>
        <charset val="134"/>
      </rPr>
      <t>所在区域</t>
    </r>
    <r>
      <rPr>
        <sz val="11"/>
        <rFont val="Arial"/>
        <family val="2"/>
      </rPr>
      <t>1</t>
    </r>
    <r>
      <rPr>
        <sz val="11"/>
        <rFont val="宋体"/>
        <family val="3"/>
        <charset val="134"/>
      </rPr>
      <t>公里内有银行（中国民生银行等），学校（益民学校</t>
    </r>
    <r>
      <rPr>
        <sz val="11"/>
        <rFont val="Arial"/>
        <family val="2"/>
      </rPr>
      <t>(</t>
    </r>
    <r>
      <rPr>
        <sz val="11"/>
        <rFont val="宋体"/>
        <family val="3"/>
        <charset val="134"/>
      </rPr>
      <t>马坡分校</t>
    </r>
    <r>
      <rPr>
        <sz val="11"/>
        <rFont val="Arial"/>
        <family val="2"/>
      </rPr>
      <t>)</t>
    </r>
    <r>
      <rPr>
        <sz val="11"/>
        <rFont val="宋体"/>
        <family val="3"/>
        <charset val="134"/>
      </rPr>
      <t>等），购物场所（鲁能美丽汇）、医院（北京市顺义区马坡镇卫生院）、餐饮等公共配套设施，综合确定公共配套设施齐备度较好</t>
    </r>
    <phoneticPr fontId="27" type="noConversion"/>
  </si>
  <si>
    <r>
      <rPr>
        <sz val="11"/>
        <rFont val="宋体"/>
        <family val="3"/>
        <charset val="134"/>
      </rPr>
      <t>所在区域</t>
    </r>
    <r>
      <rPr>
        <sz val="11"/>
        <rFont val="Arial"/>
        <family val="2"/>
      </rPr>
      <t>1</t>
    </r>
    <r>
      <rPr>
        <sz val="11"/>
        <rFont val="宋体"/>
        <family val="3"/>
        <charset val="134"/>
      </rPr>
      <t>公里内有银行（北京农商银行等），学校（牛栏山第二小学等），购物场所（隆华购物中心）、医院（北京市顺义区第三医院）、餐饮等公共配套设施，综合确定公共配套设施齐备度较好</t>
    </r>
    <phoneticPr fontId="27" type="noConversion"/>
  </si>
  <si>
    <t>周边有金牛公园、潮白河等自然环境，有北京工业大学耿丹学院，综合考虑自然及人文环境较好</t>
    <phoneticPr fontId="27" type="noConversion"/>
  </si>
  <si>
    <r>
      <rPr>
        <sz val="11"/>
        <rFont val="宋体"/>
        <family val="3"/>
        <charset val="134"/>
      </rPr>
      <t>周边有顺</t>
    </r>
    <r>
      <rPr>
        <sz val="11"/>
        <rFont val="Arial"/>
        <family val="2"/>
      </rPr>
      <t>27</t>
    </r>
    <r>
      <rPr>
        <sz val="11"/>
        <rFont val="宋体"/>
        <family val="3"/>
        <charset val="134"/>
      </rPr>
      <t>路、</t>
    </r>
    <r>
      <rPr>
        <sz val="11"/>
        <rFont val="Arial"/>
        <family val="2"/>
      </rPr>
      <t>856</t>
    </r>
    <r>
      <rPr>
        <sz val="11"/>
        <rFont val="宋体"/>
        <family val="3"/>
        <charset val="134"/>
      </rPr>
      <t>路、顺</t>
    </r>
    <r>
      <rPr>
        <sz val="11"/>
        <rFont val="Arial"/>
        <family val="2"/>
      </rPr>
      <t>14</t>
    </r>
    <r>
      <rPr>
        <sz val="11"/>
        <rFont val="宋体"/>
        <family val="3"/>
        <charset val="134"/>
      </rPr>
      <t>路等多条公交线路经过，道路状况较好，公共交通通达度较好，综合评价交通便捷度较好</t>
    </r>
    <phoneticPr fontId="27" type="noConversion"/>
  </si>
  <si>
    <r>
      <rPr>
        <sz val="11"/>
        <rFont val="宋体"/>
        <family val="3"/>
        <charset val="134"/>
      </rPr>
      <t>周边有安乐家园、首创禧瑞山、龙湖</t>
    </r>
    <r>
      <rPr>
        <sz val="11"/>
        <rFont val="Arial"/>
        <family val="2"/>
      </rPr>
      <t>•</t>
    </r>
    <r>
      <rPr>
        <sz val="11"/>
        <rFont val="宋体"/>
        <family val="3"/>
        <charset val="134"/>
      </rPr>
      <t>好望山等住宅项目，密集度较好，入住率较好，居住社区成熟度较好</t>
    </r>
    <phoneticPr fontId="27" type="noConversion"/>
  </si>
  <si>
    <t>北京市顺义区</t>
    <phoneticPr fontId="4" type="noConversion"/>
  </si>
  <si>
    <t>北京市顺义区</t>
    <phoneticPr fontId="4" type="noConversion"/>
  </si>
  <si>
    <t>北京市顺义区</t>
    <phoneticPr fontId="4" type="noConversion"/>
  </si>
  <si>
    <t>较好</t>
    <phoneticPr fontId="22" type="noConversion"/>
  </si>
  <si>
    <t>北京市顺义区</t>
    <phoneticPr fontId="4" type="noConversion"/>
  </si>
  <si>
    <t>北京市顺义区</t>
    <phoneticPr fontId="4" type="noConversion"/>
  </si>
  <si>
    <t>较好</t>
    <phoneticPr fontId="28" type="noConversion"/>
  </si>
  <si>
    <t>六通</t>
    <phoneticPr fontId="28" type="noConversion"/>
  </si>
  <si>
    <t>北京市顺义区</t>
    <phoneticPr fontId="4" type="noConversion"/>
  </si>
  <si>
    <t>合景香悦四季</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</si>
</sst>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4" tint="0.39997558519241921"/>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54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0" fillId="6" borderId="0" xfId="0" applyFill="1" applyAlignment="1"/>
    <xf numFmtId="0" fontId="148" fillId="0" borderId="0" xfId="0" applyFont="1" applyAlignment="1"/>
    <xf numFmtId="0" fontId="145" fillId="0" borderId="6"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45" fillId="0" borderId="71"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10" fontId="77" fillId="5" borderId="0" xfId="0" applyNumberFormat="1" applyFont="1" applyFill="1" applyAlignment="1" applyProtection="1">
      <alignment vertical="center"/>
      <protection locked="0"/>
    </xf>
    <xf numFmtId="178" fontId="77" fillId="5" borderId="0" xfId="0" applyNumberFormat="1" applyFont="1" applyFill="1" applyProtection="1">
      <alignment vertical="center"/>
      <protection locked="0"/>
    </xf>
    <xf numFmtId="0" fontId="107" fillId="17" borderId="22" xfId="0" applyNumberFormat="1" applyFont="1" applyFill="1" applyBorder="1" applyAlignment="1" applyProtection="1">
      <alignment horizontal="center" vertical="center" wrapText="1"/>
      <protection locked="0"/>
    </xf>
    <xf numFmtId="0" fontId="248" fillId="17" borderId="24" xfId="0" applyFont="1" applyFill="1" applyBorder="1" applyAlignment="1" applyProtection="1">
      <alignment vertical="center" wrapText="1"/>
    </xf>
    <xf numFmtId="0" fontId="82" fillId="0" borderId="5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182" fontId="77" fillId="0" borderId="51" xfId="0"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89" fontId="72" fillId="0" borderId="62"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146" fillId="0" borderId="0" xfId="0" applyFont="1">
      <alignment vertical="center"/>
    </xf>
    <xf numFmtId="0" fontId="72" fillId="18" borderId="2" xfId="0" applyFont="1" applyFill="1" applyBorder="1" applyAlignment="1" applyProtection="1">
      <alignment horizontal="center" vertical="center" wrapText="1"/>
      <protection locked="0"/>
    </xf>
    <xf numFmtId="0" fontId="160" fillId="18" borderId="2" xfId="1" applyFont="1" applyFill="1" applyBorder="1" applyAlignment="1" applyProtection="1">
      <alignment horizontal="center" vertical="center" wrapText="1"/>
      <protection locked="0"/>
    </xf>
    <xf numFmtId="0" fontId="12" fillId="18" borderId="2" xfId="0" applyFont="1" applyFill="1" applyBorder="1" applyAlignment="1" applyProtection="1">
      <alignment horizontal="center" vertical="center" wrapText="1"/>
      <protection locked="0"/>
    </xf>
    <xf numFmtId="0" fontId="12" fillId="18" borderId="21" xfId="0" applyFont="1" applyFill="1" applyBorder="1" applyAlignment="1" applyProtection="1">
      <alignment horizontal="center" vertical="center" wrapText="1"/>
      <protection locked="0"/>
    </xf>
    <xf numFmtId="177" fontId="72" fillId="18" borderId="2" xfId="0" applyNumberFormat="1" applyFont="1" applyFill="1" applyBorder="1" applyAlignment="1" applyProtection="1">
      <alignment horizontal="center" vertical="center" wrapText="1"/>
    </xf>
    <xf numFmtId="177" fontId="72" fillId="18" borderId="21" xfId="0" applyNumberFormat="1" applyFont="1" applyFill="1" applyBorder="1" applyAlignment="1" applyProtection="1">
      <alignment horizontal="center" vertical="center" wrapText="1"/>
      <protection locked="0"/>
    </xf>
    <xf numFmtId="177" fontId="72" fillId="18" borderId="21" xfId="0" applyNumberFormat="1" applyFont="1" applyFill="1" applyBorder="1" applyAlignment="1" applyProtection="1">
      <alignment horizontal="center" vertical="center" wrapText="1"/>
    </xf>
    <xf numFmtId="177" fontId="72" fillId="18" borderId="10" xfId="0" applyNumberFormat="1" applyFont="1" applyFill="1" applyBorder="1" applyAlignment="1" applyProtection="1">
      <alignment horizontal="center" vertical="center" wrapText="1"/>
    </xf>
    <xf numFmtId="177" fontId="12" fillId="18" borderId="2" xfId="0" applyNumberFormat="1" applyFont="1" applyFill="1" applyBorder="1" applyAlignment="1" applyProtection="1">
      <alignment vertical="center" wrapText="1"/>
      <protection locked="0"/>
    </xf>
    <xf numFmtId="177" fontId="72" fillId="18" borderId="2" xfId="0" applyNumberFormat="1" applyFont="1" applyFill="1" applyBorder="1" applyAlignment="1" applyProtection="1">
      <alignment vertical="center" wrapText="1"/>
      <protection locked="0"/>
    </xf>
    <xf numFmtId="0" fontId="149" fillId="18" borderId="2" xfId="1" applyFont="1" applyFill="1" applyBorder="1" applyAlignment="1" applyProtection="1">
      <alignment horizontal="center" vertical="center" wrapText="1"/>
      <protection locked="0"/>
    </xf>
    <xf numFmtId="177" fontId="72" fillId="18" borderId="2" xfId="0" applyNumberFormat="1" applyFont="1" applyFill="1" applyBorder="1" applyAlignment="1" applyProtection="1">
      <alignment horizontal="center" vertical="center" wrapText="1"/>
      <protection locked="0"/>
    </xf>
    <xf numFmtId="177" fontId="12" fillId="18" borderId="2" xfId="0" applyNumberFormat="1" applyFont="1" applyFill="1" applyBorder="1" applyAlignment="1" applyProtection="1">
      <alignment horizontal="center" vertical="center" wrapText="1"/>
      <protection locked="0"/>
    </xf>
    <xf numFmtId="0" fontId="72" fillId="18" borderId="17" xfId="0" applyFont="1" applyFill="1" applyBorder="1" applyAlignment="1" applyProtection="1">
      <alignment horizontal="center" vertical="center" wrapText="1"/>
      <protection locked="0"/>
    </xf>
    <xf numFmtId="0" fontId="72" fillId="18" borderId="2" xfId="0" applyFont="1" applyFill="1" applyBorder="1" applyAlignment="1" applyProtection="1">
      <alignment horizontal="center" vertical="center" wrapText="1"/>
    </xf>
    <xf numFmtId="0" fontId="72" fillId="18" borderId="9" xfId="0" applyFont="1" applyFill="1" applyBorder="1" applyAlignment="1" applyProtection="1">
      <alignment horizontal="center" vertical="center" wrapText="1"/>
    </xf>
    <xf numFmtId="177" fontId="72" fillId="18" borderId="12" xfId="0" applyNumberFormat="1" applyFont="1" applyFill="1" applyBorder="1" applyAlignment="1" applyProtection="1">
      <alignment horizontal="center" vertical="center" wrapText="1"/>
    </xf>
    <xf numFmtId="0" fontId="72" fillId="18" borderId="0" xfId="0" applyFont="1" applyFill="1" applyAlignment="1" applyProtection="1">
      <alignment horizontal="center" vertical="center" wrapText="1"/>
      <protection locked="0"/>
    </xf>
    <xf numFmtId="0" fontId="0" fillId="0" borderId="0" xfId="0" applyFill="1">
      <alignment vertical="center"/>
    </xf>
    <xf numFmtId="0" fontId="146" fillId="0" borderId="0" xfId="0" applyFont="1" applyFill="1">
      <alignment vertical="center"/>
    </xf>
    <xf numFmtId="0" fontId="146" fillId="0" borderId="2" xfId="0" applyFont="1" applyBorder="1">
      <alignment vertical="center"/>
    </xf>
    <xf numFmtId="0" fontId="0" fillId="0" borderId="2" xfId="0" applyBorder="1">
      <alignment vertical="center"/>
    </xf>
    <xf numFmtId="0" fontId="0" fillId="16" borderId="2" xfId="0" applyFill="1" applyBorder="1">
      <alignment vertical="center"/>
    </xf>
    <xf numFmtId="0" fontId="146" fillId="16" borderId="2" xfId="0" applyFont="1" applyFill="1" applyBorder="1">
      <alignment vertical="center"/>
    </xf>
    <xf numFmtId="0" fontId="148" fillId="16" borderId="2" xfId="0" applyFont="1" applyFill="1" applyBorder="1">
      <alignment vertical="center"/>
    </xf>
    <xf numFmtId="0" fontId="0" fillId="19" borderId="2" xfId="0" applyFill="1" applyBorder="1">
      <alignment vertical="center"/>
    </xf>
    <xf numFmtId="0" fontId="146" fillId="19" borderId="2" xfId="0" applyFont="1" applyFill="1" applyBorder="1">
      <alignment vertical="center"/>
    </xf>
    <xf numFmtId="0" fontId="148" fillId="19" borderId="2" xfId="0" applyFont="1" applyFill="1" applyBorder="1">
      <alignment vertical="center"/>
    </xf>
    <xf numFmtId="0" fontId="0" fillId="20" borderId="2" xfId="0" applyFill="1" applyBorder="1">
      <alignment vertical="center"/>
    </xf>
    <xf numFmtId="0" fontId="146" fillId="20" borderId="2" xfId="0" applyFont="1" applyFill="1" applyBorder="1">
      <alignment vertical="center"/>
    </xf>
    <xf numFmtId="0" fontId="148" fillId="20" borderId="2" xfId="0" applyFont="1" applyFill="1" applyBorder="1">
      <alignment vertical="center"/>
    </xf>
    <xf numFmtId="0" fontId="146" fillId="6" borderId="0" xfId="0" applyFont="1" applyFill="1" applyAlignment="1"/>
    <xf numFmtId="49" fontId="262" fillId="0" borderId="7"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49" fontId="145" fillId="0" borderId="53"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85" fillId="0" borderId="50"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2" xfId="0" applyFont="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22"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21</xdr:row>
      <xdr:rowOff>144780</xdr:rowOff>
    </xdr:from>
    <xdr:to>
      <xdr:col>3</xdr:col>
      <xdr:colOff>321029</xdr:colOff>
      <xdr:row>64</xdr:row>
      <xdr:rowOff>132429</xdr:rowOff>
    </xdr:to>
    <xdr:pic>
      <xdr:nvPicPr>
        <xdr:cNvPr id="2" name="图片 1"/>
        <xdr:cNvPicPr>
          <a:picLocks noChangeAspect="1"/>
        </xdr:cNvPicPr>
      </xdr:nvPicPr>
      <xdr:blipFill>
        <a:blip xmlns:r="http://schemas.openxmlformats.org/officeDocument/2006/relationships" r:embed="rId1"/>
        <a:stretch>
          <a:fillRect/>
        </a:stretch>
      </xdr:blipFill>
      <xdr:spPr>
        <a:xfrm>
          <a:off x="83820" y="3977640"/>
          <a:ext cx="6607529" cy="7851489"/>
        </a:xfrm>
        <a:prstGeom prst="rect">
          <a:avLst/>
        </a:prstGeom>
      </xdr:spPr>
    </xdr:pic>
    <xdr:clientData/>
  </xdr:twoCellAnchor>
  <xdr:twoCellAnchor editAs="oneCell">
    <xdr:from>
      <xdr:col>4</xdr:col>
      <xdr:colOff>0</xdr:colOff>
      <xdr:row>21</xdr:row>
      <xdr:rowOff>0</xdr:rowOff>
    </xdr:from>
    <xdr:to>
      <xdr:col>13</xdr:col>
      <xdr:colOff>465846</xdr:colOff>
      <xdr:row>62</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7781925" y="3609975"/>
          <a:ext cx="7038096" cy="7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361750</xdr:colOff>
      <xdr:row>42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77150" cy="7248525"/>
        </a:xfrm>
        <a:prstGeom prst="rect">
          <a:avLst/>
        </a:prstGeom>
      </xdr:spPr>
    </xdr:pic>
    <xdr:clientData/>
  </xdr:twoCellAnchor>
  <xdr:twoCellAnchor editAs="oneCell">
    <xdr:from>
      <xdr:col>14</xdr:col>
      <xdr:colOff>0</xdr:colOff>
      <xdr:row>0</xdr:row>
      <xdr:rowOff>0</xdr:rowOff>
    </xdr:from>
    <xdr:to>
      <xdr:col>38</xdr:col>
      <xdr:colOff>359849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16819049" cy="7171429"/>
        </a:xfrm>
        <a:prstGeom prst="rect">
          <a:avLst/>
        </a:prstGeom>
      </xdr:spPr>
    </xdr:pic>
    <xdr:clientData/>
  </xdr:twoCellAnchor>
  <xdr:twoCellAnchor editAs="oneCell">
    <xdr:from>
      <xdr:col>0</xdr:col>
      <xdr:colOff>0</xdr:colOff>
      <xdr:row>43</xdr:row>
      <xdr:rowOff>0</xdr:rowOff>
    </xdr:from>
    <xdr:to>
      <xdr:col>21</xdr:col>
      <xdr:colOff>274391</xdr:colOff>
      <xdr:row>92</xdr:row>
      <xdr:rowOff>27522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4676191" cy="8428572"/>
        </a:xfrm>
        <a:prstGeom prst="rect">
          <a:avLst/>
        </a:prstGeom>
      </xdr:spPr>
    </xdr:pic>
    <xdr:clientData/>
  </xdr:twoCellAnchor>
  <xdr:twoCellAnchor editAs="oneCell">
    <xdr:from>
      <xdr:col>0</xdr:col>
      <xdr:colOff>0</xdr:colOff>
      <xdr:row>93</xdr:row>
      <xdr:rowOff>0</xdr:rowOff>
    </xdr:from>
    <xdr:to>
      <xdr:col>9</xdr:col>
      <xdr:colOff>170658</xdr:colOff>
      <xdr:row>133</xdr:row>
      <xdr:rowOff>65810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6342858" cy="6923810"/>
        </a:xfrm>
        <a:prstGeom prst="rect">
          <a:avLst/>
        </a:prstGeom>
      </xdr:spPr>
    </xdr:pic>
    <xdr:clientData/>
  </xdr:twoCellAnchor>
  <xdr:twoCellAnchor editAs="oneCell">
    <xdr:from>
      <xdr:col>10</xdr:col>
      <xdr:colOff>0</xdr:colOff>
      <xdr:row>93</xdr:row>
      <xdr:rowOff>0</xdr:rowOff>
    </xdr:from>
    <xdr:to>
      <xdr:col>18</xdr:col>
      <xdr:colOff>685029</xdr:colOff>
      <xdr:row>132</xdr:row>
      <xdr:rowOff>8689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15944850"/>
          <a:ext cx="6171429" cy="66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北京市顺义区北小营镇顺义新城第30街区30-01-02地块R2二类居住用地出让国有建设用地使用权抵押价格预评估</v>
      </c>
      <c r="AX2" s="2849"/>
      <c r="AZ2" s="2849"/>
      <c r="BA2" s="2850"/>
      <c r="BC2" s="2850"/>
    </row>
    <row r="3" spans="1:55" s="2851" customFormat="1">
      <c r="A3" s="2830" t="s">
        <v>2659</v>
      </c>
      <c r="B3" s="2833" t="str">
        <f>'预评函-封皮'!B40</f>
        <v>北京展拓置业有限公司</v>
      </c>
    </row>
    <row r="4" spans="1:55" s="2832" customFormat="1">
      <c r="A4" s="2830" t="s">
        <v>2660</v>
      </c>
      <c r="B4" s="2831" t="str">
        <f>'预评函-封皮'!B46</f>
        <v>崔锴、赵雯</v>
      </c>
      <c r="N4" s="2832" t="str">
        <f>'预评函-1'!A28</f>
        <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受贵公司委托，我公司对北京市顺义区北小营镇顺义新城第30街区30-01-02地块R2二类居住用地出让国有建设用地使用权抵押价格进行了预评估。</v>
      </c>
      <c r="AM6" s="2855"/>
    </row>
    <row r="7" spans="1:55" s="2829" customFormat="1">
      <c r="A7" s="2830" t="s">
        <v>2655</v>
      </c>
      <c r="B7" s="2831" t="str">
        <f>'预评函-1'!A6</f>
        <v>估价对象为北京城茂房地产开发有限公司使用的、位于北京市顺义区北小营镇顺义新城第30街区30-01-02地块R2二类居住用地出让国有建设用地使用权。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2657</v>
      </c>
      <c r="B10" s="2831" t="str">
        <f>'预评函-1'!A11</f>
        <v>2019年12月31日</v>
      </c>
    </row>
    <row r="11" spans="1:55" s="2829" customFormat="1">
      <c r="A11" s="2830" t="s">
        <v>2663</v>
      </c>
      <c r="B11" s="2831" t="str">
        <f>'预评函-1'!A14</f>
        <v>根据《不动产权证书》[京（2019）顺不动产权第00024024号]，本次评估估价对象证载（地类）用途为城镇住宅用地。</v>
      </c>
    </row>
    <row r="12" spans="1:55" s="2829" customFormat="1">
      <c r="A12" s="2830" t="s">
        <v>2664</v>
      </c>
      <c r="B12" s="2831" t="str">
        <f>'预评函-1'!A15</f>
        <v>根据《国有建设用地使用权出让合同》[电子监管号：1101002019B02714]及附件、《北京市顺义区北小营镇顺义新城第30街区30-01-02地块总经济技术指标》，估价对象土地规划用途为住宅、地下仓储及地下车库，上述用途符合《国有土地使用证》证载地类范围。本次评估设定用途为住宅、地下仓储及地下车库。</v>
      </c>
    </row>
    <row r="13" spans="1:55" s="2829" customFormat="1">
      <c r="A13" s="2830" t="s">
        <v>2665</v>
      </c>
      <c r="B13" s="2831" t="str">
        <f>'预评函-1'!A17</f>
        <v>根据委托估价方介绍及评估专业人员现场勘查，本次评估估价对象实际土地开发程度为红线外市政基础设施达“七通”（即通路、通电、通上水、、、、）、宗地红线内场地平整。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16" spans="1:55" s="2829" customFormat="1">
      <c r="A16" s="2830" t="s">
        <v>2667</v>
      </c>
      <c r="B16" s="2831" t="str">
        <f>'预评函-1'!A22</f>
        <v>本次估价对象为出让国有建设用地使用权，依据《不动产权证书》[京（2019）顺不动产权第00024024号]、《国有建设用地使用权出让合同》[电子监管号：1101002019B02714]及附件、《北京市顺义区北小营镇顺义新城第30街区30-01-02地块总经济技术指标》，土地终止日期为住宅2089年10月7日车库2069年10月7日、仓储2069年10月7日。截至估价期日，出让国有建设用地使用权剩余土地使用年限为住宅69.8年、地下仓储及地下车库49.8年。</v>
      </c>
    </row>
    <row r="17" spans="1:48" s="2829" customFormat="1">
      <c r="A17" s="2830" t="s">
        <v>2668</v>
      </c>
      <c r="B17" s="2831" t="str">
        <f>'预评函-1'!A23</f>
        <v>本次评估设定估价对象剩余土地使用年限为住宅69.8年、地下仓储及地下车库49.8年。</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2672</v>
      </c>
      <c r="B21" s="2853" t="str">
        <f>'预评函-1'!A28</f>
        <v/>
      </c>
    </row>
    <row r="22" spans="1:48" ht="15" thickTop="1">
      <c r="A22" s="2841" t="s">
        <v>2673</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估价期日：2019年12月31日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t="str">
        <f>'预评函-2'!E5</f>
        <v>城镇住宅用地</v>
      </c>
      <c r="AV32" s="2835"/>
    </row>
    <row r="33" spans="1:2">
      <c r="A33" s="2830" t="s">
        <v>2711</v>
      </c>
      <c r="B33" s="2831">
        <f>'预评函-2'!F5</f>
        <v>258</v>
      </c>
    </row>
    <row r="34" spans="1:2">
      <c r="A34" s="2830" t="s">
        <v>2712</v>
      </c>
      <c r="B34" s="2831" t="str">
        <f>'预评函-2'!G5</f>
        <v>住宅、地下仓储及地下车库</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红线外七通、宗地红线内场地平整</v>
      </c>
    </row>
    <row r="39" spans="1:2">
      <c r="A39" s="2830" t="s">
        <v>2717</v>
      </c>
      <c r="B39" s="2831" t="str">
        <f>'预评函-2'!L5</f>
        <v>红线外七通、宗地红线内场地平整</v>
      </c>
    </row>
    <row r="40" spans="1:2">
      <c r="A40" s="2830" t="s">
        <v>2736</v>
      </c>
      <c r="B40" s="2831" t="str">
        <f>'预评函-2'!M3</f>
        <v>（剩余）土地使用年限/年</v>
      </c>
    </row>
    <row r="41" spans="1:2">
      <c r="A41" s="2830" t="s">
        <v>2718</v>
      </c>
      <c r="B41" s="2831" t="str">
        <f>'预评函-2'!M5</f>
        <v>住宅69.8年、地下仓储及地下车库49.8年</v>
      </c>
    </row>
    <row r="42" spans="1:2">
      <c r="A42" s="2830" t="s">
        <v>2737</v>
      </c>
      <c r="B42" s="2831" t="str">
        <f>'预评函-2'!N3</f>
        <v>（分摊）出让国有建设用地使用权面积/㎡</v>
      </c>
    </row>
    <row r="43" spans="1:2">
      <c r="A43" s="2830" t="s">
        <v>2719</v>
      </c>
      <c r="B43" s="2831">
        <f>'预评函-2'!N5</f>
        <v>142581.63</v>
      </c>
    </row>
    <row r="44" spans="1:2">
      <c r="A44" s="2830" t="s">
        <v>2738</v>
      </c>
      <c r="B44" s="2831" t="str">
        <f>'预评函-2'!O3</f>
        <v>规划建筑面积/㎡</v>
      </c>
    </row>
    <row r="45" spans="1:2">
      <c r="A45" s="2830" t="s">
        <v>2720</v>
      </c>
      <c r="B45" s="2831">
        <f>'预评函-2'!O5</f>
        <v>421294.36999999976</v>
      </c>
    </row>
    <row r="46" spans="1:2">
      <c r="A46" s="2830" t="s">
        <v>2721</v>
      </c>
      <c r="B46" s="2831">
        <f ca="1">'预评函-2'!P5</f>
        <v>30654</v>
      </c>
    </row>
    <row r="47" spans="1:2">
      <c r="A47" s="2830" t="s">
        <v>2722</v>
      </c>
      <c r="B47" s="2831">
        <f ca="1">'预评函-2'!Q5</f>
        <v>10374</v>
      </c>
    </row>
    <row r="48" spans="1:2">
      <c r="A48" s="2830" t="s">
        <v>2723</v>
      </c>
      <c r="B48" s="2831">
        <f ca="1">'预评函-2'!R5</f>
        <v>437065</v>
      </c>
    </row>
    <row r="49" spans="1:2">
      <c r="A49" s="2830" t="s">
        <v>2739</v>
      </c>
      <c r="B49" s="2831" t="str">
        <f>'预评函-2'!A6</f>
        <v>抵押价格</v>
      </c>
    </row>
    <row r="50" spans="1:2">
      <c r="A50" s="2830" t="s">
        <v>2724</v>
      </c>
      <c r="B50" s="2831">
        <f ca="1">'预评函-2'!R6</f>
        <v>432111</v>
      </c>
    </row>
    <row r="51" spans="1:2">
      <c r="A51" s="2830" t="s">
        <v>2740</v>
      </c>
      <c r="B51" s="2831" t="str">
        <f>'预评函-2'!A7</f>
        <v>——</v>
      </c>
    </row>
    <row r="52" spans="1:2">
      <c r="A52" s="2830" t="s">
        <v>2725</v>
      </c>
      <c r="B52" s="2831" t="str">
        <f>'预评函-2'!R7</f>
        <v>——</v>
      </c>
    </row>
    <row r="53" spans="1:2">
      <c r="A53" s="2830" t="s">
        <v>2741</v>
      </c>
      <c r="B53" s="2831" t="str">
        <f>'预评函-2'!A8</f>
        <v>——</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1.权利限制：根据估价对象《不动产权证书》原件、《国有土地使用权》复印件，截至估价期日，估价对象抵押权未见登记。未设定租赁等其他他项权利。</v>
      </c>
    </row>
    <row r="56" spans="1:2">
      <c r="A56" s="2830" t="s">
        <v>2677</v>
      </c>
      <c r="B56" s="2831" t="str">
        <f>'预评函-3'!A3</f>
        <v>2.基础设施条件：估价对象实际开发程度为红线外七通、宗地红线内场地平整；本次评估设定开发程度为红线外七通、宗地红线内场地平整。</v>
      </c>
    </row>
    <row r="57" spans="1:2">
      <c r="A57" s="2830" t="s">
        <v>2678</v>
      </c>
      <c r="B57" s="2831" t="str">
        <f>'预评函-3'!A4</f>
        <v>3.估价规划限制条件：详见《北京市顺义区北小营镇顺义新城第30街区30-01-02地块总经济技术指标》。</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（1）根据估价对象《不动产权证书》原件、《国有土地使用权》复印件，截至估价期日，估价对象抵押权未见登记。</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综上，本次评估估价师知悉的法定优先受偿款为人民币4954万元整。</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崔锴</v>
      </c>
    </row>
    <row r="70" spans="1:2">
      <c r="A70" s="2830" t="s">
        <v>2688</v>
      </c>
      <c r="B70" s="2837">
        <f ca="1">'预评函-3'!B20</f>
        <v>2010110070</v>
      </c>
    </row>
    <row r="71" spans="1:2">
      <c r="A71" s="2830" t="s">
        <v>2689</v>
      </c>
      <c r="B71" s="2831" t="str">
        <f>'预评函-3'!A21</f>
        <v>赵雯</v>
      </c>
    </row>
    <row r="72" spans="1:2" s="2845" customFormat="1" ht="15" thickBot="1">
      <c r="A72" s="2852" t="s">
        <v>2689</v>
      </c>
      <c r="B72" s="2858">
        <f ca="1">'预评函-3'!B21</f>
        <v>2011110090</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6" sqref="G6"/>
    </sheetView>
  </sheetViews>
  <sheetFormatPr defaultColWidth="10" defaultRowHeight="14.25"/>
  <cols>
    <col min="1" max="1" width="15.375" style="1672" customWidth="1"/>
    <col min="2" max="2" width="11.375" style="1672" customWidth="1"/>
    <col min="3" max="3" width="12.625" style="1672" customWidth="1"/>
    <col min="4" max="4" width="12.1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83" t="str">
        <f>IF(B10="北京市","北京市",C10)&amp;F10&amp;B16&amp;"国有建设用地使用权"&amp;B9&amp;"预评估"</f>
        <v>北京市顺义区北小营镇顺义新城第30街区30-01-02地块R2二类居住用地出让国有建设用地使用权抵押价格预评估</v>
      </c>
      <c r="C1" s="3284"/>
      <c r="D1" s="3284"/>
      <c r="E1" s="3284"/>
      <c r="F1" s="3284"/>
      <c r="G1" s="3284"/>
      <c r="H1" s="3284"/>
      <c r="I1" s="3285"/>
      <c r="J1" s="1675"/>
      <c r="K1" s="2416" t="str">
        <f>IF(B10="北京市","北京市",C10)&amp;F10&amp;B16&amp;"国有建设用地使用权"&amp;B9</f>
        <v>北京市顺义区北小营镇顺义新城第30街区30-01-02地块R2二类居住用地出让国有建设用地使用权抵押价格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北京市顺义区北小营镇顺义新城第30街区30-01-02地块R2二类居住用地出让国有建设用地使用权</v>
      </c>
      <c r="L2" s="1704"/>
      <c r="M2" s="1704"/>
      <c r="N2" s="1675"/>
      <c r="O2" s="1676"/>
      <c r="P2" s="1675"/>
      <c r="Q2" s="1675"/>
      <c r="R2" s="1675"/>
      <c r="S2" s="1675"/>
      <c r="T2" s="1675"/>
      <c r="U2" s="1675"/>
    </row>
    <row r="3" spans="1:21">
      <c r="A3" s="1642" t="s">
        <v>1939</v>
      </c>
      <c r="B3" s="1643">
        <v>43805</v>
      </c>
      <c r="C3" s="1644" t="s">
        <v>1995</v>
      </c>
      <c r="D3" s="1643">
        <v>43830</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2992</v>
      </c>
      <c r="C4" s="1827">
        <f ca="1">SUMIF(土地估价师,B4,估价师及机构信息!E3:E24)</f>
        <v>2010110070</v>
      </c>
      <c r="D4" s="1824" t="s">
        <v>2991</v>
      </c>
      <c r="E4" s="1827">
        <f ca="1">SUMIF(土地估价师,D4,估价师及机构信息!E3:E24)</f>
        <v>2011110090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崔锴、赵雯</v>
      </c>
      <c r="L4" s="1704"/>
      <c r="M4" s="1704"/>
      <c r="N4" s="1675"/>
      <c r="O4" s="1676"/>
      <c r="P4" s="1675"/>
      <c r="Q4" s="1675"/>
      <c r="R4" s="1675"/>
      <c r="S4" s="1675"/>
      <c r="T4" s="1675"/>
      <c r="U4" s="1675"/>
    </row>
    <row r="5" spans="1:21" ht="15" thickTop="1">
      <c r="A5" s="1646" t="s">
        <v>1941</v>
      </c>
      <c r="B5" s="1770" t="s">
        <v>3158</v>
      </c>
      <c r="C5" s="1647"/>
      <c r="D5" s="1648"/>
      <c r="E5" s="1675"/>
      <c r="F5" s="1675"/>
      <c r="G5" s="1675"/>
      <c r="H5" s="1641"/>
      <c r="I5" s="1676"/>
      <c r="J5" s="1675"/>
      <c r="K5" s="1755"/>
      <c r="L5" s="1704"/>
      <c r="M5" s="1704"/>
      <c r="N5" s="1675"/>
      <c r="O5" s="1676"/>
      <c r="P5" s="1675"/>
      <c r="Q5" s="1675"/>
      <c r="R5" s="1675"/>
      <c r="S5" s="1675"/>
      <c r="T5" s="1675"/>
      <c r="U5" s="1675"/>
    </row>
    <row r="6" spans="1:21" ht="26.25">
      <c r="A6" s="1644" t="s">
        <v>2704</v>
      </c>
      <c r="B6" s="1770" t="s">
        <v>3151</v>
      </c>
      <c r="C6" s="1742"/>
      <c r="D6" s="1649"/>
      <c r="E6" s="1675"/>
      <c r="F6" s="1675"/>
      <c r="G6" s="1675"/>
      <c r="H6" s="1641"/>
      <c r="I6" s="1676"/>
      <c r="J6" s="1675"/>
      <c r="K6" s="3001" t="str">
        <f>IF(COUNTIF(B6,"*上海银行*"),"上海银行","")</f>
        <v/>
      </c>
      <c r="L6" s="1704"/>
      <c r="M6" s="1704"/>
      <c r="N6" s="1675"/>
      <c r="O6" s="1676"/>
      <c r="P6" s="1675"/>
      <c r="Q6" s="1675"/>
      <c r="R6" s="1675"/>
      <c r="S6" s="1675"/>
      <c r="T6" s="1675"/>
      <c r="U6" s="1675"/>
    </row>
    <row r="7" spans="1:21">
      <c r="A7" s="1650" t="s">
        <v>2705</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2986</v>
      </c>
      <c r="C8" s="1652"/>
      <c r="D8" s="3289" t="s">
        <v>1944</v>
      </c>
      <c r="E8" s="1825" t="s">
        <v>2993</v>
      </c>
      <c r="F8" s="1653"/>
      <c r="G8" s="1641"/>
      <c r="H8" s="1641"/>
      <c r="I8" s="1688"/>
      <c r="J8" s="1675"/>
      <c r="K8" s="1755"/>
      <c r="L8" s="1704"/>
      <c r="M8" s="1704"/>
      <c r="N8" s="1675"/>
      <c r="O8" s="1676"/>
      <c r="P8" s="1675"/>
      <c r="Q8" s="1675"/>
      <c r="R8" s="1675"/>
      <c r="S8" s="1675"/>
      <c r="T8" s="1675"/>
      <c r="U8" s="1675"/>
    </row>
    <row r="9" spans="1:21" ht="15" thickBot="1">
      <c r="A9" s="1654" t="s">
        <v>1943</v>
      </c>
      <c r="B9" s="1655" t="s">
        <v>2993</v>
      </c>
      <c r="C9" s="1656"/>
      <c r="D9" s="3290"/>
      <c r="E9" s="1655" t="s">
        <v>952</v>
      </c>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7"/>
      <c r="D10" s="1648"/>
      <c r="E10" s="1658" t="s">
        <v>1946</v>
      </c>
      <c r="F10" s="1659" t="s">
        <v>2996</v>
      </c>
      <c r="G10" s="1726"/>
      <c r="H10" s="1727"/>
      <c r="I10" s="1648"/>
      <c r="J10" s="1675"/>
      <c r="K10" s="1755"/>
      <c r="L10" s="1704"/>
      <c r="M10" s="1704"/>
      <c r="N10" s="1675"/>
      <c r="O10" s="1676"/>
      <c r="P10" s="1675"/>
      <c r="Q10" s="1675"/>
      <c r="R10" s="1675"/>
      <c r="S10" s="1675"/>
      <c r="T10" s="1675"/>
      <c r="U10" s="1675"/>
    </row>
    <row r="11" spans="1:21" ht="42.75">
      <c r="A11" s="1678" t="s">
        <v>1999</v>
      </c>
      <c r="B11" s="1679" t="s">
        <v>2994</v>
      </c>
      <c r="C11" s="1660" t="s">
        <v>2995</v>
      </c>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286" t="s">
        <v>2997</v>
      </c>
      <c r="C12" s="3287"/>
      <c r="D12" s="3288"/>
      <c r="E12" s="1680" t="s">
        <v>2060</v>
      </c>
      <c r="F12" s="3304" t="s">
        <v>3159</v>
      </c>
      <c r="G12" s="3305"/>
      <c r="H12" s="3305"/>
      <c r="I12" s="3306"/>
      <c r="J12" s="1675"/>
      <c r="K12" s="1755"/>
      <c r="L12" s="1704"/>
      <c r="M12" s="1704"/>
      <c r="N12" s="1675"/>
      <c r="O12" s="1676"/>
      <c r="P12" s="1675"/>
      <c r="Q12" s="1675"/>
      <c r="R12" s="1675"/>
      <c r="S12" s="1675"/>
      <c r="T12" s="1675"/>
      <c r="U12" s="1675"/>
    </row>
    <row r="13" spans="1:21">
      <c r="A13" s="1668" t="s">
        <v>2058</v>
      </c>
      <c r="B13" s="3286" t="s">
        <v>3152</v>
      </c>
      <c r="C13" s="3287"/>
      <c r="D13" s="3288"/>
      <c r="E13" s="1680" t="s">
        <v>2060</v>
      </c>
      <c r="F13" s="3304" t="s">
        <v>3153</v>
      </c>
      <c r="G13" s="3305"/>
      <c r="H13" s="3305"/>
      <c r="I13" s="3306"/>
      <c r="J13" s="1675"/>
      <c r="K13" s="1755"/>
      <c r="L13" s="1704"/>
      <c r="M13" s="1704"/>
      <c r="N13" s="1675"/>
      <c r="O13" s="1676"/>
      <c r="P13" s="1675"/>
      <c r="Q13" s="1675"/>
      <c r="R13" s="1675"/>
      <c r="S13" s="1675"/>
      <c r="T13" s="1675"/>
      <c r="U13" s="1675"/>
    </row>
    <row r="14" spans="1:21">
      <c r="A14" s="1642" t="s">
        <v>2061</v>
      </c>
      <c r="B14" s="1680"/>
      <c r="C14" s="1826" t="s">
        <v>2999</v>
      </c>
      <c r="D14" s="1714" t="str">
        <f>IF(C14="不一致","是否符合证载地类范围","")</f>
        <v>是否符合证载地类范围</v>
      </c>
      <c r="E14" s="1680"/>
      <c r="F14" s="1771" t="s">
        <v>2998</v>
      </c>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2981</v>
      </c>
      <c r="C16" s="1680" t="s">
        <v>1948</v>
      </c>
      <c r="D16" s="2607" t="s">
        <v>1949</v>
      </c>
      <c r="E16" s="1703"/>
      <c r="F16" s="1703"/>
      <c r="G16" s="1703" t="s">
        <v>3000</v>
      </c>
      <c r="H16" s="1703" t="s">
        <v>3001</v>
      </c>
      <c r="I16" s="1667" t="s">
        <v>1954</v>
      </c>
      <c r="J16" s="1675"/>
      <c r="K16" s="2417" t="str">
        <f>IF(D17="","",D16&amp;TEXT(D17,"yyyy年m月d日;;"))</f>
        <v>住宅2089年10月7日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车库2069年10月7日</v>
      </c>
      <c r="R16" s="1680" t="str">
        <f>IF(OR(Q16="",S16=""),"","、")</f>
        <v>、</v>
      </c>
      <c r="S16" s="2417" t="str">
        <f>IF(H17="","",H16&amp;TEXT(H17,"yyyy年m月d日;;"))</f>
        <v>仓储2069年10月7日</v>
      </c>
      <c r="T16" s="1680" t="str">
        <f>IF(OR(S16="",U16=""),"","、")</f>
        <v/>
      </c>
      <c r="U16" s="2417" t="str">
        <f>IF(I17="","",I16&amp;TEXT(I17,"yyyy年m月d日;;"))</f>
        <v/>
      </c>
    </row>
    <row r="17" spans="1:21">
      <c r="A17" s="1744"/>
      <c r="B17" s="1663"/>
      <c r="C17" s="1664" t="s">
        <v>1955</v>
      </c>
      <c r="D17" s="1681">
        <v>69313</v>
      </c>
      <c r="E17" s="1681"/>
      <c r="F17" s="1681"/>
      <c r="G17" s="1681">
        <v>62008</v>
      </c>
      <c r="H17" s="1681">
        <v>62008</v>
      </c>
      <c r="I17" s="1681"/>
      <c r="J17" s="1675"/>
      <c r="K17" s="2416" t="str">
        <f>CONCATENATE(K16,L16,M16,N16,O16,P16,Q16,R16,S16,T16,,U16)</f>
        <v>住宅2089年10月7日车库2069年10月7日、仓储2069年10月7日</v>
      </c>
      <c r="L17" s="1704"/>
      <c r="M17" s="1704"/>
      <c r="N17" s="1675"/>
      <c r="O17" s="1676"/>
      <c r="P17" s="1675"/>
      <c r="Q17" s="1675"/>
      <c r="R17" s="1675"/>
      <c r="S17" s="1675"/>
      <c r="T17" s="1675"/>
      <c r="U17" s="1675"/>
    </row>
    <row r="18" spans="1:21">
      <c r="A18" s="1744"/>
      <c r="B18" s="1663"/>
      <c r="C18" s="1664" t="s">
        <v>1956</v>
      </c>
      <c r="D18" s="1665">
        <v>70</v>
      </c>
      <c r="E18" s="1665"/>
      <c r="F18" s="1665"/>
      <c r="G18" s="1665">
        <v>50</v>
      </c>
      <c r="H18" s="1665">
        <v>50</v>
      </c>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69.81</v>
      </c>
      <c r="E19" s="1666" t="str">
        <f>IF(B16="出让",IF(E17="","",ROUNDDOWN(MIN((E17-$D$3)/365,E18),2)),E18)</f>
        <v/>
      </c>
      <c r="F19" s="1666" t="str">
        <f>IF(B16="出让",IF(F17="","",ROUNDDOWN(MIN((F17-$D$3)/365,F18),2)),F18)</f>
        <v/>
      </c>
      <c r="G19" s="1666">
        <f>IF(B16="出让",IF(G17="","",ROUNDDOWN(MIN((G17-$D$3)/365,G18),2)),G18)</f>
        <v>49.8</v>
      </c>
      <c r="H19" s="1666">
        <f>IF(B16="出让",IF(H17="","",ROUNDDOWN(MIN((H17-$D$3)/365,H18),2)),H18)</f>
        <v>49.8</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301" t="s">
        <v>3002</v>
      </c>
      <c r="E20" s="3302"/>
      <c r="F20" s="3302"/>
      <c r="G20" s="3302"/>
      <c r="H20" s="3302"/>
      <c r="I20" s="3303"/>
      <c r="J20" s="1675"/>
      <c r="K20" s="1755"/>
      <c r="L20" s="1704"/>
      <c r="M20" s="1704"/>
      <c r="N20" s="1675"/>
      <c r="O20" s="1676"/>
      <c r="P20" s="1675"/>
      <c r="Q20" s="1675"/>
      <c r="R20" s="1675"/>
      <c r="S20" s="1675"/>
      <c r="T20" s="1675"/>
      <c r="U20" s="1675"/>
    </row>
    <row r="21" spans="1:21">
      <c r="A21" s="1744" t="s">
        <v>1958</v>
      </c>
      <c r="B21" s="1745" t="s">
        <v>1959</v>
      </c>
      <c r="C21" s="1740">
        <f>'数据-汇总表'!E3</f>
        <v>421294.36999999976</v>
      </c>
      <c r="D21" s="1741" t="s">
        <v>1960</v>
      </c>
      <c r="E21" s="3291" t="s">
        <v>3154</v>
      </c>
      <c r="F21" s="3292"/>
      <c r="G21" s="3292"/>
      <c r="H21" s="3292"/>
      <c r="I21" s="3293"/>
      <c r="J21" s="1675"/>
      <c r="K21" s="1755"/>
      <c r="L21" s="1704"/>
      <c r="M21" s="1704"/>
      <c r="N21" s="1675"/>
      <c r="O21" s="1676"/>
      <c r="P21" s="1675"/>
      <c r="Q21" s="1675"/>
      <c r="R21" s="1675"/>
      <c r="S21" s="1675"/>
      <c r="T21" s="1675"/>
      <c r="U21" s="1675"/>
    </row>
    <row r="22" spans="1:21">
      <c r="A22" s="3089" t="s">
        <v>952</v>
      </c>
      <c r="B22" s="1642" t="s">
        <v>1961</v>
      </c>
      <c r="C22" s="1667">
        <f>'数据-汇总表'!D3</f>
        <v>142581.63</v>
      </c>
      <c r="D22" s="1668" t="s">
        <v>1960</v>
      </c>
      <c r="E22" s="3291" t="s">
        <v>3155</v>
      </c>
      <c r="F22" s="3292"/>
      <c r="G22" s="3292"/>
      <c r="H22" s="3292"/>
      <c r="I22" s="3293"/>
      <c r="J22" s="1675"/>
      <c r="K22" s="1755"/>
      <c r="L22" s="1704"/>
      <c r="M22" s="1704"/>
      <c r="N22" s="1675"/>
      <c r="O22" s="1676"/>
      <c r="P22" s="1675"/>
      <c r="Q22" s="1675"/>
      <c r="R22" s="1675"/>
      <c r="S22" s="1675"/>
      <c r="T22" s="1675"/>
      <c r="U22" s="1675"/>
    </row>
    <row r="23" spans="1:21" ht="43.5" thickBot="1">
      <c r="A23" s="1746" t="s">
        <v>1962</v>
      </c>
      <c r="B23" s="1682" t="s">
        <v>1963</v>
      </c>
      <c r="C23" s="1683" t="s">
        <v>3003</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94" t="s">
        <v>1966</v>
      </c>
      <c r="C24" s="3295"/>
      <c r="D24" s="3296" t="s">
        <v>1967</v>
      </c>
      <c r="E24" s="3297"/>
      <c r="F24" s="1689" t="s">
        <v>1968</v>
      </c>
      <c r="G24" s="1675"/>
      <c r="H24" s="1675"/>
      <c r="I24" s="1688"/>
      <c r="J24" s="1675"/>
      <c r="K24" s="3282"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1970</v>
      </c>
      <c r="D25" s="1691"/>
      <c r="E25" s="1692" t="s">
        <v>952</v>
      </c>
      <c r="F25" s="1693"/>
      <c r="G25" s="1675"/>
      <c r="H25" s="1675"/>
      <c r="I25" s="1688"/>
      <c r="J25" s="1675"/>
      <c r="K25" s="3282"/>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1971</v>
      </c>
      <c r="C26" s="1690" t="s">
        <v>2325</v>
      </c>
      <c r="D26" s="1641"/>
      <c r="E26" s="1641"/>
      <c r="F26" s="1669"/>
      <c r="G26" s="1675"/>
      <c r="H26" s="1675"/>
      <c r="I26" s="1688"/>
      <c r="J26" s="1675"/>
      <c r="K26" s="3282"/>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268" t="s">
        <v>2000</v>
      </c>
      <c r="B31" s="1745" t="s">
        <v>2001</v>
      </c>
      <c r="C31" s="3307" t="s">
        <v>3004</v>
      </c>
      <c r="D31" s="3308"/>
      <c r="E31" s="1675"/>
      <c r="F31" s="1675"/>
      <c r="G31" s="1675"/>
      <c r="H31" s="1675"/>
      <c r="I31" s="1688"/>
      <c r="J31" s="1675"/>
      <c r="K31" s="2419"/>
      <c r="L31" s="1675"/>
      <c r="M31" s="1675"/>
      <c r="N31" s="1675"/>
      <c r="O31" s="1675"/>
      <c r="P31" s="1675"/>
      <c r="Q31" s="1675"/>
      <c r="R31" s="1675"/>
      <c r="S31" s="1675"/>
      <c r="T31" s="1675"/>
      <c r="U31" s="1675"/>
    </row>
    <row r="32" spans="1:21">
      <c r="A32" s="3268"/>
      <c r="B32" s="1642" t="s">
        <v>2002</v>
      </c>
      <c r="C32" s="1700" t="s">
        <v>3005</v>
      </c>
      <c r="D32" s="1701"/>
      <c r="E32" s="1675"/>
      <c r="F32" s="1675"/>
      <c r="G32" s="1675"/>
      <c r="H32" s="1675"/>
      <c r="I32" s="1688"/>
      <c r="J32" s="1675"/>
      <c r="K32" s="2419"/>
      <c r="L32" s="1675"/>
      <c r="M32" s="1675"/>
      <c r="N32" s="1675"/>
      <c r="O32" s="1675"/>
      <c r="P32" s="1675"/>
      <c r="Q32" s="1675"/>
      <c r="R32" s="1675"/>
      <c r="S32" s="1675"/>
      <c r="T32" s="1675"/>
      <c r="U32" s="1675"/>
    </row>
    <row r="33" spans="1:21">
      <c r="A33" s="3268"/>
      <c r="B33" s="1642" t="s">
        <v>2003</v>
      </c>
      <c r="C33" s="1702" t="s">
        <v>3003</v>
      </c>
      <c r="D33" s="1819"/>
      <c r="E33" s="1675"/>
      <c r="F33" s="1675"/>
      <c r="G33" s="1675"/>
      <c r="H33" s="1675"/>
      <c r="I33" s="1688"/>
      <c r="J33" s="1675"/>
      <c r="K33" s="2419"/>
      <c r="L33" s="1675"/>
      <c r="M33" s="1675"/>
      <c r="N33" s="1675"/>
      <c r="O33" s="1675"/>
      <c r="P33" s="1675"/>
      <c r="Q33" s="1675"/>
      <c r="R33" s="1675"/>
      <c r="S33" s="1675"/>
      <c r="T33" s="1675"/>
      <c r="U33" s="1675"/>
    </row>
    <row r="34" spans="1:21">
      <c r="A34" s="3269"/>
      <c r="B34" s="1642" t="s">
        <v>2004</v>
      </c>
      <c r="C34" s="3270"/>
      <c r="D34" s="3271"/>
      <c r="E34" s="1675"/>
      <c r="F34" s="1675"/>
      <c r="G34" s="1675"/>
      <c r="H34" s="1675"/>
      <c r="I34" s="1688"/>
      <c r="J34" s="1675"/>
      <c r="K34" s="2419"/>
      <c r="L34" s="1675"/>
      <c r="M34" s="1675"/>
      <c r="N34" s="1675"/>
      <c r="O34" s="1675"/>
      <c r="P34" s="1675"/>
      <c r="Q34" s="1675"/>
      <c r="R34" s="1675"/>
      <c r="S34" s="1675"/>
      <c r="T34" s="1675"/>
      <c r="U34" s="1675"/>
    </row>
    <row r="35" spans="1:21">
      <c r="A35" s="3272" t="s">
        <v>847</v>
      </c>
      <c r="B35" s="1703" t="s">
        <v>3006</v>
      </c>
      <c r="C35" s="1757" t="str">
        <f>IF(B35="场地平整","——","具体情况：")</f>
        <v>——</v>
      </c>
      <c r="D35" s="3274"/>
      <c r="E35" s="3275"/>
      <c r="F35" s="3275"/>
      <c r="G35" s="3275"/>
      <c r="H35" s="3275"/>
      <c r="I35" s="3276"/>
      <c r="J35" s="1675"/>
      <c r="K35" s="1756"/>
      <c r="L35" s="1704"/>
      <c r="M35" s="1704"/>
      <c r="N35" s="1675"/>
      <c r="O35" s="1676"/>
      <c r="P35" s="1675"/>
      <c r="Q35" s="1675"/>
      <c r="R35" s="1675"/>
      <c r="S35" s="1675"/>
      <c r="T35" s="1675"/>
      <c r="U35" s="1675"/>
    </row>
    <row r="36" spans="1:21">
      <c r="A36" s="3268"/>
      <c r="B36" s="3277" t="s">
        <v>2053</v>
      </c>
      <c r="C36" s="3278"/>
      <c r="D36" s="1773" t="s">
        <v>3007</v>
      </c>
      <c r="E36" s="3279"/>
      <c r="F36" s="3279"/>
      <c r="G36" s="1668" t="str">
        <f>IF(B35="场地未平整","估价结果处理","")</f>
        <v/>
      </c>
      <c r="H36" s="3280"/>
      <c r="I36" s="3280"/>
      <c r="J36" s="1675"/>
      <c r="K36" s="1756"/>
      <c r="L36" s="1704"/>
      <c r="M36" s="1704"/>
      <c r="N36" s="1675"/>
      <c r="O36" s="1676"/>
      <c r="P36" s="1675"/>
      <c r="Q36" s="1675"/>
      <c r="R36" s="1675"/>
      <c r="S36" s="1675"/>
      <c r="T36" s="1675"/>
      <c r="U36" s="1675"/>
    </row>
    <row r="37" spans="1:21" ht="28.5">
      <c r="A37" s="3268"/>
      <c r="B37" s="3298" t="s">
        <v>848</v>
      </c>
      <c r="C37" s="1705" t="s">
        <v>849</v>
      </c>
      <c r="D37" s="1706">
        <v>44087</v>
      </c>
      <c r="E37" s="1707"/>
      <c r="F37" s="1675"/>
      <c r="G37" s="1675"/>
      <c r="H37" s="1675"/>
      <c r="I37" s="1688"/>
      <c r="J37" s="1675"/>
      <c r="K37" s="1756"/>
      <c r="L37" s="1675"/>
      <c r="M37" s="1675"/>
      <c r="N37" s="1675"/>
      <c r="O37" s="1675"/>
      <c r="P37" s="1675"/>
      <c r="Q37" s="1675"/>
      <c r="R37" s="1675"/>
      <c r="S37" s="1675"/>
      <c r="T37" s="1675"/>
      <c r="U37" s="1675"/>
    </row>
    <row r="38" spans="1:21">
      <c r="A38" s="3268"/>
      <c r="B38" s="3299"/>
      <c r="C38" s="1650" t="s">
        <v>850</v>
      </c>
      <c r="D38" s="1772">
        <f>ROUNDDOWN(MIN(('数据-取费表'!$B$2-D37)/365,D34),1)</f>
        <v>-0.7</v>
      </c>
      <c r="E38" s="1708" t="s">
        <v>851</v>
      </c>
      <c r="F38" s="1675"/>
      <c r="G38" s="1675"/>
      <c r="H38" s="1675"/>
      <c r="I38" s="1688"/>
      <c r="J38" s="1675"/>
      <c r="K38" s="1756"/>
      <c r="L38" s="1675"/>
      <c r="M38" s="1675"/>
      <c r="N38" s="1675"/>
      <c r="O38" s="1675"/>
      <c r="P38" s="1675"/>
      <c r="Q38" s="1675"/>
      <c r="R38" s="1675"/>
      <c r="S38" s="1675"/>
      <c r="T38" s="1675"/>
      <c r="U38" s="1675"/>
    </row>
    <row r="39" spans="1:21">
      <c r="A39" s="3269"/>
      <c r="B39" s="3300"/>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t="s">
        <v>3008</v>
      </c>
      <c r="C40" s="1671" t="s">
        <v>3009</v>
      </c>
      <c r="D40" s="1671" t="s">
        <v>3010</v>
      </c>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281" t="s">
        <v>1985</v>
      </c>
      <c r="T40" s="1712" t="str">
        <f>NUMBERSTRING(7-K40,1)&amp;"通"</f>
        <v>七通</v>
      </c>
      <c r="U40" s="1675"/>
    </row>
    <row r="41" spans="1:21">
      <c r="A41" s="1644"/>
      <c r="B41" s="3273" t="s">
        <v>1721</v>
      </c>
      <c r="C41" s="3273"/>
      <c r="D41" s="3273"/>
      <c r="E41" s="3273"/>
      <c r="F41" s="1713">
        <f>C10</f>
        <v>0</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v>
      </c>
      <c r="P41" s="1715" t="str">
        <f>B40&amp;"、"&amp;C40&amp;"、"&amp;D40&amp;"、"&amp;E40&amp;"、"&amp;F40</f>
        <v>通路、通电、通上水、、</v>
      </c>
      <c r="Q41" s="1715" t="str">
        <f>B40&amp;"、"&amp;C40&amp;"、"&amp;D40&amp;"、"&amp;E40&amp;"、"&amp;F40&amp;"、"&amp;G40</f>
        <v>通路、通电、通上水、、、</v>
      </c>
      <c r="R41" s="1715" t="str">
        <f>B40&amp;"、"&amp;C40&amp;"、"&amp;D40&amp;"、"&amp;E40&amp;"、"&amp;F40&amp;"、"&amp;G40&amp;"、"&amp;H40</f>
        <v>通路、通电、通上水、、、、</v>
      </c>
      <c r="S41" s="3281"/>
      <c r="T41" s="1714" t="str">
        <f>IF(T40="一通",L41,IF(T40="二通",M41,IF(T40="三通",N41,IF(T40="四通",O41,IF(T40="五通",P41,IF(T40="六通",Q41,R41))))))</f>
        <v>通路、通电、通上水、、、、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2887</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55" activePane="bottomRight" state="frozen"/>
      <selection pane="topRight" activeCell="E1" sqref="E1"/>
      <selection pane="bottomLeft" activeCell="A12" sqref="A12"/>
      <selection pane="bottomRight" activeCell="AP60" sqref="AP60"/>
    </sheetView>
  </sheetViews>
  <sheetFormatPr defaultColWidth="8.875" defaultRowHeight="14.25"/>
  <cols>
    <col min="1" max="1" width="10.625" style="15" hidden="1" customWidth="1"/>
    <col min="2" max="2" width="11" style="15" hidden="1"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2332</v>
      </c>
      <c r="BA2" s="2322"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142581.63</v>
      </c>
      <c r="B3" s="22">
        <f>IF(C3="否",G5-AT5,G5)</f>
        <v>421294.3699999997</v>
      </c>
      <c r="C3" s="23" t="s">
        <v>3003</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444962.99999999971</v>
      </c>
      <c r="H5" s="27">
        <f t="shared" ref="H5:AT5" si="0">SUM(H13:H641)</f>
        <v>359665.24000000005</v>
      </c>
      <c r="I5" s="27">
        <f t="shared" si="0"/>
        <v>275334.25</v>
      </c>
      <c r="J5" s="27">
        <f t="shared" si="0"/>
        <v>0</v>
      </c>
      <c r="K5" s="27">
        <f t="shared" si="0"/>
        <v>81890.259999999995</v>
      </c>
      <c r="L5" s="27">
        <f t="shared" si="0"/>
        <v>0</v>
      </c>
      <c r="M5" s="27">
        <f t="shared" si="0"/>
        <v>2440.73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61629.12999999999</v>
      </c>
      <c r="AD5" s="27">
        <f t="shared" si="0"/>
        <v>9307.2000000000007</v>
      </c>
      <c r="AE5" s="27">
        <f t="shared" si="0"/>
        <v>0</v>
      </c>
      <c r="AF5" s="27">
        <f t="shared" si="0"/>
        <v>2890.3</v>
      </c>
      <c r="AG5" s="27">
        <f t="shared" si="0"/>
        <v>0</v>
      </c>
      <c r="AH5" s="27">
        <f t="shared" si="0"/>
        <v>143.18</v>
      </c>
      <c r="AI5" s="27">
        <f t="shared" si="0"/>
        <v>0</v>
      </c>
      <c r="AJ5" s="27">
        <f t="shared" si="0"/>
        <v>147</v>
      </c>
      <c r="AK5" s="27">
        <f t="shared" si="0"/>
        <v>0</v>
      </c>
      <c r="AL5" s="27">
        <f t="shared" si="0"/>
        <v>66.81</v>
      </c>
      <c r="AM5" s="27">
        <f t="shared" si="0"/>
        <v>0</v>
      </c>
      <c r="AN5" s="27">
        <f t="shared" si="0"/>
        <v>49074.64</v>
      </c>
      <c r="AO5" s="27">
        <f t="shared" si="0"/>
        <v>0</v>
      </c>
      <c r="AP5" s="27">
        <f t="shared" si="0"/>
        <v>0</v>
      </c>
      <c r="AQ5" s="27">
        <f t="shared" si="0"/>
        <v>0</v>
      </c>
      <c r="AR5" s="27">
        <f t="shared" si="0"/>
        <v>0</v>
      </c>
      <c r="AS5" s="27">
        <f t="shared" si="0"/>
        <v>0</v>
      </c>
      <c r="AT5" s="27">
        <f t="shared" si="0"/>
        <v>23668.629999999997</v>
      </c>
      <c r="AU5" s="986"/>
      <c r="AV5" s="26" t="s">
        <v>168</v>
      </c>
      <c r="AW5" s="987"/>
      <c r="AX5" s="987"/>
      <c r="AY5" s="28" t="s">
        <v>3</v>
      </c>
      <c r="AZ5" s="29">
        <f t="shared" ref="AZ5:BT5" si="1">SUM(AZ13:AZ641)</f>
        <v>421294.36999999976</v>
      </c>
      <c r="BA5" s="29">
        <f t="shared" si="1"/>
        <v>359665.24000000005</v>
      </c>
      <c r="BB5" s="29">
        <f t="shared" si="1"/>
        <v>275334.25</v>
      </c>
      <c r="BC5" s="29">
        <f t="shared" si="1"/>
        <v>81890.259999999995</v>
      </c>
      <c r="BD5" s="29">
        <f t="shared" si="1"/>
        <v>2440.73</v>
      </c>
      <c r="BE5" s="29">
        <f t="shared" si="1"/>
        <v>0</v>
      </c>
      <c r="BF5" s="29">
        <f t="shared" si="1"/>
        <v>0</v>
      </c>
      <c r="BG5" s="29">
        <f t="shared" si="1"/>
        <v>0</v>
      </c>
      <c r="BH5" s="29">
        <f t="shared" si="1"/>
        <v>0</v>
      </c>
      <c r="BI5" s="29">
        <f t="shared" si="1"/>
        <v>0</v>
      </c>
      <c r="BJ5" s="29">
        <f t="shared" si="1"/>
        <v>0</v>
      </c>
      <c r="BK5" s="29">
        <f t="shared" si="1"/>
        <v>0</v>
      </c>
      <c r="BL5" s="29">
        <f t="shared" si="1"/>
        <v>61629.12999999999</v>
      </c>
      <c r="BM5" s="29">
        <f t="shared" si="1"/>
        <v>9307.2000000000007</v>
      </c>
      <c r="BN5" s="29">
        <f t="shared" si="1"/>
        <v>2890.3</v>
      </c>
      <c r="BO5" s="29">
        <f t="shared" si="1"/>
        <v>143.18</v>
      </c>
      <c r="BP5" s="29">
        <f t="shared" si="1"/>
        <v>147</v>
      </c>
      <c r="BQ5" s="29">
        <f t="shared" si="1"/>
        <v>66.81</v>
      </c>
      <c r="BR5" s="29">
        <f t="shared" si="1"/>
        <v>49074.64</v>
      </c>
      <c r="BS5" s="29">
        <f t="shared" si="1"/>
        <v>0</v>
      </c>
      <c r="BT5" s="30">
        <f t="shared" si="1"/>
        <v>0</v>
      </c>
    </row>
    <row r="6" spans="1:72" s="37" customFormat="1" ht="12.75">
      <c r="A6" s="26" t="s">
        <v>169</v>
      </c>
      <c r="B6" s="31"/>
      <c r="C6" s="31"/>
      <c r="D6" s="32"/>
      <c r="E6" s="27">
        <f>H6+AC6+AT6</f>
        <v>142581.63</v>
      </c>
      <c r="F6" s="27" t="s">
        <v>1</v>
      </c>
      <c r="G6" s="27" t="s">
        <v>2</v>
      </c>
      <c r="H6" s="33">
        <f>SUMIF(I$12:AB$12,"总值",I6:AB6)</f>
        <v>121724.05</v>
      </c>
      <c r="I6" s="27">
        <f t="shared" ref="I6:AB6" si="2">ROUND($A$3*I5/$B$3,2)</f>
        <v>93183.32</v>
      </c>
      <c r="J6" s="27">
        <f t="shared" si="2"/>
        <v>0</v>
      </c>
      <c r="K6" s="27">
        <f t="shared" si="2"/>
        <v>27714.7</v>
      </c>
      <c r="L6" s="27">
        <f t="shared" si="2"/>
        <v>0</v>
      </c>
      <c r="M6" s="27">
        <f t="shared" si="2"/>
        <v>826.03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20857.580000000002</v>
      </c>
      <c r="AD6" s="27">
        <f t="shared" ref="AD6:AS6" si="3">ROUND($A$3*AD5/$B$3,2)</f>
        <v>3149.9</v>
      </c>
      <c r="AE6" s="27">
        <f t="shared" si="3"/>
        <v>0</v>
      </c>
      <c r="AF6" s="27">
        <f t="shared" si="3"/>
        <v>978.18</v>
      </c>
      <c r="AG6" s="27">
        <f t="shared" si="3"/>
        <v>0</v>
      </c>
      <c r="AH6" s="27">
        <f t="shared" si="3"/>
        <v>48.46</v>
      </c>
      <c r="AI6" s="27">
        <f t="shared" si="3"/>
        <v>0</v>
      </c>
      <c r="AJ6" s="27">
        <f t="shared" si="3"/>
        <v>49.75</v>
      </c>
      <c r="AK6" s="27">
        <f t="shared" si="3"/>
        <v>0</v>
      </c>
      <c r="AL6" s="27">
        <f t="shared" si="3"/>
        <v>22.61</v>
      </c>
      <c r="AM6" s="27">
        <f t="shared" si="3"/>
        <v>0</v>
      </c>
      <c r="AN6" s="27">
        <f t="shared" si="3"/>
        <v>16608.68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142581.63</v>
      </c>
      <c r="AZ6" s="27" t="s">
        <v>3</v>
      </c>
      <c r="BA6" s="27">
        <f>ROUND($AY$6*BA5/$AZ$5,2)</f>
        <v>121724.05</v>
      </c>
      <c r="BB6" s="27">
        <f>ROUND($AY$6*BB5/$AZ$5,2)</f>
        <v>93183.32</v>
      </c>
      <c r="BC6" s="27">
        <f t="shared" ref="BC6:BH6" si="4">ROUND($AY$6*BC5/$AZ$5,2)</f>
        <v>27714.7</v>
      </c>
      <c r="BD6" s="27">
        <f t="shared" si="4"/>
        <v>826.03</v>
      </c>
      <c r="BE6" s="27">
        <f t="shared" si="4"/>
        <v>0</v>
      </c>
      <c r="BF6" s="27">
        <f t="shared" si="4"/>
        <v>0</v>
      </c>
      <c r="BG6" s="27">
        <f t="shared" si="4"/>
        <v>0</v>
      </c>
      <c r="BH6" s="27">
        <f t="shared" si="4"/>
        <v>0</v>
      </c>
      <c r="BI6" s="27">
        <f t="shared" ref="BI6:BT6" si="5">ROUND($AY$6*BI5/$AZ$5,2)</f>
        <v>0</v>
      </c>
      <c r="BJ6" s="27">
        <f t="shared" si="5"/>
        <v>0</v>
      </c>
      <c r="BK6" s="27">
        <f t="shared" si="5"/>
        <v>0</v>
      </c>
      <c r="BL6" s="27">
        <f t="shared" si="5"/>
        <v>20857.580000000002</v>
      </c>
      <c r="BM6" s="27">
        <f t="shared" si="5"/>
        <v>3149.9</v>
      </c>
      <c r="BN6" s="27">
        <f t="shared" si="5"/>
        <v>978.18</v>
      </c>
      <c r="BO6" s="27">
        <f t="shared" si="5"/>
        <v>48.46</v>
      </c>
      <c r="BP6" s="27">
        <f t="shared" si="5"/>
        <v>49.75</v>
      </c>
      <c r="BQ6" s="27">
        <f t="shared" si="5"/>
        <v>22.61</v>
      </c>
      <c r="BR6" s="27">
        <f t="shared" si="5"/>
        <v>16608.68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3011</v>
      </c>
      <c r="J9" s="51"/>
      <c r="K9" s="2966" t="s">
        <v>3013</v>
      </c>
      <c r="L9" s="51"/>
      <c r="M9" s="2966" t="s">
        <v>3013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923</v>
      </c>
      <c r="J10" s="51"/>
      <c r="K10" s="2968" t="s">
        <v>3000</v>
      </c>
      <c r="L10" s="51"/>
      <c r="M10" s="2968" t="s">
        <v>3001</v>
      </c>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2330</v>
      </c>
      <c r="AK10" s="2315"/>
      <c r="AL10" s="2296" t="s">
        <v>2318</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t="s">
        <v>3012</v>
      </c>
      <c r="J11" s="71"/>
      <c r="K11" s="2967" t="s">
        <v>3000</v>
      </c>
      <c r="L11" s="71"/>
      <c r="M11" s="70" t="s">
        <v>3014</v>
      </c>
      <c r="N11" s="71"/>
      <c r="O11" s="70"/>
      <c r="P11" s="71"/>
      <c r="Q11" s="70"/>
      <c r="R11" s="71"/>
      <c r="S11" s="70"/>
      <c r="T11" s="71"/>
      <c r="U11" s="70"/>
      <c r="V11" s="71"/>
      <c r="W11" s="70"/>
      <c r="X11" s="71"/>
      <c r="Y11" s="70"/>
      <c r="Z11" s="71"/>
      <c r="AA11" s="70"/>
      <c r="AB11" s="71"/>
      <c r="AC11" s="55"/>
      <c r="AD11" s="2316" t="s">
        <v>2329</v>
      </c>
      <c r="AE11" s="1000"/>
      <c r="AF11" s="2316" t="s">
        <v>2329</v>
      </c>
      <c r="AG11" s="1000"/>
      <c r="AH11" s="2316" t="s">
        <v>2328</v>
      </c>
      <c r="AI11" s="2317"/>
      <c r="AJ11" s="2316" t="s">
        <v>2328</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车库</v>
      </c>
      <c r="BD12" s="79" t="str">
        <f>M11</f>
        <v>戊类库房</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t="str">
        <f>面积!B7</f>
        <v>A1#住宅楼</v>
      </c>
      <c r="D13" s="2964" t="s">
        <v>1678</v>
      </c>
      <c r="E13" s="27">
        <f t="shared" ref="E13:E20" si="6">IF($C$3="是",ROUND($A$3*G13/$B$3,2),ROUND($A$3*(G13-AT13)/$B$3,2))</f>
        <v>2445.61</v>
      </c>
      <c r="F13" s="81"/>
      <c r="G13" s="82">
        <f t="shared" ref="G13:G20" si="7">H13+AC13+AT13</f>
        <v>7226.18</v>
      </c>
      <c r="H13" s="33">
        <f t="shared" ref="H13:H20" si="8">SUMIF(I$12:AB$12,"总值",I13:AB13)</f>
        <v>5630.51</v>
      </c>
      <c r="I13" s="2965">
        <f>面积!E7</f>
        <v>5630.51</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1595.67</v>
      </c>
      <c r="AD13" s="2969"/>
      <c r="AE13" s="2969"/>
      <c r="AF13" s="2969"/>
      <c r="AG13" s="2969"/>
      <c r="AH13" s="2969"/>
      <c r="AI13" s="2969"/>
      <c r="AJ13" s="2969"/>
      <c r="AK13" s="2969"/>
      <c r="AL13" s="2969"/>
      <c r="AM13" s="2969"/>
      <c r="AN13" s="2969">
        <f>面积!I7</f>
        <v>1595.67</v>
      </c>
      <c r="AO13" s="2969"/>
      <c r="AP13" s="2969"/>
      <c r="AQ13" s="2969"/>
      <c r="AR13" s="2969"/>
      <c r="AS13" s="2969"/>
      <c r="AT13" s="2970"/>
      <c r="AU13" s="2971"/>
      <c r="AV13" s="17">
        <f t="shared" ref="AV13:AX20" si="10">A13</f>
        <v>0</v>
      </c>
      <c r="AW13" s="17">
        <f t="shared" si="10"/>
        <v>0</v>
      </c>
      <c r="AX13" s="17" t="str">
        <f t="shared" si="10"/>
        <v>A1#住宅楼</v>
      </c>
      <c r="AY13" s="994">
        <f t="shared" ref="AY13:AY20" si="11">ROUND($AY$6*AZ13/$AZ$5,2)</f>
        <v>2445.61</v>
      </c>
      <c r="AZ13" s="27">
        <f t="shared" ref="AZ13:AZ20" si="12">BA13+BL13</f>
        <v>7226.18</v>
      </c>
      <c r="BA13" s="27">
        <f t="shared" ref="BA13:BA20" si="13">SUM(BB13:BK13)</f>
        <v>5630.51</v>
      </c>
      <c r="BB13" s="27">
        <f t="shared" ref="BB13:BB20" si="14">IF($D13="是",I13-J13,0)</f>
        <v>5630.51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1595.67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1595.67</v>
      </c>
      <c r="BS13" s="27">
        <f t="shared" ref="BS13:BS20" si="31">IF($D13="是",AP13-AQ13,0)</f>
        <v>0</v>
      </c>
      <c r="BT13" s="36">
        <f t="shared" ref="BT13:BT20" si="32">IF($D13="是",AR13-AS13,0)</f>
        <v>0</v>
      </c>
    </row>
    <row r="14" spans="1:72" s="18" customFormat="1" ht="12.75">
      <c r="A14" s="2963"/>
      <c r="B14" s="2963"/>
      <c r="C14" s="2963" t="str">
        <f>面积!B8</f>
        <v>A2#住宅楼</v>
      </c>
      <c r="D14" s="2964" t="s">
        <v>1678</v>
      </c>
      <c r="E14" s="27">
        <f t="shared" si="6"/>
        <v>1707.55</v>
      </c>
      <c r="F14" s="81"/>
      <c r="G14" s="82">
        <f t="shared" si="7"/>
        <v>5045.3900000000003</v>
      </c>
      <c r="H14" s="33">
        <f t="shared" si="8"/>
        <v>3854.65</v>
      </c>
      <c r="I14" s="2965">
        <f>面积!E8</f>
        <v>3854.65</v>
      </c>
      <c r="J14" s="2965"/>
      <c r="K14" s="2965"/>
      <c r="L14" s="2965"/>
      <c r="M14" s="2965"/>
      <c r="N14" s="83"/>
      <c r="O14" s="83"/>
      <c r="P14" s="83"/>
      <c r="Q14" s="83"/>
      <c r="R14" s="83"/>
      <c r="S14" s="83"/>
      <c r="T14" s="83"/>
      <c r="U14" s="83"/>
      <c r="V14" s="83"/>
      <c r="W14" s="83"/>
      <c r="X14" s="83"/>
      <c r="Y14" s="83"/>
      <c r="Z14" s="83"/>
      <c r="AA14" s="83"/>
      <c r="AB14" s="83"/>
      <c r="AC14" s="27">
        <f t="shared" si="9"/>
        <v>1190.74</v>
      </c>
      <c r="AD14" s="2969"/>
      <c r="AE14" s="2969"/>
      <c r="AF14" s="2969"/>
      <c r="AG14" s="2969"/>
      <c r="AH14" s="2969"/>
      <c r="AI14" s="2969"/>
      <c r="AJ14" s="2969"/>
      <c r="AK14" s="2969"/>
      <c r="AL14" s="2969"/>
      <c r="AM14" s="2969"/>
      <c r="AN14" s="2969">
        <f>面积!I8</f>
        <v>1190.74</v>
      </c>
      <c r="AO14" s="2969"/>
      <c r="AP14" s="2969"/>
      <c r="AQ14" s="2969"/>
      <c r="AR14" s="2969"/>
      <c r="AS14" s="2969"/>
      <c r="AT14" s="2970"/>
      <c r="AU14" s="2971"/>
      <c r="AV14" s="17">
        <f t="shared" si="10"/>
        <v>0</v>
      </c>
      <c r="AW14" s="17">
        <f t="shared" si="10"/>
        <v>0</v>
      </c>
      <c r="AX14" s="17" t="str">
        <f t="shared" si="10"/>
        <v>A2#住宅楼</v>
      </c>
      <c r="AY14" s="994">
        <f t="shared" si="11"/>
        <v>1707.55</v>
      </c>
      <c r="AZ14" s="27">
        <f t="shared" si="12"/>
        <v>5045.3900000000003</v>
      </c>
      <c r="BA14" s="27">
        <f t="shared" si="13"/>
        <v>3854.65</v>
      </c>
      <c r="BB14" s="27">
        <f t="shared" si="14"/>
        <v>3854.65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1190.74</v>
      </c>
      <c r="BM14" s="27">
        <f t="shared" si="25"/>
        <v>0</v>
      </c>
      <c r="BN14" s="27">
        <f t="shared" si="26"/>
        <v>0</v>
      </c>
      <c r="BO14" s="27">
        <f t="shared" si="27"/>
        <v>0</v>
      </c>
      <c r="BP14" s="27">
        <f t="shared" si="28"/>
        <v>0</v>
      </c>
      <c r="BQ14" s="27">
        <f t="shared" si="29"/>
        <v>0</v>
      </c>
      <c r="BR14" s="27">
        <f t="shared" si="30"/>
        <v>1190.74</v>
      </c>
      <c r="BS14" s="27">
        <f t="shared" si="31"/>
        <v>0</v>
      </c>
      <c r="BT14" s="36">
        <f t="shared" si="32"/>
        <v>0</v>
      </c>
    </row>
    <row r="15" spans="1:72" s="18" customFormat="1" ht="12.75">
      <c r="A15" s="2963"/>
      <c r="B15" s="2963"/>
      <c r="C15" s="2963" t="str">
        <f>面积!B9</f>
        <v>A3#住宅楼</v>
      </c>
      <c r="D15" s="2964" t="s">
        <v>1678</v>
      </c>
      <c r="E15" s="27">
        <f t="shared" si="6"/>
        <v>1687.03</v>
      </c>
      <c r="F15" s="81"/>
      <c r="G15" s="82">
        <f t="shared" si="7"/>
        <v>4984.7800000000007</v>
      </c>
      <c r="H15" s="33">
        <f t="shared" si="8"/>
        <v>3854.65</v>
      </c>
      <c r="I15" s="2965">
        <f>面积!E9</f>
        <v>3854.65</v>
      </c>
      <c r="J15" s="2965"/>
      <c r="K15" s="2965"/>
      <c r="L15" s="2965"/>
      <c r="M15" s="2965"/>
      <c r="N15" s="83"/>
      <c r="O15" s="83"/>
      <c r="P15" s="83"/>
      <c r="Q15" s="83"/>
      <c r="R15" s="83"/>
      <c r="S15" s="83"/>
      <c r="T15" s="83"/>
      <c r="U15" s="83"/>
      <c r="V15" s="83"/>
      <c r="W15" s="83"/>
      <c r="X15" s="83"/>
      <c r="Y15" s="83"/>
      <c r="Z15" s="83"/>
      <c r="AA15" s="83"/>
      <c r="AB15" s="83"/>
      <c r="AC15" s="27">
        <f t="shared" si="9"/>
        <v>1130.1300000000001</v>
      </c>
      <c r="AD15" s="2969"/>
      <c r="AE15" s="2969"/>
      <c r="AF15" s="2969"/>
      <c r="AG15" s="2969"/>
      <c r="AH15" s="2969"/>
      <c r="AI15" s="2969"/>
      <c r="AJ15" s="2969"/>
      <c r="AK15" s="2969"/>
      <c r="AL15" s="2969"/>
      <c r="AM15" s="2969"/>
      <c r="AN15" s="2969">
        <f>面积!I9</f>
        <v>1130.1300000000001</v>
      </c>
      <c r="AO15" s="2969"/>
      <c r="AP15" s="2969"/>
      <c r="AQ15" s="2969"/>
      <c r="AR15" s="2969"/>
      <c r="AS15" s="2969"/>
      <c r="AT15" s="2970"/>
      <c r="AU15" s="2971"/>
      <c r="AV15" s="17">
        <f t="shared" si="10"/>
        <v>0</v>
      </c>
      <c r="AW15" s="17">
        <f t="shared" si="10"/>
        <v>0</v>
      </c>
      <c r="AX15" s="17" t="str">
        <f t="shared" si="10"/>
        <v>A3#住宅楼</v>
      </c>
      <c r="AY15" s="994">
        <f t="shared" si="11"/>
        <v>1687.03</v>
      </c>
      <c r="AZ15" s="27">
        <f t="shared" si="12"/>
        <v>4984.7800000000007</v>
      </c>
      <c r="BA15" s="27">
        <f t="shared" si="13"/>
        <v>3854.65</v>
      </c>
      <c r="BB15" s="27">
        <f t="shared" si="14"/>
        <v>3854.65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1130.1300000000001</v>
      </c>
      <c r="BM15" s="27">
        <f t="shared" si="25"/>
        <v>0</v>
      </c>
      <c r="BN15" s="27">
        <f t="shared" si="26"/>
        <v>0</v>
      </c>
      <c r="BO15" s="27">
        <f t="shared" si="27"/>
        <v>0</v>
      </c>
      <c r="BP15" s="27">
        <f t="shared" si="28"/>
        <v>0</v>
      </c>
      <c r="BQ15" s="27">
        <f t="shared" si="29"/>
        <v>0</v>
      </c>
      <c r="BR15" s="27">
        <f t="shared" si="30"/>
        <v>1130.1300000000001</v>
      </c>
      <c r="BS15" s="27">
        <f t="shared" si="31"/>
        <v>0</v>
      </c>
      <c r="BT15" s="36">
        <f t="shared" si="32"/>
        <v>0</v>
      </c>
    </row>
    <row r="16" spans="1:72" s="18" customFormat="1" ht="12.75">
      <c r="A16" s="2963"/>
      <c r="B16" s="2963"/>
      <c r="C16" s="2963" t="str">
        <f>面积!B10</f>
        <v>A4#住宅楼</v>
      </c>
      <c r="D16" s="2964" t="s">
        <v>1678</v>
      </c>
      <c r="E16" s="27">
        <f t="shared" si="6"/>
        <v>2445.92</v>
      </c>
      <c r="F16" s="81"/>
      <c r="G16" s="82">
        <f t="shared" si="7"/>
        <v>7227.1</v>
      </c>
      <c r="H16" s="33">
        <f t="shared" si="8"/>
        <v>5630.51</v>
      </c>
      <c r="I16" s="2965">
        <f>面积!E10</f>
        <v>5630.51</v>
      </c>
      <c r="J16" s="2965"/>
      <c r="K16" s="2965"/>
      <c r="L16" s="2965"/>
      <c r="M16" s="2965"/>
      <c r="N16" s="83"/>
      <c r="O16" s="83"/>
      <c r="P16" s="83"/>
      <c r="Q16" s="83"/>
      <c r="R16" s="83"/>
      <c r="S16" s="83"/>
      <c r="T16" s="83"/>
      <c r="U16" s="83"/>
      <c r="V16" s="83"/>
      <c r="W16" s="83"/>
      <c r="X16" s="83"/>
      <c r="Y16" s="83"/>
      <c r="Z16" s="83"/>
      <c r="AA16" s="83"/>
      <c r="AB16" s="83"/>
      <c r="AC16" s="27">
        <f t="shared" si="9"/>
        <v>1596.59</v>
      </c>
      <c r="AD16" s="2969"/>
      <c r="AE16" s="2969"/>
      <c r="AF16" s="2969"/>
      <c r="AG16" s="2969"/>
      <c r="AH16" s="2969"/>
      <c r="AI16" s="2969"/>
      <c r="AJ16" s="2969"/>
      <c r="AK16" s="2969"/>
      <c r="AL16" s="2969"/>
      <c r="AM16" s="2969"/>
      <c r="AN16" s="2969">
        <f>面积!I10</f>
        <v>1596.59</v>
      </c>
      <c r="AO16" s="2969"/>
      <c r="AP16" s="2969"/>
      <c r="AQ16" s="2969"/>
      <c r="AR16" s="2969"/>
      <c r="AS16" s="2969"/>
      <c r="AT16" s="2970"/>
      <c r="AU16" s="2971"/>
      <c r="AV16" s="17">
        <f t="shared" si="10"/>
        <v>0</v>
      </c>
      <c r="AW16" s="17">
        <f t="shared" si="10"/>
        <v>0</v>
      </c>
      <c r="AX16" s="17" t="str">
        <f t="shared" si="10"/>
        <v>A4#住宅楼</v>
      </c>
      <c r="AY16" s="994">
        <f t="shared" si="11"/>
        <v>2445.92</v>
      </c>
      <c r="AZ16" s="27">
        <f t="shared" si="12"/>
        <v>7227.1</v>
      </c>
      <c r="BA16" s="27">
        <f t="shared" si="13"/>
        <v>5630.51</v>
      </c>
      <c r="BB16" s="27">
        <f t="shared" si="14"/>
        <v>5630.51</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1596.59</v>
      </c>
      <c r="BM16" s="27">
        <f t="shared" si="25"/>
        <v>0</v>
      </c>
      <c r="BN16" s="27">
        <f t="shared" si="26"/>
        <v>0</v>
      </c>
      <c r="BO16" s="27">
        <f t="shared" si="27"/>
        <v>0</v>
      </c>
      <c r="BP16" s="27">
        <f t="shared" si="28"/>
        <v>0</v>
      </c>
      <c r="BQ16" s="27">
        <f t="shared" si="29"/>
        <v>0</v>
      </c>
      <c r="BR16" s="27">
        <f t="shared" si="30"/>
        <v>1596.59</v>
      </c>
      <c r="BS16" s="27">
        <f t="shared" si="31"/>
        <v>0</v>
      </c>
      <c r="BT16" s="36">
        <f t="shared" si="32"/>
        <v>0</v>
      </c>
    </row>
    <row r="17" spans="1:72" s="18" customFormat="1" ht="12.75">
      <c r="A17" s="2963"/>
      <c r="B17" s="2963"/>
      <c r="C17" s="2963" t="str">
        <f>面积!B11</f>
        <v>A5#住宅楼</v>
      </c>
      <c r="D17" s="2964" t="s">
        <v>1678</v>
      </c>
      <c r="E17" s="27">
        <f t="shared" si="6"/>
        <v>4140.1099999999997</v>
      </c>
      <c r="F17" s="81"/>
      <c r="G17" s="82">
        <f t="shared" si="7"/>
        <v>12233.029999999999</v>
      </c>
      <c r="H17" s="33">
        <f t="shared" si="8"/>
        <v>10453.16</v>
      </c>
      <c r="I17" s="2965">
        <f>面积!E11</f>
        <v>10453.16</v>
      </c>
      <c r="J17" s="2965"/>
      <c r="K17" s="2965"/>
      <c r="L17" s="2965"/>
      <c r="M17" s="2965"/>
      <c r="N17" s="83"/>
      <c r="O17" s="83"/>
      <c r="P17" s="83"/>
      <c r="Q17" s="83"/>
      <c r="R17" s="83"/>
      <c r="S17" s="83"/>
      <c r="T17" s="83"/>
      <c r="U17" s="83"/>
      <c r="V17" s="83"/>
      <c r="W17" s="83"/>
      <c r="X17" s="83"/>
      <c r="Y17" s="83"/>
      <c r="Z17" s="83"/>
      <c r="AA17" s="83"/>
      <c r="AB17" s="83"/>
      <c r="AC17" s="27">
        <f t="shared" si="9"/>
        <v>1779.87</v>
      </c>
      <c r="AD17" s="2969"/>
      <c r="AE17" s="2969"/>
      <c r="AF17" s="2969"/>
      <c r="AG17" s="2969"/>
      <c r="AH17" s="2969"/>
      <c r="AI17" s="2969"/>
      <c r="AJ17" s="2969"/>
      <c r="AK17" s="2969"/>
      <c r="AL17" s="2969"/>
      <c r="AM17" s="2969"/>
      <c r="AN17" s="2969">
        <f>面积!I11</f>
        <v>1779.87</v>
      </c>
      <c r="AO17" s="2969"/>
      <c r="AP17" s="2969"/>
      <c r="AQ17" s="2969"/>
      <c r="AR17" s="2969"/>
      <c r="AS17" s="2969"/>
      <c r="AT17" s="2970"/>
      <c r="AU17" s="2971"/>
      <c r="AV17" s="17">
        <f t="shared" si="10"/>
        <v>0</v>
      </c>
      <c r="AW17" s="17">
        <f t="shared" si="10"/>
        <v>0</v>
      </c>
      <c r="AX17" s="17" t="str">
        <f t="shared" si="10"/>
        <v>A5#住宅楼</v>
      </c>
      <c r="AY17" s="994">
        <f t="shared" si="11"/>
        <v>4140.1099999999997</v>
      </c>
      <c r="AZ17" s="27">
        <f t="shared" si="12"/>
        <v>12233.029999999999</v>
      </c>
      <c r="BA17" s="27">
        <f t="shared" si="13"/>
        <v>10453.16</v>
      </c>
      <c r="BB17" s="27">
        <f t="shared" si="14"/>
        <v>10453.16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1779.87</v>
      </c>
      <c r="BM17" s="27">
        <f t="shared" si="25"/>
        <v>0</v>
      </c>
      <c r="BN17" s="27">
        <f t="shared" si="26"/>
        <v>0</v>
      </c>
      <c r="BO17" s="27">
        <f t="shared" si="27"/>
        <v>0</v>
      </c>
      <c r="BP17" s="27">
        <f t="shared" si="28"/>
        <v>0</v>
      </c>
      <c r="BQ17" s="27">
        <f t="shared" si="29"/>
        <v>0</v>
      </c>
      <c r="BR17" s="27">
        <f t="shared" si="30"/>
        <v>1779.87</v>
      </c>
      <c r="BS17" s="27">
        <f t="shared" si="31"/>
        <v>0</v>
      </c>
      <c r="BT17" s="36">
        <f t="shared" si="32"/>
        <v>0</v>
      </c>
    </row>
    <row r="18" spans="1:72">
      <c r="A18" s="84"/>
      <c r="B18" s="85"/>
      <c r="C18" s="2963" t="str">
        <f>面积!B12</f>
        <v>A6#住宅楼</v>
      </c>
      <c r="D18" s="2964" t="s">
        <v>1678</v>
      </c>
      <c r="E18" s="87">
        <f t="shared" si="6"/>
        <v>2260.37</v>
      </c>
      <c r="F18" s="88"/>
      <c r="G18" s="89">
        <f t="shared" si="7"/>
        <v>6678.85</v>
      </c>
      <c r="H18" s="90">
        <f t="shared" si="8"/>
        <v>5551.85</v>
      </c>
      <c r="I18" s="2965">
        <f>面积!E12</f>
        <v>5551.85</v>
      </c>
      <c r="J18" s="91"/>
      <c r="K18" s="1388"/>
      <c r="L18" s="91"/>
      <c r="M18" s="91"/>
      <c r="N18" s="91"/>
      <c r="O18" s="91"/>
      <c r="P18" s="91"/>
      <c r="Q18" s="91"/>
      <c r="R18" s="91"/>
      <c r="S18" s="91"/>
      <c r="T18" s="91"/>
      <c r="U18" s="91"/>
      <c r="V18" s="91"/>
      <c r="W18" s="91"/>
      <c r="X18" s="91"/>
      <c r="Y18" s="91"/>
      <c r="Z18" s="91"/>
      <c r="AA18" s="91"/>
      <c r="AB18" s="91"/>
      <c r="AC18" s="87">
        <f t="shared" si="9"/>
        <v>1127</v>
      </c>
      <c r="AD18" s="92"/>
      <c r="AE18" s="92"/>
      <c r="AF18" s="2969"/>
      <c r="AG18" s="92"/>
      <c r="AH18" s="92"/>
      <c r="AI18" s="92"/>
      <c r="AJ18" s="92"/>
      <c r="AK18" s="92"/>
      <c r="AL18" s="1358"/>
      <c r="AM18" s="92"/>
      <c r="AN18" s="2969">
        <f>面积!I12</f>
        <v>1127</v>
      </c>
      <c r="AO18" s="92"/>
      <c r="AP18" s="92"/>
      <c r="AQ18" s="92"/>
      <c r="AR18" s="92"/>
      <c r="AS18" s="92"/>
      <c r="AT18" s="93"/>
      <c r="AU18" s="94"/>
      <c r="AV18" s="990">
        <f t="shared" si="10"/>
        <v>0</v>
      </c>
      <c r="AW18" s="990">
        <f t="shared" si="10"/>
        <v>0</v>
      </c>
      <c r="AX18" s="990" t="str">
        <f t="shared" si="10"/>
        <v>A6#住宅楼</v>
      </c>
      <c r="AY18" s="95">
        <f t="shared" si="11"/>
        <v>2260.37</v>
      </c>
      <c r="AZ18" s="87">
        <f t="shared" si="12"/>
        <v>6678.85</v>
      </c>
      <c r="BA18" s="87">
        <f t="shared" si="13"/>
        <v>5551.85</v>
      </c>
      <c r="BB18" s="87">
        <f t="shared" si="14"/>
        <v>5551.85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1127</v>
      </c>
      <c r="BM18" s="87">
        <f t="shared" si="25"/>
        <v>0</v>
      </c>
      <c r="BN18" s="87">
        <f t="shared" si="26"/>
        <v>0</v>
      </c>
      <c r="BO18" s="87">
        <f t="shared" si="27"/>
        <v>0</v>
      </c>
      <c r="BP18" s="87">
        <f t="shared" si="28"/>
        <v>0</v>
      </c>
      <c r="BQ18" s="87">
        <f t="shared" si="29"/>
        <v>0</v>
      </c>
      <c r="BR18" s="87">
        <f t="shared" si="30"/>
        <v>1127</v>
      </c>
      <c r="BS18" s="87">
        <f t="shared" si="31"/>
        <v>0</v>
      </c>
      <c r="BT18" s="96">
        <f t="shared" si="32"/>
        <v>0</v>
      </c>
    </row>
    <row r="19" spans="1:72">
      <c r="A19" s="84"/>
      <c r="B19" s="1392"/>
      <c r="C19" s="2963" t="str">
        <f>面积!B13</f>
        <v>A7#住宅楼</v>
      </c>
      <c r="D19" s="2964" t="s">
        <v>1678</v>
      </c>
      <c r="E19" s="87">
        <f t="shared" si="6"/>
        <v>2285.98</v>
      </c>
      <c r="F19" s="88"/>
      <c r="G19" s="89">
        <f t="shared" si="7"/>
        <v>6754.53</v>
      </c>
      <c r="H19" s="90">
        <f t="shared" si="8"/>
        <v>5554.82</v>
      </c>
      <c r="I19" s="2965">
        <f>面积!E13</f>
        <v>5554.82</v>
      </c>
      <c r="J19" s="91"/>
      <c r="K19" s="1388"/>
      <c r="L19" s="91"/>
      <c r="M19" s="91"/>
      <c r="N19" s="91"/>
      <c r="O19" s="91"/>
      <c r="P19" s="91"/>
      <c r="Q19" s="91"/>
      <c r="R19" s="91"/>
      <c r="S19" s="91"/>
      <c r="T19" s="91"/>
      <c r="U19" s="91"/>
      <c r="V19" s="91"/>
      <c r="W19" s="91"/>
      <c r="X19" s="91"/>
      <c r="Y19" s="91"/>
      <c r="Z19" s="91"/>
      <c r="AA19" s="91"/>
      <c r="AB19" s="91"/>
      <c r="AC19" s="87">
        <f t="shared" si="9"/>
        <v>1199.71</v>
      </c>
      <c r="AD19" s="92"/>
      <c r="AE19" s="92"/>
      <c r="AF19" s="2969"/>
      <c r="AG19" s="92"/>
      <c r="AH19" s="92"/>
      <c r="AI19" s="92"/>
      <c r="AJ19" s="92"/>
      <c r="AK19" s="92"/>
      <c r="AL19" s="92"/>
      <c r="AM19" s="92"/>
      <c r="AN19" s="2969">
        <f>面积!I13</f>
        <v>1199.71</v>
      </c>
      <c r="AO19" s="92"/>
      <c r="AP19" s="92"/>
      <c r="AQ19" s="92"/>
      <c r="AR19" s="92"/>
      <c r="AS19" s="92"/>
      <c r="AT19" s="93"/>
      <c r="AU19" s="94"/>
      <c r="AV19" s="990">
        <f t="shared" si="10"/>
        <v>0</v>
      </c>
      <c r="AW19" s="990">
        <f t="shared" si="10"/>
        <v>0</v>
      </c>
      <c r="AX19" s="990" t="str">
        <f t="shared" si="10"/>
        <v>A7#住宅楼</v>
      </c>
      <c r="AY19" s="95">
        <f t="shared" si="11"/>
        <v>2285.98</v>
      </c>
      <c r="AZ19" s="87">
        <f t="shared" si="12"/>
        <v>6754.53</v>
      </c>
      <c r="BA19" s="87">
        <f t="shared" si="13"/>
        <v>5554.82</v>
      </c>
      <c r="BB19" s="87">
        <f t="shared" si="14"/>
        <v>5554.82</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1199.71</v>
      </c>
      <c r="BM19" s="87">
        <f t="shared" si="25"/>
        <v>0</v>
      </c>
      <c r="BN19" s="87">
        <f t="shared" si="26"/>
        <v>0</v>
      </c>
      <c r="BO19" s="87">
        <f t="shared" si="27"/>
        <v>0</v>
      </c>
      <c r="BP19" s="87">
        <f t="shared" si="28"/>
        <v>0</v>
      </c>
      <c r="BQ19" s="87">
        <f t="shared" si="29"/>
        <v>0</v>
      </c>
      <c r="BR19" s="87">
        <f t="shared" si="30"/>
        <v>1199.71</v>
      </c>
      <c r="BS19" s="87">
        <f t="shared" si="31"/>
        <v>0</v>
      </c>
      <c r="BT19" s="96">
        <f t="shared" si="32"/>
        <v>0</v>
      </c>
    </row>
    <row r="20" spans="1:72">
      <c r="A20" s="84"/>
      <c r="B20" s="1392"/>
      <c r="C20" s="2963" t="str">
        <f>面积!B14</f>
        <v>A8#住宅楼</v>
      </c>
      <c r="D20" s="2964" t="s">
        <v>1678</v>
      </c>
      <c r="E20" s="87">
        <f t="shared" si="6"/>
        <v>4072.77</v>
      </c>
      <c r="F20" s="88"/>
      <c r="G20" s="89">
        <f t="shared" si="7"/>
        <v>12034.06</v>
      </c>
      <c r="H20" s="90">
        <f t="shared" si="8"/>
        <v>10270.299999999999</v>
      </c>
      <c r="I20" s="2965">
        <f>面积!E14</f>
        <v>10270.299999999999</v>
      </c>
      <c r="J20" s="91"/>
      <c r="K20" s="1388"/>
      <c r="L20" s="91"/>
      <c r="M20" s="91"/>
      <c r="N20" s="91"/>
      <c r="O20" s="91"/>
      <c r="P20" s="91"/>
      <c r="Q20" s="91"/>
      <c r="R20" s="91"/>
      <c r="S20" s="91"/>
      <c r="T20" s="91"/>
      <c r="U20" s="91"/>
      <c r="V20" s="91"/>
      <c r="W20" s="91"/>
      <c r="X20" s="91"/>
      <c r="Y20" s="91"/>
      <c r="Z20" s="91"/>
      <c r="AA20" s="91"/>
      <c r="AB20" s="91"/>
      <c r="AC20" s="87">
        <f t="shared" si="9"/>
        <v>1763.76</v>
      </c>
      <c r="AD20" s="92"/>
      <c r="AE20" s="92"/>
      <c r="AF20" s="2969">
        <f>面积!J14</f>
        <v>15.14</v>
      </c>
      <c r="AG20" s="92"/>
      <c r="AH20" s="92"/>
      <c r="AI20" s="92"/>
      <c r="AJ20" s="92"/>
      <c r="AK20" s="92"/>
      <c r="AL20" s="92"/>
      <c r="AM20" s="92"/>
      <c r="AN20" s="2969">
        <f>面积!I14</f>
        <v>1748.62</v>
      </c>
      <c r="AO20" s="92"/>
      <c r="AP20" s="92"/>
      <c r="AQ20" s="92"/>
      <c r="AR20" s="92"/>
      <c r="AS20" s="92"/>
      <c r="AT20" s="93"/>
      <c r="AU20" s="94"/>
      <c r="AV20" s="990">
        <f t="shared" si="10"/>
        <v>0</v>
      </c>
      <c r="AW20" s="990">
        <f t="shared" si="10"/>
        <v>0</v>
      </c>
      <c r="AX20" s="990" t="str">
        <f t="shared" si="10"/>
        <v>A8#住宅楼</v>
      </c>
      <c r="AY20" s="95">
        <f t="shared" si="11"/>
        <v>4072.77</v>
      </c>
      <c r="AZ20" s="87">
        <f t="shared" si="12"/>
        <v>12034.06</v>
      </c>
      <c r="BA20" s="87">
        <f t="shared" si="13"/>
        <v>10270.299999999999</v>
      </c>
      <c r="BB20" s="87">
        <f t="shared" si="14"/>
        <v>10270.299999999999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1763.76</v>
      </c>
      <c r="BM20" s="87">
        <f t="shared" si="25"/>
        <v>0</v>
      </c>
      <c r="BN20" s="87">
        <f t="shared" si="26"/>
        <v>15.14</v>
      </c>
      <c r="BO20" s="87">
        <f t="shared" si="27"/>
        <v>0</v>
      </c>
      <c r="BP20" s="87">
        <f t="shared" si="28"/>
        <v>0</v>
      </c>
      <c r="BQ20" s="87">
        <f t="shared" si="29"/>
        <v>0</v>
      </c>
      <c r="BR20" s="87">
        <f t="shared" si="30"/>
        <v>1748.62</v>
      </c>
      <c r="BS20" s="87">
        <f t="shared" si="31"/>
        <v>0</v>
      </c>
      <c r="BT20" s="96">
        <f t="shared" si="32"/>
        <v>0</v>
      </c>
    </row>
    <row r="21" spans="1:72">
      <c r="A21" s="84"/>
      <c r="B21" s="1387"/>
      <c r="C21" s="2963" t="str">
        <f>面积!B15</f>
        <v>A9#住宅楼</v>
      </c>
      <c r="D21" s="2964" t="s">
        <v>1678</v>
      </c>
      <c r="E21" s="87">
        <f t="shared" ref="E21:E112" si="33">IF($C$3="是",ROUND($A$3*G21/$B$3,2),ROUND($A$3*(G21-AT21)/$B$3,2))</f>
        <v>3704.68</v>
      </c>
      <c r="F21" s="88"/>
      <c r="G21" s="89">
        <f t="shared" ref="G21:G109" si="34">H21+AC21+AT21</f>
        <v>10946.43</v>
      </c>
      <c r="H21" s="90">
        <f t="shared" ref="H21:H109" si="35">SUMIF(I$12:AB$12,"总值",I21:AB21)</f>
        <v>9436.25</v>
      </c>
      <c r="I21" s="2965">
        <f>面积!E15</f>
        <v>9436.25</v>
      </c>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1510.18</v>
      </c>
      <c r="AD21" s="92"/>
      <c r="AE21" s="92"/>
      <c r="AF21" s="2969">
        <f>面积!J15</f>
        <v>15.14</v>
      </c>
      <c r="AG21" s="92"/>
      <c r="AH21" s="92"/>
      <c r="AI21" s="92"/>
      <c r="AJ21" s="92"/>
      <c r="AK21" s="92"/>
      <c r="AL21" s="92"/>
      <c r="AM21" s="92"/>
      <c r="AN21" s="2969">
        <f>面积!I15</f>
        <v>1495.04</v>
      </c>
      <c r="AO21" s="92"/>
      <c r="AP21" s="92"/>
      <c r="AQ21" s="92"/>
      <c r="AR21" s="92"/>
      <c r="AS21" s="92"/>
      <c r="AT21" s="93"/>
      <c r="AU21" s="94"/>
      <c r="AV21" s="1961">
        <f t="shared" ref="AV21:AV112" si="37">A21</f>
        <v>0</v>
      </c>
      <c r="AW21" s="1961">
        <f t="shared" ref="AW21:AW112" si="38">B21</f>
        <v>0</v>
      </c>
      <c r="AX21" s="1961" t="str">
        <f t="shared" ref="AX21:AX112" si="39">C21</f>
        <v>A9#住宅楼</v>
      </c>
      <c r="AY21" s="95">
        <f t="shared" ref="AY21:AY109" si="40">ROUND($AY$6*AZ21/$AZ$5,2)</f>
        <v>3704.68</v>
      </c>
      <c r="AZ21" s="87">
        <f t="shared" ref="AZ21:AZ109" si="41">BA21+BL21</f>
        <v>10946.43</v>
      </c>
      <c r="BA21" s="87">
        <f t="shared" ref="BA21:BA109" si="42">SUM(BB21:BK21)</f>
        <v>9436.25</v>
      </c>
      <c r="BB21" s="87">
        <f t="shared" ref="BB21:BB109" si="43">IF($D21="是",I21-J21,0)</f>
        <v>9436.25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1510.18</v>
      </c>
      <c r="BM21" s="87">
        <f t="shared" ref="BM21:BM109" si="54">IF($D21="是",AD21-AE21,0)</f>
        <v>0</v>
      </c>
      <c r="BN21" s="87">
        <f t="shared" ref="BN21:BN109" si="55">IF($D21="是",AF21-AG21,0)</f>
        <v>15.14</v>
      </c>
      <c r="BO21" s="87">
        <f t="shared" ref="BO21:BO109" si="56">IF($D21="是",AH21-AI21,0)</f>
        <v>0</v>
      </c>
      <c r="BP21" s="87">
        <f t="shared" ref="BP21:BP109" si="57">IF($D21="是",AJ21-AK21,0)</f>
        <v>0</v>
      </c>
      <c r="BQ21" s="87">
        <f t="shared" ref="BQ21:BQ109" si="58">IF($D21="是",AL21-AM21,0)</f>
        <v>0</v>
      </c>
      <c r="BR21" s="87">
        <f t="shared" ref="BR21:BR109" si="59">IF($D21="是",AN21-AO21,0)</f>
        <v>1495.04</v>
      </c>
      <c r="BS21" s="87">
        <f t="shared" ref="BS21:BS109" si="60">IF($D21="是",AP21-AQ21,0)</f>
        <v>0</v>
      </c>
      <c r="BT21" s="96">
        <f t="shared" ref="BT21:BT109" si="61">IF($D21="是",AR21-AS21,0)</f>
        <v>0</v>
      </c>
    </row>
    <row r="22" spans="1:72" ht="14.25" customHeight="1">
      <c r="A22" s="84"/>
      <c r="B22" s="1387"/>
      <c r="C22" s="2963" t="str">
        <f>面积!B16</f>
        <v>A10#住宅楼</v>
      </c>
      <c r="D22" s="2964" t="s">
        <v>1678</v>
      </c>
      <c r="E22" s="87">
        <f t="shared" si="33"/>
        <v>2285.1</v>
      </c>
      <c r="F22" s="88"/>
      <c r="G22" s="89">
        <f t="shared" si="34"/>
        <v>6766.42</v>
      </c>
      <c r="H22" s="90">
        <f t="shared" si="35"/>
        <v>5554.32</v>
      </c>
      <c r="I22" s="2965">
        <f>面积!E16</f>
        <v>5554.32</v>
      </c>
      <c r="J22" s="91"/>
      <c r="K22" s="1390"/>
      <c r="L22" s="91"/>
      <c r="M22" s="91"/>
      <c r="N22" s="91"/>
      <c r="O22" s="91"/>
      <c r="P22" s="91"/>
      <c r="Q22" s="91"/>
      <c r="R22" s="91"/>
      <c r="S22" s="91"/>
      <c r="T22" s="91"/>
      <c r="U22" s="91"/>
      <c r="V22" s="91"/>
      <c r="W22" s="91"/>
      <c r="X22" s="91"/>
      <c r="Y22" s="91"/>
      <c r="Z22" s="91"/>
      <c r="AA22" s="91"/>
      <c r="AB22" s="91"/>
      <c r="AC22" s="87">
        <f t="shared" si="36"/>
        <v>1197.5999999999999</v>
      </c>
      <c r="AD22" s="92"/>
      <c r="AE22" s="92"/>
      <c r="AF22" s="2969"/>
      <c r="AG22" s="92"/>
      <c r="AH22" s="92"/>
      <c r="AI22" s="92"/>
      <c r="AJ22" s="92"/>
      <c r="AK22" s="92"/>
      <c r="AL22" s="92"/>
      <c r="AM22" s="92"/>
      <c r="AN22" s="2969">
        <f>面积!I16</f>
        <v>1197.5999999999999</v>
      </c>
      <c r="AO22" s="92"/>
      <c r="AP22" s="92"/>
      <c r="AQ22" s="92"/>
      <c r="AR22" s="92"/>
      <c r="AS22" s="92"/>
      <c r="AT22" s="93">
        <f>面积!L16</f>
        <v>14.5</v>
      </c>
      <c r="AU22" s="94"/>
      <c r="AV22" s="3195">
        <f t="shared" si="37"/>
        <v>0</v>
      </c>
      <c r="AW22" s="3195">
        <f t="shared" si="38"/>
        <v>0</v>
      </c>
      <c r="AX22" s="3195" t="str">
        <f t="shared" si="39"/>
        <v>A10#住宅楼</v>
      </c>
      <c r="AY22" s="95">
        <f t="shared" si="40"/>
        <v>2285.1</v>
      </c>
      <c r="AZ22" s="87">
        <f t="shared" si="41"/>
        <v>6751.92</v>
      </c>
      <c r="BA22" s="87">
        <f t="shared" si="42"/>
        <v>5554.32</v>
      </c>
      <c r="BB22" s="87">
        <f t="shared" si="43"/>
        <v>5554.32</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1197.5999999999999</v>
      </c>
      <c r="BM22" s="87">
        <f t="shared" si="54"/>
        <v>0</v>
      </c>
      <c r="BN22" s="87">
        <f t="shared" si="55"/>
        <v>0</v>
      </c>
      <c r="BO22" s="87">
        <f t="shared" si="56"/>
        <v>0</v>
      </c>
      <c r="BP22" s="87">
        <f t="shared" si="57"/>
        <v>0</v>
      </c>
      <c r="BQ22" s="87">
        <f t="shared" si="58"/>
        <v>0</v>
      </c>
      <c r="BR22" s="87">
        <f t="shared" si="59"/>
        <v>1197.5999999999999</v>
      </c>
      <c r="BS22" s="87">
        <f t="shared" si="60"/>
        <v>0</v>
      </c>
      <c r="BT22" s="96">
        <f t="shared" si="61"/>
        <v>0</v>
      </c>
    </row>
    <row r="23" spans="1:72" ht="14.25" customHeight="1">
      <c r="A23" s="84"/>
      <c r="B23" s="1387"/>
      <c r="C23" s="2963" t="str">
        <f>面积!B17</f>
        <v>A11#住宅楼</v>
      </c>
      <c r="D23" s="2964" t="s">
        <v>1678</v>
      </c>
      <c r="E23" s="87">
        <f t="shared" si="33"/>
        <v>2241.12</v>
      </c>
      <c r="F23" s="88"/>
      <c r="G23" s="89">
        <f t="shared" si="34"/>
        <v>6621.9599999999991</v>
      </c>
      <c r="H23" s="90">
        <f t="shared" si="35"/>
        <v>5551.86</v>
      </c>
      <c r="I23" s="2965">
        <f>面积!E17</f>
        <v>5551.86</v>
      </c>
      <c r="J23" s="91"/>
      <c r="K23" s="1390"/>
      <c r="L23" s="91"/>
      <c r="M23" s="91"/>
      <c r="N23" s="91"/>
      <c r="O23" s="91"/>
      <c r="P23" s="91"/>
      <c r="Q23" s="91"/>
      <c r="R23" s="91"/>
      <c r="S23" s="91"/>
      <c r="T23" s="91"/>
      <c r="U23" s="91"/>
      <c r="V23" s="91"/>
      <c r="W23" s="91"/>
      <c r="X23" s="91"/>
      <c r="Y23" s="91"/>
      <c r="Z23" s="91"/>
      <c r="AA23" s="91"/>
      <c r="AB23" s="91"/>
      <c r="AC23" s="87">
        <f t="shared" si="36"/>
        <v>1070.0999999999999</v>
      </c>
      <c r="AD23" s="92"/>
      <c r="AE23" s="92"/>
      <c r="AF23" s="2969"/>
      <c r="AG23" s="92"/>
      <c r="AH23" s="92"/>
      <c r="AI23" s="92"/>
      <c r="AJ23" s="92"/>
      <c r="AK23" s="92"/>
      <c r="AL23" s="92"/>
      <c r="AM23" s="92"/>
      <c r="AN23" s="2969">
        <f>面积!I17</f>
        <v>1070.0999999999999</v>
      </c>
      <c r="AO23" s="92"/>
      <c r="AP23" s="92"/>
      <c r="AQ23" s="92"/>
      <c r="AR23" s="92"/>
      <c r="AS23" s="92"/>
      <c r="AT23" s="93"/>
      <c r="AU23" s="94"/>
      <c r="AV23" s="3195">
        <f t="shared" si="37"/>
        <v>0</v>
      </c>
      <c r="AW23" s="3195">
        <f t="shared" si="38"/>
        <v>0</v>
      </c>
      <c r="AX23" s="3195" t="str">
        <f t="shared" si="39"/>
        <v>A11#住宅楼</v>
      </c>
      <c r="AY23" s="95">
        <f t="shared" si="40"/>
        <v>2241.12</v>
      </c>
      <c r="AZ23" s="87">
        <f t="shared" si="41"/>
        <v>6621.9599999999991</v>
      </c>
      <c r="BA23" s="87">
        <f t="shared" si="42"/>
        <v>5551.86</v>
      </c>
      <c r="BB23" s="87">
        <f t="shared" si="43"/>
        <v>5551.86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1070.0999999999999</v>
      </c>
      <c r="BM23" s="87">
        <f t="shared" si="54"/>
        <v>0</v>
      </c>
      <c r="BN23" s="87">
        <f t="shared" si="55"/>
        <v>0</v>
      </c>
      <c r="BO23" s="87">
        <f t="shared" si="56"/>
        <v>0</v>
      </c>
      <c r="BP23" s="87">
        <f t="shared" si="57"/>
        <v>0</v>
      </c>
      <c r="BQ23" s="87">
        <f t="shared" si="58"/>
        <v>0</v>
      </c>
      <c r="BR23" s="87">
        <f t="shared" si="59"/>
        <v>1070.0999999999999</v>
      </c>
      <c r="BS23" s="87">
        <f t="shared" si="60"/>
        <v>0</v>
      </c>
      <c r="BT23" s="96">
        <f t="shared" si="61"/>
        <v>0</v>
      </c>
    </row>
    <row r="24" spans="1:72" ht="14.25" customHeight="1">
      <c r="A24" s="84"/>
      <c r="B24" s="1387"/>
      <c r="C24" s="2963" t="str">
        <f>面积!B18</f>
        <v>A12#住宅楼</v>
      </c>
      <c r="D24" s="2964" t="s">
        <v>1678</v>
      </c>
      <c r="E24" s="87">
        <f t="shared" si="33"/>
        <v>3919.3</v>
      </c>
      <c r="F24" s="88"/>
      <c r="G24" s="89">
        <f t="shared" si="34"/>
        <v>11580.58</v>
      </c>
      <c r="H24" s="90">
        <f t="shared" si="35"/>
        <v>10468.11</v>
      </c>
      <c r="I24" s="2965">
        <f>面积!E18</f>
        <v>10468.11</v>
      </c>
      <c r="J24" s="91"/>
      <c r="K24" s="1390"/>
      <c r="L24" s="91"/>
      <c r="M24" s="91"/>
      <c r="N24" s="91"/>
      <c r="O24" s="91"/>
      <c r="P24" s="91"/>
      <c r="Q24" s="91"/>
      <c r="R24" s="91"/>
      <c r="S24" s="91"/>
      <c r="T24" s="91"/>
      <c r="U24" s="91"/>
      <c r="V24" s="91"/>
      <c r="W24" s="91"/>
      <c r="X24" s="91"/>
      <c r="Y24" s="91"/>
      <c r="Z24" s="91"/>
      <c r="AA24" s="91"/>
      <c r="AB24" s="91"/>
      <c r="AC24" s="87">
        <f t="shared" si="36"/>
        <v>1112.47</v>
      </c>
      <c r="AD24" s="92"/>
      <c r="AE24" s="92"/>
      <c r="AF24" s="2969"/>
      <c r="AG24" s="92"/>
      <c r="AH24" s="92"/>
      <c r="AI24" s="92"/>
      <c r="AJ24" s="92"/>
      <c r="AK24" s="92"/>
      <c r="AL24" s="92"/>
      <c r="AM24" s="92"/>
      <c r="AN24" s="2969">
        <f>面积!I18</f>
        <v>1112.47</v>
      </c>
      <c r="AO24" s="92"/>
      <c r="AP24" s="92"/>
      <c r="AQ24" s="92"/>
      <c r="AR24" s="92"/>
      <c r="AS24" s="92"/>
      <c r="AT24" s="93"/>
      <c r="AU24" s="94"/>
      <c r="AV24" s="3195">
        <f t="shared" si="37"/>
        <v>0</v>
      </c>
      <c r="AW24" s="3195">
        <f t="shared" si="38"/>
        <v>0</v>
      </c>
      <c r="AX24" s="3195" t="str">
        <f t="shared" si="39"/>
        <v>A12#住宅楼</v>
      </c>
      <c r="AY24" s="95">
        <f t="shared" si="40"/>
        <v>3919.3</v>
      </c>
      <c r="AZ24" s="87">
        <f t="shared" si="41"/>
        <v>11580.58</v>
      </c>
      <c r="BA24" s="87">
        <f t="shared" si="42"/>
        <v>10468.11</v>
      </c>
      <c r="BB24" s="87">
        <f t="shared" si="43"/>
        <v>10468.11</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1112.47</v>
      </c>
      <c r="BM24" s="87">
        <f t="shared" si="54"/>
        <v>0</v>
      </c>
      <c r="BN24" s="87">
        <f t="shared" si="55"/>
        <v>0</v>
      </c>
      <c r="BO24" s="87">
        <f t="shared" si="56"/>
        <v>0</v>
      </c>
      <c r="BP24" s="87">
        <f t="shared" si="57"/>
        <v>0</v>
      </c>
      <c r="BQ24" s="87">
        <f t="shared" si="58"/>
        <v>0</v>
      </c>
      <c r="BR24" s="87">
        <f t="shared" si="59"/>
        <v>1112.47</v>
      </c>
      <c r="BS24" s="87">
        <f t="shared" si="60"/>
        <v>0</v>
      </c>
      <c r="BT24" s="96">
        <f t="shared" si="61"/>
        <v>0</v>
      </c>
    </row>
    <row r="25" spans="1:72" ht="14.25" customHeight="1">
      <c r="A25" s="84"/>
      <c r="B25" s="1387"/>
      <c r="C25" s="2963" t="str">
        <f>面积!B19</f>
        <v>A13#住宅楼</v>
      </c>
      <c r="D25" s="2964" t="s">
        <v>1678</v>
      </c>
      <c r="E25" s="87">
        <f t="shared" si="33"/>
        <v>3092.29</v>
      </c>
      <c r="F25" s="88"/>
      <c r="G25" s="89">
        <f t="shared" si="34"/>
        <v>9136.9700000000012</v>
      </c>
      <c r="H25" s="90">
        <f t="shared" si="35"/>
        <v>8020.13</v>
      </c>
      <c r="I25" s="2965">
        <f>面积!E19</f>
        <v>8020.13</v>
      </c>
      <c r="J25" s="91"/>
      <c r="K25" s="1390"/>
      <c r="L25" s="91"/>
      <c r="M25" s="91"/>
      <c r="N25" s="91"/>
      <c r="O25" s="91"/>
      <c r="P25" s="91"/>
      <c r="Q25" s="91"/>
      <c r="R25" s="91"/>
      <c r="S25" s="91"/>
      <c r="T25" s="91"/>
      <c r="U25" s="91"/>
      <c r="V25" s="91"/>
      <c r="W25" s="91"/>
      <c r="X25" s="91"/>
      <c r="Y25" s="91"/>
      <c r="Z25" s="91"/>
      <c r="AA25" s="91"/>
      <c r="AB25" s="91"/>
      <c r="AC25" s="87">
        <f t="shared" si="36"/>
        <v>1116.8400000000001</v>
      </c>
      <c r="AD25" s="92"/>
      <c r="AE25" s="92"/>
      <c r="AF25" s="2969">
        <f>面积!J19</f>
        <v>62.67</v>
      </c>
      <c r="AG25" s="92"/>
      <c r="AH25" s="92"/>
      <c r="AI25" s="92"/>
      <c r="AJ25" s="92"/>
      <c r="AK25" s="92"/>
      <c r="AL25" s="92"/>
      <c r="AM25" s="92"/>
      <c r="AN25" s="2969">
        <f>面积!I19</f>
        <v>1054.17</v>
      </c>
      <c r="AO25" s="92"/>
      <c r="AP25" s="92"/>
      <c r="AQ25" s="92"/>
      <c r="AR25" s="92"/>
      <c r="AS25" s="92"/>
      <c r="AT25" s="93"/>
      <c r="AU25" s="94"/>
      <c r="AV25" s="3195">
        <f t="shared" si="37"/>
        <v>0</v>
      </c>
      <c r="AW25" s="3195">
        <f t="shared" si="38"/>
        <v>0</v>
      </c>
      <c r="AX25" s="3195" t="str">
        <f t="shared" si="39"/>
        <v>A13#住宅楼</v>
      </c>
      <c r="AY25" s="95">
        <f t="shared" si="40"/>
        <v>3092.29</v>
      </c>
      <c r="AZ25" s="87">
        <f t="shared" si="41"/>
        <v>9136.9700000000012</v>
      </c>
      <c r="BA25" s="87">
        <f t="shared" si="42"/>
        <v>8020.13</v>
      </c>
      <c r="BB25" s="87">
        <f t="shared" si="43"/>
        <v>8020.13</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1116.8400000000001</v>
      </c>
      <c r="BM25" s="87">
        <f t="shared" si="54"/>
        <v>0</v>
      </c>
      <c r="BN25" s="87">
        <f t="shared" si="55"/>
        <v>62.67</v>
      </c>
      <c r="BO25" s="87">
        <f t="shared" si="56"/>
        <v>0</v>
      </c>
      <c r="BP25" s="87">
        <f t="shared" si="57"/>
        <v>0</v>
      </c>
      <c r="BQ25" s="87">
        <f t="shared" si="58"/>
        <v>0</v>
      </c>
      <c r="BR25" s="87">
        <f t="shared" si="59"/>
        <v>1054.17</v>
      </c>
      <c r="BS25" s="87">
        <f t="shared" si="60"/>
        <v>0</v>
      </c>
      <c r="BT25" s="96">
        <f t="shared" si="61"/>
        <v>0</v>
      </c>
    </row>
    <row r="26" spans="1:72" ht="14.25" customHeight="1">
      <c r="A26" s="84"/>
      <c r="B26" s="1387"/>
      <c r="C26" s="2963" t="str">
        <f>面积!B20</f>
        <v>A14#住宅楼</v>
      </c>
      <c r="D26" s="2964" t="s">
        <v>1678</v>
      </c>
      <c r="E26" s="87">
        <f t="shared" si="33"/>
        <v>2567.7399999999998</v>
      </c>
      <c r="F26" s="88"/>
      <c r="G26" s="89">
        <f t="shared" si="34"/>
        <v>7587.04</v>
      </c>
      <c r="H26" s="90">
        <f t="shared" si="35"/>
        <v>6183.13</v>
      </c>
      <c r="I26" s="2965">
        <f>面积!E20</f>
        <v>6183.13</v>
      </c>
      <c r="J26" s="91"/>
      <c r="K26" s="1390"/>
      <c r="L26" s="91"/>
      <c r="M26" s="91"/>
      <c r="N26" s="91"/>
      <c r="O26" s="91"/>
      <c r="P26" s="91"/>
      <c r="Q26" s="91"/>
      <c r="R26" s="91"/>
      <c r="S26" s="91"/>
      <c r="T26" s="91"/>
      <c r="U26" s="91"/>
      <c r="V26" s="91"/>
      <c r="W26" s="91"/>
      <c r="X26" s="91"/>
      <c r="Y26" s="91"/>
      <c r="Z26" s="91"/>
      <c r="AA26" s="91"/>
      <c r="AB26" s="91"/>
      <c r="AC26" s="87">
        <f t="shared" si="36"/>
        <v>1403.91</v>
      </c>
      <c r="AD26" s="92"/>
      <c r="AE26" s="92"/>
      <c r="AF26" s="2969"/>
      <c r="AG26" s="92"/>
      <c r="AH26" s="92"/>
      <c r="AI26" s="92"/>
      <c r="AJ26" s="92"/>
      <c r="AK26" s="92"/>
      <c r="AL26" s="92"/>
      <c r="AM26" s="92"/>
      <c r="AN26" s="2969">
        <f>面积!I20</f>
        <v>1403.91</v>
      </c>
      <c r="AO26" s="92"/>
      <c r="AP26" s="92"/>
      <c r="AQ26" s="92"/>
      <c r="AR26" s="92"/>
      <c r="AS26" s="92"/>
      <c r="AT26" s="93"/>
      <c r="AU26" s="94"/>
      <c r="AV26" s="3195">
        <f t="shared" si="37"/>
        <v>0</v>
      </c>
      <c r="AW26" s="3195">
        <f t="shared" si="38"/>
        <v>0</v>
      </c>
      <c r="AX26" s="3195" t="str">
        <f t="shared" si="39"/>
        <v>A14#住宅楼</v>
      </c>
      <c r="AY26" s="95">
        <f t="shared" si="40"/>
        <v>2567.7399999999998</v>
      </c>
      <c r="AZ26" s="87">
        <f t="shared" si="41"/>
        <v>7587.04</v>
      </c>
      <c r="BA26" s="87">
        <f t="shared" si="42"/>
        <v>6183.13</v>
      </c>
      <c r="BB26" s="87">
        <f t="shared" si="43"/>
        <v>6183.13</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1403.91</v>
      </c>
      <c r="BM26" s="87">
        <f t="shared" si="54"/>
        <v>0</v>
      </c>
      <c r="BN26" s="87">
        <f t="shared" si="55"/>
        <v>0</v>
      </c>
      <c r="BO26" s="87">
        <f t="shared" si="56"/>
        <v>0</v>
      </c>
      <c r="BP26" s="87">
        <f t="shared" si="57"/>
        <v>0</v>
      </c>
      <c r="BQ26" s="87">
        <f t="shared" si="58"/>
        <v>0</v>
      </c>
      <c r="BR26" s="87">
        <f t="shared" si="59"/>
        <v>1403.91</v>
      </c>
      <c r="BS26" s="87">
        <f t="shared" si="60"/>
        <v>0</v>
      </c>
      <c r="BT26" s="96">
        <f t="shared" si="61"/>
        <v>0</v>
      </c>
    </row>
    <row r="27" spans="1:72" ht="14.25" customHeight="1">
      <c r="A27" s="84"/>
      <c r="B27" s="1387"/>
      <c r="C27" s="2963" t="str">
        <f>面积!B21</f>
        <v>A15#住宅楼</v>
      </c>
      <c r="D27" s="2964" t="s">
        <v>1678</v>
      </c>
      <c r="E27" s="87">
        <f t="shared" si="33"/>
        <v>2073.87</v>
      </c>
      <c r="F27" s="88"/>
      <c r="G27" s="89">
        <f t="shared" si="34"/>
        <v>6127.79</v>
      </c>
      <c r="H27" s="90">
        <f t="shared" si="35"/>
        <v>4940.17</v>
      </c>
      <c r="I27" s="2965">
        <f>面积!E21</f>
        <v>4940.17</v>
      </c>
      <c r="J27" s="91"/>
      <c r="K27" s="1390"/>
      <c r="L27" s="91"/>
      <c r="M27" s="91"/>
      <c r="N27" s="91"/>
      <c r="O27" s="91"/>
      <c r="P27" s="91"/>
      <c r="Q27" s="91"/>
      <c r="R27" s="91"/>
      <c r="S27" s="91"/>
      <c r="T27" s="91"/>
      <c r="U27" s="91"/>
      <c r="V27" s="91"/>
      <c r="W27" s="91"/>
      <c r="X27" s="91"/>
      <c r="Y27" s="91"/>
      <c r="Z27" s="91"/>
      <c r="AA27" s="91"/>
      <c r="AB27" s="91"/>
      <c r="AC27" s="87">
        <f t="shared" si="36"/>
        <v>1187.6199999999999</v>
      </c>
      <c r="AD27" s="92"/>
      <c r="AE27" s="92"/>
      <c r="AF27" s="2969"/>
      <c r="AG27" s="92"/>
      <c r="AH27" s="92"/>
      <c r="AI27" s="92"/>
      <c r="AJ27" s="92"/>
      <c r="AK27" s="92"/>
      <c r="AL27" s="92"/>
      <c r="AM27" s="92"/>
      <c r="AN27" s="2969">
        <f>面积!I21</f>
        <v>1187.6199999999999</v>
      </c>
      <c r="AO27" s="92"/>
      <c r="AP27" s="92"/>
      <c r="AQ27" s="92"/>
      <c r="AR27" s="92"/>
      <c r="AS27" s="92"/>
      <c r="AT27" s="93"/>
      <c r="AU27" s="94"/>
      <c r="AV27" s="3195">
        <f t="shared" si="37"/>
        <v>0</v>
      </c>
      <c r="AW27" s="3195">
        <f t="shared" si="38"/>
        <v>0</v>
      </c>
      <c r="AX27" s="3195" t="str">
        <f t="shared" si="39"/>
        <v>A15#住宅楼</v>
      </c>
      <c r="AY27" s="95">
        <f t="shared" si="40"/>
        <v>2073.87</v>
      </c>
      <c r="AZ27" s="87">
        <f t="shared" si="41"/>
        <v>6127.79</v>
      </c>
      <c r="BA27" s="87">
        <f t="shared" si="42"/>
        <v>4940.17</v>
      </c>
      <c r="BB27" s="87">
        <f t="shared" si="43"/>
        <v>4940.17</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1187.6199999999999</v>
      </c>
      <c r="BM27" s="87">
        <f t="shared" si="54"/>
        <v>0</v>
      </c>
      <c r="BN27" s="87">
        <f t="shared" si="55"/>
        <v>0</v>
      </c>
      <c r="BO27" s="87">
        <f t="shared" si="56"/>
        <v>0</v>
      </c>
      <c r="BP27" s="87">
        <f t="shared" si="57"/>
        <v>0</v>
      </c>
      <c r="BQ27" s="87">
        <f t="shared" si="58"/>
        <v>0</v>
      </c>
      <c r="BR27" s="87">
        <f t="shared" si="59"/>
        <v>1187.6199999999999</v>
      </c>
      <c r="BS27" s="87">
        <f t="shared" si="60"/>
        <v>0</v>
      </c>
      <c r="BT27" s="96">
        <f t="shared" si="61"/>
        <v>0</v>
      </c>
    </row>
    <row r="28" spans="1:72" ht="14.25" customHeight="1">
      <c r="A28" s="84"/>
      <c r="B28" s="1387"/>
      <c r="C28" s="2963" t="str">
        <f>面积!B22</f>
        <v>A16#住宅楼</v>
      </c>
      <c r="D28" s="2964" t="s">
        <v>1678</v>
      </c>
      <c r="E28" s="87">
        <f t="shared" si="33"/>
        <v>3163.68</v>
      </c>
      <c r="F28" s="88"/>
      <c r="G28" s="89">
        <f t="shared" si="34"/>
        <v>9347.92</v>
      </c>
      <c r="H28" s="90">
        <f t="shared" si="35"/>
        <v>7635.98</v>
      </c>
      <c r="I28" s="2965">
        <f>面积!E22</f>
        <v>7635.98</v>
      </c>
      <c r="J28" s="91"/>
      <c r="K28" s="1390"/>
      <c r="L28" s="91"/>
      <c r="M28" s="91"/>
      <c r="N28" s="91"/>
      <c r="O28" s="91"/>
      <c r="P28" s="91"/>
      <c r="Q28" s="91"/>
      <c r="R28" s="91"/>
      <c r="S28" s="91"/>
      <c r="T28" s="91"/>
      <c r="U28" s="91"/>
      <c r="V28" s="91"/>
      <c r="W28" s="91"/>
      <c r="X28" s="91"/>
      <c r="Y28" s="91"/>
      <c r="Z28" s="91"/>
      <c r="AA28" s="91"/>
      <c r="AB28" s="91"/>
      <c r="AC28" s="87">
        <f t="shared" si="36"/>
        <v>1711.94</v>
      </c>
      <c r="AD28" s="92">
        <f>49+531.59</f>
        <v>580.59</v>
      </c>
      <c r="AE28" s="92"/>
      <c r="AF28" s="2969">
        <v>41.05</v>
      </c>
      <c r="AG28" s="92"/>
      <c r="AH28" s="92"/>
      <c r="AI28" s="92"/>
      <c r="AJ28" s="92"/>
      <c r="AK28" s="92"/>
      <c r="AL28" s="92"/>
      <c r="AM28" s="92"/>
      <c r="AN28" s="2969">
        <f>面积!I22</f>
        <v>1090.3</v>
      </c>
      <c r="AO28" s="92"/>
      <c r="AP28" s="92"/>
      <c r="AQ28" s="92"/>
      <c r="AR28" s="92"/>
      <c r="AS28" s="92"/>
      <c r="AT28" s="93"/>
      <c r="AU28" s="94"/>
      <c r="AV28" s="3195">
        <f t="shared" si="37"/>
        <v>0</v>
      </c>
      <c r="AW28" s="3195">
        <f t="shared" si="38"/>
        <v>0</v>
      </c>
      <c r="AX28" s="3195" t="str">
        <f t="shared" si="39"/>
        <v>A16#住宅楼</v>
      </c>
      <c r="AY28" s="95">
        <f t="shared" si="40"/>
        <v>3163.68</v>
      </c>
      <c r="AZ28" s="87">
        <f t="shared" si="41"/>
        <v>9347.92</v>
      </c>
      <c r="BA28" s="87">
        <f t="shared" si="42"/>
        <v>7635.98</v>
      </c>
      <c r="BB28" s="87">
        <f t="shared" si="43"/>
        <v>7635.98</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1711.94</v>
      </c>
      <c r="BM28" s="87">
        <f t="shared" si="54"/>
        <v>580.59</v>
      </c>
      <c r="BN28" s="87">
        <f t="shared" si="55"/>
        <v>41.05</v>
      </c>
      <c r="BO28" s="87">
        <f t="shared" si="56"/>
        <v>0</v>
      </c>
      <c r="BP28" s="87">
        <f t="shared" si="57"/>
        <v>0</v>
      </c>
      <c r="BQ28" s="87">
        <f t="shared" si="58"/>
        <v>0</v>
      </c>
      <c r="BR28" s="87">
        <f t="shared" si="59"/>
        <v>1090.3</v>
      </c>
      <c r="BS28" s="87">
        <f t="shared" si="60"/>
        <v>0</v>
      </c>
      <c r="BT28" s="96">
        <f t="shared" si="61"/>
        <v>0</v>
      </c>
    </row>
    <row r="29" spans="1:72" ht="14.25" customHeight="1">
      <c r="A29" s="84"/>
      <c r="B29" s="1387"/>
      <c r="C29" s="2963" t="str">
        <f>面积!B23</f>
        <v>A-S1#配套楼</v>
      </c>
      <c r="D29" s="2964" t="s">
        <v>1678</v>
      </c>
      <c r="E29" s="87">
        <f t="shared" si="33"/>
        <v>789.58</v>
      </c>
      <c r="F29" s="88"/>
      <c r="G29" s="89">
        <f t="shared" si="34"/>
        <v>2333.02</v>
      </c>
      <c r="H29" s="90">
        <f t="shared" si="35"/>
        <v>0</v>
      </c>
      <c r="I29" s="2965">
        <f>面积!E23</f>
        <v>0</v>
      </c>
      <c r="J29" s="91"/>
      <c r="K29" s="1390"/>
      <c r="L29" s="91"/>
      <c r="M29" s="91"/>
      <c r="N29" s="91"/>
      <c r="O29" s="91"/>
      <c r="P29" s="91"/>
      <c r="Q29" s="91"/>
      <c r="R29" s="91"/>
      <c r="S29" s="91"/>
      <c r="T29" s="91"/>
      <c r="U29" s="91"/>
      <c r="V29" s="91"/>
      <c r="W29" s="91"/>
      <c r="X29" s="91"/>
      <c r="Y29" s="91"/>
      <c r="Z29" s="91"/>
      <c r="AA29" s="91"/>
      <c r="AB29" s="91"/>
      <c r="AC29" s="87">
        <f t="shared" si="36"/>
        <v>2333.02</v>
      </c>
      <c r="AD29" s="92">
        <f>面积!J23</f>
        <v>2333.02</v>
      </c>
      <c r="AE29" s="92"/>
      <c r="AF29" s="2969"/>
      <c r="AG29" s="92"/>
      <c r="AH29" s="92"/>
      <c r="AI29" s="92"/>
      <c r="AJ29" s="92"/>
      <c r="AK29" s="92"/>
      <c r="AL29" s="92"/>
      <c r="AM29" s="92"/>
      <c r="AN29" s="2969"/>
      <c r="AO29" s="92"/>
      <c r="AP29" s="92"/>
      <c r="AQ29" s="92"/>
      <c r="AR29" s="92"/>
      <c r="AS29" s="92"/>
      <c r="AT29" s="93"/>
      <c r="AU29" s="94"/>
      <c r="AV29" s="3195">
        <f t="shared" si="37"/>
        <v>0</v>
      </c>
      <c r="AW29" s="3195">
        <f t="shared" si="38"/>
        <v>0</v>
      </c>
      <c r="AX29" s="3195" t="str">
        <f t="shared" si="39"/>
        <v>A-S1#配套楼</v>
      </c>
      <c r="AY29" s="95">
        <f t="shared" si="40"/>
        <v>789.58</v>
      </c>
      <c r="AZ29" s="87">
        <f t="shared" si="41"/>
        <v>2333.02</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2333.02</v>
      </c>
      <c r="BM29" s="87">
        <f t="shared" si="54"/>
        <v>2333.02</v>
      </c>
      <c r="BN29" s="87">
        <f t="shared" si="55"/>
        <v>0</v>
      </c>
      <c r="BO29" s="87">
        <f t="shared" si="56"/>
        <v>0</v>
      </c>
      <c r="BP29" s="87">
        <f t="shared" si="57"/>
        <v>0</v>
      </c>
      <c r="BQ29" s="87">
        <f t="shared" si="58"/>
        <v>0</v>
      </c>
      <c r="BR29" s="87">
        <f t="shared" si="59"/>
        <v>0</v>
      </c>
      <c r="BS29" s="87">
        <f t="shared" si="60"/>
        <v>0</v>
      </c>
      <c r="BT29" s="96">
        <f t="shared" si="61"/>
        <v>0</v>
      </c>
    </row>
    <row r="30" spans="1:72" ht="14.25" customHeight="1">
      <c r="A30" s="84"/>
      <c r="B30" s="1387"/>
      <c r="C30" s="2963" t="str">
        <f>面积!B24</f>
        <v>A-S2#配套楼</v>
      </c>
      <c r="D30" s="2964" t="s">
        <v>1678</v>
      </c>
      <c r="E30" s="87">
        <f t="shared" si="33"/>
        <v>829.28</v>
      </c>
      <c r="F30" s="88"/>
      <c r="G30" s="89">
        <f t="shared" si="34"/>
        <v>2450.33</v>
      </c>
      <c r="H30" s="90">
        <f t="shared" si="35"/>
        <v>0</v>
      </c>
      <c r="I30" s="2965">
        <f>面积!E24</f>
        <v>0</v>
      </c>
      <c r="J30" s="91"/>
      <c r="K30" s="1390"/>
      <c r="L30" s="91"/>
      <c r="M30" s="91"/>
      <c r="N30" s="91"/>
      <c r="O30" s="91"/>
      <c r="P30" s="91"/>
      <c r="Q30" s="91"/>
      <c r="R30" s="91"/>
      <c r="S30" s="91"/>
      <c r="T30" s="91"/>
      <c r="U30" s="91"/>
      <c r="V30" s="91"/>
      <c r="W30" s="91"/>
      <c r="X30" s="91"/>
      <c r="Y30" s="91"/>
      <c r="Z30" s="91"/>
      <c r="AA30" s="91"/>
      <c r="AB30" s="91"/>
      <c r="AC30" s="87">
        <f t="shared" si="36"/>
        <v>2450.33</v>
      </c>
      <c r="AD30" s="92">
        <f>面积!J24</f>
        <v>2307.15</v>
      </c>
      <c r="AE30" s="92"/>
      <c r="AF30" s="2969"/>
      <c r="AG30" s="92"/>
      <c r="AH30" s="92">
        <f>面积!K24</f>
        <v>143.18</v>
      </c>
      <c r="AI30" s="92"/>
      <c r="AJ30" s="92"/>
      <c r="AK30" s="92"/>
      <c r="AL30" s="92"/>
      <c r="AM30" s="92"/>
      <c r="AN30" s="2969"/>
      <c r="AO30" s="92"/>
      <c r="AP30" s="92"/>
      <c r="AQ30" s="92"/>
      <c r="AR30" s="92"/>
      <c r="AS30" s="92"/>
      <c r="AT30" s="93"/>
      <c r="AU30" s="94"/>
      <c r="AV30" s="3195">
        <f t="shared" si="37"/>
        <v>0</v>
      </c>
      <c r="AW30" s="3195">
        <f t="shared" si="38"/>
        <v>0</v>
      </c>
      <c r="AX30" s="3195" t="str">
        <f t="shared" si="39"/>
        <v>A-S2#配套楼</v>
      </c>
      <c r="AY30" s="95">
        <f t="shared" si="40"/>
        <v>829.28</v>
      </c>
      <c r="AZ30" s="87">
        <f t="shared" si="41"/>
        <v>2450.33</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2450.33</v>
      </c>
      <c r="BM30" s="87">
        <f t="shared" si="54"/>
        <v>2307.15</v>
      </c>
      <c r="BN30" s="87">
        <f t="shared" si="55"/>
        <v>0</v>
      </c>
      <c r="BO30" s="87">
        <f t="shared" si="56"/>
        <v>143.18</v>
      </c>
      <c r="BP30" s="87">
        <f t="shared" si="57"/>
        <v>0</v>
      </c>
      <c r="BQ30" s="87">
        <f t="shared" si="58"/>
        <v>0</v>
      </c>
      <c r="BR30" s="87">
        <f t="shared" si="59"/>
        <v>0</v>
      </c>
      <c r="BS30" s="87">
        <f t="shared" si="60"/>
        <v>0</v>
      </c>
      <c r="BT30" s="96">
        <f t="shared" si="61"/>
        <v>0</v>
      </c>
    </row>
    <row r="31" spans="1:72" ht="14.25" customHeight="1">
      <c r="A31" s="84"/>
      <c r="B31" s="1387"/>
      <c r="C31" s="2963" t="str">
        <f>面积!B25</f>
        <v>A-S3#配套楼</v>
      </c>
      <c r="D31" s="2964" t="s">
        <v>1678</v>
      </c>
      <c r="E31" s="87">
        <f t="shared" si="33"/>
        <v>519.55999999999995</v>
      </c>
      <c r="F31" s="88"/>
      <c r="G31" s="89">
        <f t="shared" si="34"/>
        <v>1535.16</v>
      </c>
      <c r="H31" s="90">
        <f t="shared" si="35"/>
        <v>0</v>
      </c>
      <c r="I31" s="2965">
        <f>面积!E25</f>
        <v>0</v>
      </c>
      <c r="J31" s="91"/>
      <c r="K31" s="1390"/>
      <c r="L31" s="91"/>
      <c r="M31" s="91"/>
      <c r="N31" s="91"/>
      <c r="O31" s="91"/>
      <c r="P31" s="91"/>
      <c r="Q31" s="91"/>
      <c r="R31" s="91"/>
      <c r="S31" s="91"/>
      <c r="T31" s="91"/>
      <c r="U31" s="91"/>
      <c r="V31" s="91"/>
      <c r="W31" s="91"/>
      <c r="X31" s="91"/>
      <c r="Y31" s="91"/>
      <c r="Z31" s="91"/>
      <c r="AA31" s="91"/>
      <c r="AB31" s="91"/>
      <c r="AC31" s="87">
        <f t="shared" si="36"/>
        <v>1535.16</v>
      </c>
      <c r="AD31" s="92">
        <f>面积!J25</f>
        <v>1004</v>
      </c>
      <c r="AE31" s="92"/>
      <c r="AF31" s="2969"/>
      <c r="AG31" s="92"/>
      <c r="AH31" s="92"/>
      <c r="AI31" s="92"/>
      <c r="AJ31" s="92">
        <f>面积!K25</f>
        <v>147</v>
      </c>
      <c r="AK31" s="92"/>
      <c r="AL31" s="92"/>
      <c r="AM31" s="92"/>
      <c r="AN31" s="2969">
        <f>面积!I25</f>
        <v>384.16</v>
      </c>
      <c r="AO31" s="92"/>
      <c r="AP31" s="92"/>
      <c r="AQ31" s="92"/>
      <c r="AR31" s="92"/>
      <c r="AS31" s="92"/>
      <c r="AT31" s="93"/>
      <c r="AU31" s="94"/>
      <c r="AV31" s="3195">
        <f t="shared" si="37"/>
        <v>0</v>
      </c>
      <c r="AW31" s="3195">
        <f t="shared" si="38"/>
        <v>0</v>
      </c>
      <c r="AX31" s="3195" t="str">
        <f t="shared" si="39"/>
        <v>A-S3#配套楼</v>
      </c>
      <c r="AY31" s="95">
        <f t="shared" si="40"/>
        <v>519.55999999999995</v>
      </c>
      <c r="AZ31" s="87">
        <f t="shared" si="41"/>
        <v>1535.16</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1535.16</v>
      </c>
      <c r="BM31" s="87">
        <f t="shared" si="54"/>
        <v>1004</v>
      </c>
      <c r="BN31" s="87">
        <f t="shared" si="55"/>
        <v>0</v>
      </c>
      <c r="BO31" s="87">
        <f t="shared" si="56"/>
        <v>0</v>
      </c>
      <c r="BP31" s="87">
        <f t="shared" si="57"/>
        <v>147</v>
      </c>
      <c r="BQ31" s="87">
        <f t="shared" si="58"/>
        <v>0</v>
      </c>
      <c r="BR31" s="87">
        <f t="shared" si="59"/>
        <v>384.16</v>
      </c>
      <c r="BS31" s="87">
        <f t="shared" si="60"/>
        <v>0</v>
      </c>
      <c r="BT31" s="96">
        <f t="shared" si="61"/>
        <v>0</v>
      </c>
    </row>
    <row r="32" spans="1:72" ht="14.25" customHeight="1">
      <c r="A32" s="84"/>
      <c r="B32" s="1387"/>
      <c r="C32" s="2963" t="str">
        <f>面积!B26</f>
        <v>A-门卫用房</v>
      </c>
      <c r="D32" s="2964" t="s">
        <v>1678</v>
      </c>
      <c r="E32" s="87">
        <f t="shared" si="33"/>
        <v>3.38</v>
      </c>
      <c r="F32" s="88"/>
      <c r="G32" s="89">
        <f t="shared" si="34"/>
        <v>10</v>
      </c>
      <c r="H32" s="90">
        <f t="shared" si="35"/>
        <v>0</v>
      </c>
      <c r="I32" s="2965"/>
      <c r="J32" s="91"/>
      <c r="K32" s="1390"/>
      <c r="L32" s="91"/>
      <c r="M32" s="91"/>
      <c r="N32" s="91"/>
      <c r="O32" s="91"/>
      <c r="P32" s="91"/>
      <c r="Q32" s="91"/>
      <c r="R32" s="91"/>
      <c r="S32" s="91"/>
      <c r="T32" s="91"/>
      <c r="U32" s="91"/>
      <c r="V32" s="91"/>
      <c r="W32" s="91"/>
      <c r="X32" s="91"/>
      <c r="Y32" s="91"/>
      <c r="Z32" s="91"/>
      <c r="AA32" s="91"/>
      <c r="AB32" s="91"/>
      <c r="AC32" s="87">
        <f t="shared" si="36"/>
        <v>10</v>
      </c>
      <c r="AD32" s="92"/>
      <c r="AE32" s="92"/>
      <c r="AF32" s="2969"/>
      <c r="AG32" s="92"/>
      <c r="AH32" s="92"/>
      <c r="AI32" s="92"/>
      <c r="AJ32" s="92"/>
      <c r="AK32" s="92"/>
      <c r="AL32" s="92">
        <v>10</v>
      </c>
      <c r="AM32" s="92"/>
      <c r="AN32" s="2969"/>
      <c r="AO32" s="92"/>
      <c r="AP32" s="92"/>
      <c r="AQ32" s="92"/>
      <c r="AR32" s="92"/>
      <c r="AS32" s="92"/>
      <c r="AT32" s="93"/>
      <c r="AU32" s="94"/>
      <c r="AV32" s="3195">
        <f t="shared" si="37"/>
        <v>0</v>
      </c>
      <c r="AW32" s="3195">
        <f t="shared" si="38"/>
        <v>0</v>
      </c>
      <c r="AX32" s="3195" t="str">
        <f t="shared" si="39"/>
        <v>A-门卫用房</v>
      </c>
      <c r="AY32" s="95">
        <f t="shared" si="40"/>
        <v>3.38</v>
      </c>
      <c r="AZ32" s="87">
        <f t="shared" si="41"/>
        <v>10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10</v>
      </c>
      <c r="BM32" s="87">
        <f t="shared" si="54"/>
        <v>0</v>
      </c>
      <c r="BN32" s="87">
        <f t="shared" si="55"/>
        <v>0</v>
      </c>
      <c r="BO32" s="87">
        <f t="shared" si="56"/>
        <v>0</v>
      </c>
      <c r="BP32" s="87">
        <f t="shared" si="57"/>
        <v>0</v>
      </c>
      <c r="BQ32" s="87">
        <f t="shared" si="58"/>
        <v>10</v>
      </c>
      <c r="BR32" s="87">
        <f t="shared" si="59"/>
        <v>0</v>
      </c>
      <c r="BS32" s="87">
        <f t="shared" si="60"/>
        <v>0</v>
      </c>
      <c r="BT32" s="96">
        <f t="shared" si="61"/>
        <v>0</v>
      </c>
    </row>
    <row r="33" spans="1:72" s="3214" customFormat="1" ht="14.25" customHeight="1">
      <c r="A33" s="3197"/>
      <c r="B33" s="3198"/>
      <c r="C33" s="3199" t="str">
        <f>面积!B27</f>
        <v>A-汽车库</v>
      </c>
      <c r="D33" s="3200" t="s">
        <v>1678</v>
      </c>
      <c r="E33" s="3201">
        <f t="shared" si="33"/>
        <v>5931.39</v>
      </c>
      <c r="F33" s="3202"/>
      <c r="G33" s="3203">
        <f t="shared" si="34"/>
        <v>41132.33</v>
      </c>
      <c r="H33" s="3204">
        <f t="shared" si="35"/>
        <v>15137.099999999999</v>
      </c>
      <c r="I33" s="3205"/>
      <c r="J33" s="3206"/>
      <c r="K33" s="3207">
        <f>面积!G27</f>
        <v>15137.099999999999</v>
      </c>
      <c r="L33" s="3206"/>
      <c r="M33" s="3206"/>
      <c r="N33" s="3206"/>
      <c r="O33" s="3206"/>
      <c r="P33" s="3206"/>
      <c r="Q33" s="3206"/>
      <c r="R33" s="3206"/>
      <c r="S33" s="3206"/>
      <c r="T33" s="3206"/>
      <c r="U33" s="3206"/>
      <c r="V33" s="3206"/>
      <c r="W33" s="3206"/>
      <c r="X33" s="3206"/>
      <c r="Y33" s="3206"/>
      <c r="Z33" s="3206"/>
      <c r="AA33" s="3206"/>
      <c r="AB33" s="3206"/>
      <c r="AC33" s="3201">
        <f t="shared" si="36"/>
        <v>2388.7200000000003</v>
      </c>
      <c r="AD33" s="3208"/>
      <c r="AE33" s="3208"/>
      <c r="AF33" s="3209">
        <f>面积!J27</f>
        <v>603.33000000000004</v>
      </c>
      <c r="AG33" s="3208"/>
      <c r="AH33" s="3208"/>
      <c r="AI33" s="3208"/>
      <c r="AJ33" s="3208"/>
      <c r="AK33" s="3208"/>
      <c r="AL33" s="3208">
        <v>26.81</v>
      </c>
      <c r="AM33" s="3208"/>
      <c r="AN33" s="3209">
        <f>面积!I27-'数据-基础表'!AL33</f>
        <v>1758.5800000000002</v>
      </c>
      <c r="AO33" s="3208"/>
      <c r="AP33" s="3208"/>
      <c r="AQ33" s="3208"/>
      <c r="AR33" s="3208"/>
      <c r="AS33" s="3208"/>
      <c r="AT33" s="3202">
        <f>面积!L27</f>
        <v>23606.51</v>
      </c>
      <c r="AU33" s="3210"/>
      <c r="AV33" s="3211">
        <f t="shared" si="37"/>
        <v>0</v>
      </c>
      <c r="AW33" s="3211">
        <f t="shared" si="38"/>
        <v>0</v>
      </c>
      <c r="AX33" s="3211" t="str">
        <f t="shared" si="39"/>
        <v>A-汽车库</v>
      </c>
      <c r="AY33" s="3212">
        <f t="shared" si="40"/>
        <v>5931.39</v>
      </c>
      <c r="AZ33" s="3201">
        <f t="shared" si="41"/>
        <v>17525.82</v>
      </c>
      <c r="BA33" s="3201">
        <f t="shared" si="42"/>
        <v>15137.099999999999</v>
      </c>
      <c r="BB33" s="3201">
        <f t="shared" si="43"/>
        <v>0</v>
      </c>
      <c r="BC33" s="3201">
        <f t="shared" si="44"/>
        <v>15137.099999999999</v>
      </c>
      <c r="BD33" s="3201">
        <f t="shared" si="45"/>
        <v>0</v>
      </c>
      <c r="BE33" s="3201">
        <f t="shared" si="46"/>
        <v>0</v>
      </c>
      <c r="BF33" s="3201">
        <f t="shared" si="47"/>
        <v>0</v>
      </c>
      <c r="BG33" s="3201">
        <f t="shared" si="48"/>
        <v>0</v>
      </c>
      <c r="BH33" s="3201">
        <f t="shared" si="49"/>
        <v>0</v>
      </c>
      <c r="BI33" s="3201">
        <f t="shared" si="50"/>
        <v>0</v>
      </c>
      <c r="BJ33" s="3201">
        <f t="shared" si="51"/>
        <v>0</v>
      </c>
      <c r="BK33" s="3201">
        <f t="shared" si="52"/>
        <v>0</v>
      </c>
      <c r="BL33" s="3201">
        <f t="shared" si="53"/>
        <v>2388.7200000000003</v>
      </c>
      <c r="BM33" s="3201">
        <f t="shared" si="54"/>
        <v>0</v>
      </c>
      <c r="BN33" s="3201">
        <f t="shared" si="55"/>
        <v>603.33000000000004</v>
      </c>
      <c r="BO33" s="3201">
        <f t="shared" si="56"/>
        <v>0</v>
      </c>
      <c r="BP33" s="3201">
        <f t="shared" si="57"/>
        <v>0</v>
      </c>
      <c r="BQ33" s="3201">
        <f t="shared" si="58"/>
        <v>26.81</v>
      </c>
      <c r="BR33" s="3201">
        <f t="shared" si="59"/>
        <v>1758.5800000000002</v>
      </c>
      <c r="BS33" s="3201">
        <f t="shared" si="60"/>
        <v>0</v>
      </c>
      <c r="BT33" s="3213">
        <f t="shared" si="61"/>
        <v>0</v>
      </c>
    </row>
    <row r="34" spans="1:72" ht="14.25" customHeight="1">
      <c r="A34" s="84"/>
      <c r="B34" s="1387"/>
      <c r="C34" s="2963" t="str">
        <f>面积!B28</f>
        <v>B-1#住宅楼</v>
      </c>
      <c r="D34" s="2964" t="s">
        <v>1678</v>
      </c>
      <c r="E34" s="87">
        <f t="shared" si="33"/>
        <v>3057.38</v>
      </c>
      <c r="F34" s="88"/>
      <c r="G34" s="89">
        <f t="shared" si="34"/>
        <v>9033.83</v>
      </c>
      <c r="H34" s="90">
        <f t="shared" si="35"/>
        <v>7879.79</v>
      </c>
      <c r="I34" s="2965">
        <f>面积!E28</f>
        <v>7879.79</v>
      </c>
      <c r="J34" s="91"/>
      <c r="K34" s="1390"/>
      <c r="L34" s="91"/>
      <c r="M34" s="91"/>
      <c r="N34" s="91"/>
      <c r="O34" s="91"/>
      <c r="P34" s="91"/>
      <c r="Q34" s="91"/>
      <c r="R34" s="91"/>
      <c r="S34" s="91"/>
      <c r="T34" s="91"/>
      <c r="U34" s="91"/>
      <c r="V34" s="91"/>
      <c r="W34" s="91"/>
      <c r="X34" s="91"/>
      <c r="Y34" s="91"/>
      <c r="Z34" s="91"/>
      <c r="AA34" s="91"/>
      <c r="AB34" s="91"/>
      <c r="AC34" s="87">
        <f t="shared" si="36"/>
        <v>1154.04</v>
      </c>
      <c r="AD34" s="92"/>
      <c r="AE34" s="92"/>
      <c r="AF34" s="2969">
        <f>面积!J28</f>
        <v>0</v>
      </c>
      <c r="AG34" s="92"/>
      <c r="AH34" s="92"/>
      <c r="AI34" s="92"/>
      <c r="AJ34" s="92"/>
      <c r="AK34" s="92"/>
      <c r="AL34" s="92"/>
      <c r="AM34" s="92"/>
      <c r="AN34" s="2969">
        <f>面积!I28</f>
        <v>1154.04</v>
      </c>
      <c r="AO34" s="92"/>
      <c r="AP34" s="92"/>
      <c r="AQ34" s="92"/>
      <c r="AR34" s="92"/>
      <c r="AS34" s="92"/>
      <c r="AT34" s="93"/>
      <c r="AU34" s="94"/>
      <c r="AV34" s="3195">
        <f t="shared" si="37"/>
        <v>0</v>
      </c>
      <c r="AW34" s="3195">
        <f t="shared" si="38"/>
        <v>0</v>
      </c>
      <c r="AX34" s="3195" t="str">
        <f t="shared" si="39"/>
        <v>B-1#住宅楼</v>
      </c>
      <c r="AY34" s="95">
        <f t="shared" si="40"/>
        <v>3057.38</v>
      </c>
      <c r="AZ34" s="87">
        <f t="shared" si="41"/>
        <v>9033.83</v>
      </c>
      <c r="BA34" s="87">
        <f t="shared" si="42"/>
        <v>7879.79</v>
      </c>
      <c r="BB34" s="87">
        <f t="shared" si="43"/>
        <v>7879.79</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1154.04</v>
      </c>
      <c r="BM34" s="87">
        <f t="shared" si="54"/>
        <v>0</v>
      </c>
      <c r="BN34" s="87">
        <f t="shared" si="55"/>
        <v>0</v>
      </c>
      <c r="BO34" s="87">
        <f t="shared" si="56"/>
        <v>0</v>
      </c>
      <c r="BP34" s="87">
        <f t="shared" si="57"/>
        <v>0</v>
      </c>
      <c r="BQ34" s="87">
        <f t="shared" si="58"/>
        <v>0</v>
      </c>
      <c r="BR34" s="87">
        <f t="shared" si="59"/>
        <v>1154.04</v>
      </c>
      <c r="BS34" s="87">
        <f t="shared" si="60"/>
        <v>0</v>
      </c>
      <c r="BT34" s="96">
        <f t="shared" si="61"/>
        <v>0</v>
      </c>
    </row>
    <row r="35" spans="1:72" ht="14.25" customHeight="1">
      <c r="A35" s="84"/>
      <c r="B35" s="1387"/>
      <c r="C35" s="2963" t="str">
        <f>面积!B29</f>
        <v>B-2#住宅楼</v>
      </c>
      <c r="D35" s="2964" t="s">
        <v>1678</v>
      </c>
      <c r="E35" s="87">
        <f t="shared" si="33"/>
        <v>2072</v>
      </c>
      <c r="F35" s="88"/>
      <c r="G35" s="89">
        <f t="shared" si="34"/>
        <v>6122.25</v>
      </c>
      <c r="H35" s="90">
        <f t="shared" si="35"/>
        <v>4946.07</v>
      </c>
      <c r="I35" s="2965">
        <f>面积!E29</f>
        <v>4946.07</v>
      </c>
      <c r="J35" s="91"/>
      <c r="K35" s="1390"/>
      <c r="L35" s="91"/>
      <c r="M35" s="91"/>
      <c r="N35" s="91"/>
      <c r="O35" s="91"/>
      <c r="P35" s="91"/>
      <c r="Q35" s="91"/>
      <c r="R35" s="91"/>
      <c r="S35" s="91"/>
      <c r="T35" s="91"/>
      <c r="U35" s="91"/>
      <c r="V35" s="91"/>
      <c r="W35" s="91"/>
      <c r="X35" s="91"/>
      <c r="Y35" s="91"/>
      <c r="Z35" s="91"/>
      <c r="AA35" s="91"/>
      <c r="AB35" s="91"/>
      <c r="AC35" s="87">
        <f t="shared" si="36"/>
        <v>1176.18</v>
      </c>
      <c r="AD35" s="92"/>
      <c r="AE35" s="92"/>
      <c r="AF35" s="2969">
        <f>面积!J29</f>
        <v>0</v>
      </c>
      <c r="AG35" s="92"/>
      <c r="AH35" s="92"/>
      <c r="AI35" s="92"/>
      <c r="AJ35" s="92"/>
      <c r="AK35" s="92"/>
      <c r="AL35" s="92"/>
      <c r="AM35" s="92"/>
      <c r="AN35" s="2969">
        <f>面积!I29</f>
        <v>1176.18</v>
      </c>
      <c r="AO35" s="92"/>
      <c r="AP35" s="92"/>
      <c r="AQ35" s="92"/>
      <c r="AR35" s="92"/>
      <c r="AS35" s="92"/>
      <c r="AT35" s="93"/>
      <c r="AU35" s="94"/>
      <c r="AV35" s="3195">
        <f t="shared" si="37"/>
        <v>0</v>
      </c>
      <c r="AW35" s="3195">
        <f t="shared" si="38"/>
        <v>0</v>
      </c>
      <c r="AX35" s="3195" t="str">
        <f t="shared" si="39"/>
        <v>B-2#住宅楼</v>
      </c>
      <c r="AY35" s="95">
        <f t="shared" si="40"/>
        <v>2072</v>
      </c>
      <c r="AZ35" s="87">
        <f t="shared" si="41"/>
        <v>6122.25</v>
      </c>
      <c r="BA35" s="87">
        <f t="shared" si="42"/>
        <v>4946.07</v>
      </c>
      <c r="BB35" s="87">
        <f t="shared" si="43"/>
        <v>4946.07</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1176.18</v>
      </c>
      <c r="BM35" s="87">
        <f t="shared" si="54"/>
        <v>0</v>
      </c>
      <c r="BN35" s="87">
        <f t="shared" si="55"/>
        <v>0</v>
      </c>
      <c r="BO35" s="87">
        <f t="shared" si="56"/>
        <v>0</v>
      </c>
      <c r="BP35" s="87">
        <f t="shared" si="57"/>
        <v>0</v>
      </c>
      <c r="BQ35" s="87">
        <f t="shared" si="58"/>
        <v>0</v>
      </c>
      <c r="BR35" s="87">
        <f t="shared" si="59"/>
        <v>1176.18</v>
      </c>
      <c r="BS35" s="87">
        <f t="shared" si="60"/>
        <v>0</v>
      </c>
      <c r="BT35" s="96">
        <f t="shared" si="61"/>
        <v>0</v>
      </c>
    </row>
    <row r="36" spans="1:72" ht="14.25" customHeight="1">
      <c r="A36" s="84"/>
      <c r="B36" s="1387"/>
      <c r="C36" s="2963" t="str">
        <f>面积!B30</f>
        <v>B-3#住宅楼</v>
      </c>
      <c r="D36" s="2964" t="s">
        <v>1678</v>
      </c>
      <c r="E36" s="87">
        <f t="shared" si="33"/>
        <v>2585.79</v>
      </c>
      <c r="F36" s="88"/>
      <c r="G36" s="89">
        <f t="shared" si="34"/>
        <v>7640.3799999999992</v>
      </c>
      <c r="H36" s="90">
        <f t="shared" si="35"/>
        <v>6189.03</v>
      </c>
      <c r="I36" s="2965">
        <f>面积!E30</f>
        <v>6189.03</v>
      </c>
      <c r="J36" s="91"/>
      <c r="K36" s="1390"/>
      <c r="L36" s="91"/>
      <c r="M36" s="91"/>
      <c r="N36" s="91"/>
      <c r="O36" s="91"/>
      <c r="P36" s="91"/>
      <c r="Q36" s="91"/>
      <c r="R36" s="91"/>
      <c r="S36" s="91"/>
      <c r="T36" s="91"/>
      <c r="U36" s="91"/>
      <c r="V36" s="91"/>
      <c r="W36" s="91"/>
      <c r="X36" s="91"/>
      <c r="Y36" s="91"/>
      <c r="Z36" s="91"/>
      <c r="AA36" s="91"/>
      <c r="AB36" s="91"/>
      <c r="AC36" s="87">
        <f t="shared" si="36"/>
        <v>1451.35</v>
      </c>
      <c r="AD36" s="92"/>
      <c r="AE36" s="92"/>
      <c r="AF36" s="2969">
        <f>面积!J30</f>
        <v>0</v>
      </c>
      <c r="AG36" s="92"/>
      <c r="AH36" s="92"/>
      <c r="AI36" s="92"/>
      <c r="AJ36" s="92"/>
      <c r="AK36" s="92"/>
      <c r="AL36" s="92"/>
      <c r="AM36" s="92"/>
      <c r="AN36" s="2969">
        <f>面积!I30</f>
        <v>1451.35</v>
      </c>
      <c r="AO36" s="92"/>
      <c r="AP36" s="92"/>
      <c r="AQ36" s="92"/>
      <c r="AR36" s="92"/>
      <c r="AS36" s="92"/>
      <c r="AT36" s="93"/>
      <c r="AU36" s="94"/>
      <c r="AV36" s="3195">
        <f t="shared" si="37"/>
        <v>0</v>
      </c>
      <c r="AW36" s="3195">
        <f t="shared" si="38"/>
        <v>0</v>
      </c>
      <c r="AX36" s="3195" t="str">
        <f t="shared" si="39"/>
        <v>B-3#住宅楼</v>
      </c>
      <c r="AY36" s="95">
        <f t="shared" si="40"/>
        <v>2585.79</v>
      </c>
      <c r="AZ36" s="87">
        <f t="shared" si="41"/>
        <v>7640.3799999999992</v>
      </c>
      <c r="BA36" s="87">
        <f t="shared" si="42"/>
        <v>6189.03</v>
      </c>
      <c r="BB36" s="87">
        <f t="shared" si="43"/>
        <v>6189.03</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1451.35</v>
      </c>
      <c r="BM36" s="87">
        <f t="shared" si="54"/>
        <v>0</v>
      </c>
      <c r="BN36" s="87">
        <f t="shared" si="55"/>
        <v>0</v>
      </c>
      <c r="BO36" s="87">
        <f t="shared" si="56"/>
        <v>0</v>
      </c>
      <c r="BP36" s="87">
        <f t="shared" si="57"/>
        <v>0</v>
      </c>
      <c r="BQ36" s="87">
        <f t="shared" si="58"/>
        <v>0</v>
      </c>
      <c r="BR36" s="87">
        <f t="shared" si="59"/>
        <v>1451.35</v>
      </c>
      <c r="BS36" s="87">
        <f t="shared" si="60"/>
        <v>0</v>
      </c>
      <c r="BT36" s="96">
        <f t="shared" si="61"/>
        <v>0</v>
      </c>
    </row>
    <row r="37" spans="1:72" ht="14.25" customHeight="1">
      <c r="A37" s="84"/>
      <c r="B37" s="1387"/>
      <c r="C37" s="2963" t="str">
        <f>面积!B31</f>
        <v>B-4#住宅楼</v>
      </c>
      <c r="D37" s="2964" t="s">
        <v>1678</v>
      </c>
      <c r="E37" s="87">
        <f t="shared" si="33"/>
        <v>4138.0600000000004</v>
      </c>
      <c r="F37" s="88"/>
      <c r="G37" s="89">
        <f t="shared" si="34"/>
        <v>12226.96</v>
      </c>
      <c r="H37" s="90">
        <f t="shared" si="35"/>
        <v>10459.06</v>
      </c>
      <c r="I37" s="2965">
        <f>面积!E31</f>
        <v>10459.06</v>
      </c>
      <c r="J37" s="91"/>
      <c r="K37" s="1390"/>
      <c r="L37" s="91"/>
      <c r="M37" s="91"/>
      <c r="N37" s="91"/>
      <c r="O37" s="91"/>
      <c r="P37" s="91"/>
      <c r="Q37" s="91"/>
      <c r="R37" s="91"/>
      <c r="S37" s="91"/>
      <c r="T37" s="91"/>
      <c r="U37" s="91"/>
      <c r="V37" s="91"/>
      <c r="W37" s="91"/>
      <c r="X37" s="91"/>
      <c r="Y37" s="91"/>
      <c r="Z37" s="91"/>
      <c r="AA37" s="91"/>
      <c r="AB37" s="91"/>
      <c r="AC37" s="87">
        <f t="shared" si="36"/>
        <v>1767.8999999999999</v>
      </c>
      <c r="AD37" s="92"/>
      <c r="AE37" s="92"/>
      <c r="AF37" s="2969">
        <f>面积!J31</f>
        <v>56.84</v>
      </c>
      <c r="AG37" s="92"/>
      <c r="AH37" s="92"/>
      <c r="AI37" s="92"/>
      <c r="AJ37" s="92"/>
      <c r="AK37" s="92"/>
      <c r="AL37" s="92"/>
      <c r="AM37" s="92"/>
      <c r="AN37" s="2969">
        <f>面积!I31</f>
        <v>1711.06</v>
      </c>
      <c r="AO37" s="92"/>
      <c r="AP37" s="92"/>
      <c r="AQ37" s="92"/>
      <c r="AR37" s="92"/>
      <c r="AS37" s="92"/>
      <c r="AT37" s="93"/>
      <c r="AU37" s="94"/>
      <c r="AV37" s="3195">
        <f t="shared" si="37"/>
        <v>0</v>
      </c>
      <c r="AW37" s="3195">
        <f t="shared" si="38"/>
        <v>0</v>
      </c>
      <c r="AX37" s="3195" t="str">
        <f t="shared" si="39"/>
        <v>B-4#住宅楼</v>
      </c>
      <c r="AY37" s="95">
        <f t="shared" si="40"/>
        <v>4138.0600000000004</v>
      </c>
      <c r="AZ37" s="87">
        <f t="shared" si="41"/>
        <v>12226.96</v>
      </c>
      <c r="BA37" s="87">
        <f t="shared" si="42"/>
        <v>10459.06</v>
      </c>
      <c r="BB37" s="87">
        <f t="shared" si="43"/>
        <v>10459.06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1767.8999999999999</v>
      </c>
      <c r="BM37" s="87">
        <f t="shared" si="54"/>
        <v>0</v>
      </c>
      <c r="BN37" s="87">
        <f t="shared" si="55"/>
        <v>56.84</v>
      </c>
      <c r="BO37" s="87">
        <f t="shared" si="56"/>
        <v>0</v>
      </c>
      <c r="BP37" s="87">
        <f t="shared" si="57"/>
        <v>0</v>
      </c>
      <c r="BQ37" s="87">
        <f t="shared" si="58"/>
        <v>0</v>
      </c>
      <c r="BR37" s="87">
        <f t="shared" si="59"/>
        <v>1711.06</v>
      </c>
      <c r="BS37" s="87">
        <f t="shared" si="60"/>
        <v>0</v>
      </c>
      <c r="BT37" s="96">
        <f t="shared" si="61"/>
        <v>0</v>
      </c>
    </row>
    <row r="38" spans="1:72" ht="14.25" customHeight="1">
      <c r="A38" s="84"/>
      <c r="B38" s="1387"/>
      <c r="C38" s="2963" t="str">
        <f>面积!B32</f>
        <v>B-5#住宅楼</v>
      </c>
      <c r="D38" s="2964" t="s">
        <v>1678</v>
      </c>
      <c r="E38" s="87">
        <f t="shared" si="33"/>
        <v>1704.25</v>
      </c>
      <c r="F38" s="88"/>
      <c r="G38" s="89">
        <f t="shared" si="34"/>
        <v>5035.6499999999996</v>
      </c>
      <c r="H38" s="90">
        <f t="shared" si="35"/>
        <v>3859.47</v>
      </c>
      <c r="I38" s="2965">
        <f>面积!E32</f>
        <v>3859.47</v>
      </c>
      <c r="J38" s="91"/>
      <c r="K38" s="1390"/>
      <c r="L38" s="91"/>
      <c r="M38" s="91"/>
      <c r="N38" s="91"/>
      <c r="O38" s="91"/>
      <c r="P38" s="91"/>
      <c r="Q38" s="91"/>
      <c r="R38" s="91"/>
      <c r="S38" s="91"/>
      <c r="T38" s="91"/>
      <c r="U38" s="91"/>
      <c r="V38" s="91"/>
      <c r="W38" s="91"/>
      <c r="X38" s="91"/>
      <c r="Y38" s="91"/>
      <c r="Z38" s="91"/>
      <c r="AA38" s="91"/>
      <c r="AB38" s="91"/>
      <c r="AC38" s="87">
        <f t="shared" si="36"/>
        <v>1176.18</v>
      </c>
      <c r="AD38" s="92"/>
      <c r="AE38" s="92"/>
      <c r="AF38" s="2969">
        <f>面积!J32</f>
        <v>0</v>
      </c>
      <c r="AG38" s="92"/>
      <c r="AH38" s="92"/>
      <c r="AI38" s="92"/>
      <c r="AJ38" s="92"/>
      <c r="AK38" s="92"/>
      <c r="AL38" s="92"/>
      <c r="AM38" s="92"/>
      <c r="AN38" s="2969">
        <f>面积!I32</f>
        <v>1176.18</v>
      </c>
      <c r="AO38" s="92"/>
      <c r="AP38" s="92"/>
      <c r="AQ38" s="92"/>
      <c r="AR38" s="92"/>
      <c r="AS38" s="92"/>
      <c r="AT38" s="93"/>
      <c r="AU38" s="94"/>
      <c r="AV38" s="3195">
        <f t="shared" si="37"/>
        <v>0</v>
      </c>
      <c r="AW38" s="3195">
        <f t="shared" si="38"/>
        <v>0</v>
      </c>
      <c r="AX38" s="3195" t="str">
        <f t="shared" si="39"/>
        <v>B-5#住宅楼</v>
      </c>
      <c r="AY38" s="95">
        <f t="shared" si="40"/>
        <v>1704.25</v>
      </c>
      <c r="AZ38" s="87">
        <f t="shared" si="41"/>
        <v>5035.6499999999996</v>
      </c>
      <c r="BA38" s="87">
        <f t="shared" si="42"/>
        <v>3859.47</v>
      </c>
      <c r="BB38" s="87">
        <f t="shared" si="43"/>
        <v>3859.47</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1176.18</v>
      </c>
      <c r="BM38" s="87">
        <f t="shared" si="54"/>
        <v>0</v>
      </c>
      <c r="BN38" s="87">
        <f t="shared" si="55"/>
        <v>0</v>
      </c>
      <c r="BO38" s="87">
        <f t="shared" si="56"/>
        <v>0</v>
      </c>
      <c r="BP38" s="87">
        <f t="shared" si="57"/>
        <v>0</v>
      </c>
      <c r="BQ38" s="87">
        <f t="shared" si="58"/>
        <v>0</v>
      </c>
      <c r="BR38" s="87">
        <f t="shared" si="59"/>
        <v>1176.18</v>
      </c>
      <c r="BS38" s="87">
        <f t="shared" si="60"/>
        <v>0</v>
      </c>
      <c r="BT38" s="96">
        <f t="shared" si="61"/>
        <v>0</v>
      </c>
    </row>
    <row r="39" spans="1:72" ht="14.25" customHeight="1">
      <c r="A39" s="84"/>
      <c r="B39" s="1387"/>
      <c r="C39" s="2963" t="str">
        <f>面积!B33</f>
        <v>B-6#住宅楼</v>
      </c>
      <c r="D39" s="2964" t="s">
        <v>1678</v>
      </c>
      <c r="E39" s="87">
        <f t="shared" si="33"/>
        <v>1888.31</v>
      </c>
      <c r="F39" s="88"/>
      <c r="G39" s="89">
        <f t="shared" si="34"/>
        <v>5579.4900000000007</v>
      </c>
      <c r="H39" s="90">
        <f t="shared" si="35"/>
        <v>4403.3100000000004</v>
      </c>
      <c r="I39" s="2965">
        <f>面积!E33</f>
        <v>4403.3100000000004</v>
      </c>
      <c r="J39" s="91"/>
      <c r="K39" s="1390"/>
      <c r="L39" s="91"/>
      <c r="M39" s="91"/>
      <c r="N39" s="91"/>
      <c r="O39" s="91"/>
      <c r="P39" s="91"/>
      <c r="Q39" s="91"/>
      <c r="R39" s="91"/>
      <c r="S39" s="91"/>
      <c r="T39" s="91"/>
      <c r="U39" s="91"/>
      <c r="V39" s="91"/>
      <c r="W39" s="91"/>
      <c r="X39" s="91"/>
      <c r="Y39" s="91"/>
      <c r="Z39" s="91"/>
      <c r="AA39" s="91"/>
      <c r="AB39" s="91"/>
      <c r="AC39" s="87">
        <f t="shared" si="36"/>
        <v>1176.18</v>
      </c>
      <c r="AD39" s="92"/>
      <c r="AE39" s="92"/>
      <c r="AF39" s="2969">
        <f>面积!J33</f>
        <v>0</v>
      </c>
      <c r="AG39" s="92"/>
      <c r="AH39" s="92"/>
      <c r="AI39" s="92"/>
      <c r="AJ39" s="92"/>
      <c r="AK39" s="92"/>
      <c r="AL39" s="92"/>
      <c r="AM39" s="92"/>
      <c r="AN39" s="2969">
        <f>面积!I33</f>
        <v>1176.18</v>
      </c>
      <c r="AO39" s="92"/>
      <c r="AP39" s="92"/>
      <c r="AQ39" s="92"/>
      <c r="AR39" s="92"/>
      <c r="AS39" s="92"/>
      <c r="AT39" s="93"/>
      <c r="AU39" s="94"/>
      <c r="AV39" s="3195">
        <f t="shared" si="37"/>
        <v>0</v>
      </c>
      <c r="AW39" s="3195">
        <f t="shared" si="38"/>
        <v>0</v>
      </c>
      <c r="AX39" s="3195" t="str">
        <f t="shared" si="39"/>
        <v>B-6#住宅楼</v>
      </c>
      <c r="AY39" s="95">
        <f t="shared" si="40"/>
        <v>1888.31</v>
      </c>
      <c r="AZ39" s="87">
        <f t="shared" si="41"/>
        <v>5579.4900000000007</v>
      </c>
      <c r="BA39" s="87">
        <f t="shared" si="42"/>
        <v>4403.3100000000004</v>
      </c>
      <c r="BB39" s="87">
        <f t="shared" si="43"/>
        <v>4403.3100000000004</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1176.18</v>
      </c>
      <c r="BM39" s="87">
        <f t="shared" si="54"/>
        <v>0</v>
      </c>
      <c r="BN39" s="87">
        <f t="shared" si="55"/>
        <v>0</v>
      </c>
      <c r="BO39" s="87">
        <f t="shared" si="56"/>
        <v>0</v>
      </c>
      <c r="BP39" s="87">
        <f t="shared" si="57"/>
        <v>0</v>
      </c>
      <c r="BQ39" s="87">
        <f t="shared" si="58"/>
        <v>0</v>
      </c>
      <c r="BR39" s="87">
        <f t="shared" si="59"/>
        <v>1176.18</v>
      </c>
      <c r="BS39" s="87">
        <f t="shared" si="60"/>
        <v>0</v>
      </c>
      <c r="BT39" s="96">
        <f t="shared" si="61"/>
        <v>0</v>
      </c>
    </row>
    <row r="40" spans="1:72" ht="14.25" customHeight="1">
      <c r="A40" s="84"/>
      <c r="B40" s="1387"/>
      <c r="C40" s="2963" t="str">
        <f>面积!B34</f>
        <v>B-7#住宅楼</v>
      </c>
      <c r="D40" s="2964" t="s">
        <v>1678</v>
      </c>
      <c r="E40" s="87">
        <f t="shared" si="33"/>
        <v>2703.09</v>
      </c>
      <c r="F40" s="88"/>
      <c r="G40" s="89">
        <f t="shared" si="34"/>
        <v>7986.9699999999993</v>
      </c>
      <c r="H40" s="90">
        <f t="shared" si="35"/>
        <v>7197.36</v>
      </c>
      <c r="I40" s="2965">
        <f>面积!E34</f>
        <v>7015.53</v>
      </c>
      <c r="J40" s="91"/>
      <c r="K40" s="1390"/>
      <c r="L40" s="91"/>
      <c r="M40" s="91">
        <f>面积!F34</f>
        <v>181.83</v>
      </c>
      <c r="N40" s="91"/>
      <c r="O40" s="91"/>
      <c r="P40" s="91"/>
      <c r="Q40" s="91"/>
      <c r="R40" s="91"/>
      <c r="S40" s="91"/>
      <c r="T40" s="91"/>
      <c r="U40" s="91"/>
      <c r="V40" s="91"/>
      <c r="W40" s="91"/>
      <c r="X40" s="91"/>
      <c r="Y40" s="91"/>
      <c r="Z40" s="91"/>
      <c r="AA40" s="91"/>
      <c r="AB40" s="91"/>
      <c r="AC40" s="87">
        <f t="shared" si="36"/>
        <v>789.61</v>
      </c>
      <c r="AD40" s="92"/>
      <c r="AE40" s="92"/>
      <c r="AF40" s="2969">
        <f>面积!J34</f>
        <v>0</v>
      </c>
      <c r="AG40" s="92"/>
      <c r="AH40" s="92"/>
      <c r="AI40" s="92"/>
      <c r="AJ40" s="92"/>
      <c r="AK40" s="92"/>
      <c r="AL40" s="92"/>
      <c r="AM40" s="92"/>
      <c r="AN40" s="2969">
        <f>面积!I34</f>
        <v>789.61</v>
      </c>
      <c r="AO40" s="92"/>
      <c r="AP40" s="92"/>
      <c r="AQ40" s="92"/>
      <c r="AR40" s="92"/>
      <c r="AS40" s="92"/>
      <c r="AT40" s="93"/>
      <c r="AU40" s="94"/>
      <c r="AV40" s="3195">
        <f t="shared" si="37"/>
        <v>0</v>
      </c>
      <c r="AW40" s="3195">
        <f t="shared" si="38"/>
        <v>0</v>
      </c>
      <c r="AX40" s="3195" t="str">
        <f t="shared" si="39"/>
        <v>B-7#住宅楼</v>
      </c>
      <c r="AY40" s="95">
        <f t="shared" si="40"/>
        <v>2703.09</v>
      </c>
      <c r="AZ40" s="87">
        <f t="shared" si="41"/>
        <v>7986.9699999999993</v>
      </c>
      <c r="BA40" s="87">
        <f t="shared" si="42"/>
        <v>7197.36</v>
      </c>
      <c r="BB40" s="87">
        <f t="shared" si="43"/>
        <v>7015.53</v>
      </c>
      <c r="BC40" s="87">
        <f t="shared" si="44"/>
        <v>0</v>
      </c>
      <c r="BD40" s="87">
        <f t="shared" si="45"/>
        <v>181.83</v>
      </c>
      <c r="BE40" s="87">
        <f t="shared" si="46"/>
        <v>0</v>
      </c>
      <c r="BF40" s="87">
        <f t="shared" si="47"/>
        <v>0</v>
      </c>
      <c r="BG40" s="87">
        <f t="shared" si="48"/>
        <v>0</v>
      </c>
      <c r="BH40" s="87">
        <f t="shared" si="49"/>
        <v>0</v>
      </c>
      <c r="BI40" s="87">
        <f t="shared" si="50"/>
        <v>0</v>
      </c>
      <c r="BJ40" s="87">
        <f t="shared" si="51"/>
        <v>0</v>
      </c>
      <c r="BK40" s="87">
        <f t="shared" si="52"/>
        <v>0</v>
      </c>
      <c r="BL40" s="87">
        <f t="shared" si="53"/>
        <v>789.61</v>
      </c>
      <c r="BM40" s="87">
        <f t="shared" si="54"/>
        <v>0</v>
      </c>
      <c r="BN40" s="87">
        <f t="shared" si="55"/>
        <v>0</v>
      </c>
      <c r="BO40" s="87">
        <f t="shared" si="56"/>
        <v>0</v>
      </c>
      <c r="BP40" s="87">
        <f t="shared" si="57"/>
        <v>0</v>
      </c>
      <c r="BQ40" s="87">
        <f t="shared" si="58"/>
        <v>0</v>
      </c>
      <c r="BR40" s="87">
        <f t="shared" si="59"/>
        <v>789.61</v>
      </c>
      <c r="BS40" s="87">
        <f t="shared" si="60"/>
        <v>0</v>
      </c>
      <c r="BT40" s="96">
        <f t="shared" si="61"/>
        <v>0</v>
      </c>
    </row>
    <row r="41" spans="1:72" ht="14.25" customHeight="1">
      <c r="A41" s="84"/>
      <c r="B41" s="1387"/>
      <c r="C41" s="2963" t="str">
        <f>面积!B35</f>
        <v>B-8#住宅楼</v>
      </c>
      <c r="D41" s="2964" t="s">
        <v>1678</v>
      </c>
      <c r="E41" s="87">
        <f t="shared" si="33"/>
        <v>1432.96</v>
      </c>
      <c r="F41" s="88"/>
      <c r="G41" s="89">
        <f t="shared" si="34"/>
        <v>4234.0499999999993</v>
      </c>
      <c r="H41" s="90">
        <f t="shared" si="35"/>
        <v>3479.2299999999996</v>
      </c>
      <c r="I41" s="2965">
        <f>面积!E35</f>
        <v>3258.99</v>
      </c>
      <c r="J41" s="91"/>
      <c r="K41" s="1390"/>
      <c r="L41" s="91"/>
      <c r="M41" s="91">
        <f>面积!F35</f>
        <v>220.24</v>
      </c>
      <c r="N41" s="91"/>
      <c r="O41" s="91"/>
      <c r="P41" s="91"/>
      <c r="Q41" s="91"/>
      <c r="R41" s="91"/>
      <c r="S41" s="91"/>
      <c r="T41" s="91"/>
      <c r="U41" s="91"/>
      <c r="V41" s="91"/>
      <c r="W41" s="91"/>
      <c r="X41" s="91"/>
      <c r="Y41" s="91"/>
      <c r="Z41" s="91"/>
      <c r="AA41" s="91"/>
      <c r="AB41" s="91"/>
      <c r="AC41" s="87">
        <f t="shared" si="36"/>
        <v>754.82</v>
      </c>
      <c r="AD41" s="92"/>
      <c r="AE41" s="92"/>
      <c r="AF41" s="2969">
        <f>面积!J35</f>
        <v>0</v>
      </c>
      <c r="AG41" s="92"/>
      <c r="AH41" s="92"/>
      <c r="AI41" s="92"/>
      <c r="AJ41" s="92"/>
      <c r="AK41" s="92"/>
      <c r="AL41" s="92"/>
      <c r="AM41" s="92"/>
      <c r="AN41" s="2969">
        <f>面积!I35</f>
        <v>754.82</v>
      </c>
      <c r="AO41" s="92"/>
      <c r="AP41" s="92"/>
      <c r="AQ41" s="92"/>
      <c r="AR41" s="92"/>
      <c r="AS41" s="92"/>
      <c r="AT41" s="93"/>
      <c r="AU41" s="94"/>
      <c r="AV41" s="3195">
        <f t="shared" si="37"/>
        <v>0</v>
      </c>
      <c r="AW41" s="3195">
        <f t="shared" si="38"/>
        <v>0</v>
      </c>
      <c r="AX41" s="3195" t="str">
        <f t="shared" si="39"/>
        <v>B-8#住宅楼</v>
      </c>
      <c r="AY41" s="95">
        <f t="shared" si="40"/>
        <v>1432.96</v>
      </c>
      <c r="AZ41" s="87">
        <f t="shared" si="41"/>
        <v>4234.0499999999993</v>
      </c>
      <c r="BA41" s="87">
        <f t="shared" si="42"/>
        <v>3479.2299999999996</v>
      </c>
      <c r="BB41" s="87">
        <f t="shared" si="43"/>
        <v>3258.99</v>
      </c>
      <c r="BC41" s="87">
        <f t="shared" si="44"/>
        <v>0</v>
      </c>
      <c r="BD41" s="87">
        <f t="shared" si="45"/>
        <v>220.24</v>
      </c>
      <c r="BE41" s="87">
        <f t="shared" si="46"/>
        <v>0</v>
      </c>
      <c r="BF41" s="87">
        <f t="shared" si="47"/>
        <v>0</v>
      </c>
      <c r="BG41" s="87">
        <f t="shared" si="48"/>
        <v>0</v>
      </c>
      <c r="BH41" s="87">
        <f t="shared" si="49"/>
        <v>0</v>
      </c>
      <c r="BI41" s="87">
        <f t="shared" si="50"/>
        <v>0</v>
      </c>
      <c r="BJ41" s="87">
        <f t="shared" si="51"/>
        <v>0</v>
      </c>
      <c r="BK41" s="87">
        <f t="shared" si="52"/>
        <v>0</v>
      </c>
      <c r="BL41" s="87">
        <f t="shared" si="53"/>
        <v>754.82</v>
      </c>
      <c r="BM41" s="87">
        <f t="shared" si="54"/>
        <v>0</v>
      </c>
      <c r="BN41" s="87">
        <f t="shared" si="55"/>
        <v>0</v>
      </c>
      <c r="BO41" s="87">
        <f t="shared" si="56"/>
        <v>0</v>
      </c>
      <c r="BP41" s="87">
        <f t="shared" si="57"/>
        <v>0</v>
      </c>
      <c r="BQ41" s="87">
        <f t="shared" si="58"/>
        <v>0</v>
      </c>
      <c r="BR41" s="87">
        <f t="shared" si="59"/>
        <v>754.82</v>
      </c>
      <c r="BS41" s="87">
        <f t="shared" si="60"/>
        <v>0</v>
      </c>
      <c r="BT41" s="96">
        <f t="shared" si="61"/>
        <v>0</v>
      </c>
    </row>
    <row r="42" spans="1:72" ht="14.25" customHeight="1">
      <c r="A42" s="84"/>
      <c r="B42" s="1387"/>
      <c r="C42" s="2963" t="str">
        <f>面积!B36</f>
        <v>B-9#住宅楼</v>
      </c>
      <c r="D42" s="2964" t="s">
        <v>1678</v>
      </c>
      <c r="E42" s="87">
        <f t="shared" si="33"/>
        <v>2311.58</v>
      </c>
      <c r="F42" s="88"/>
      <c r="G42" s="89">
        <f t="shared" si="34"/>
        <v>6830.17</v>
      </c>
      <c r="H42" s="90">
        <f t="shared" si="35"/>
        <v>5378.82</v>
      </c>
      <c r="I42" s="2965">
        <f>面积!E36</f>
        <v>5378.82</v>
      </c>
      <c r="J42" s="91"/>
      <c r="K42" s="1390"/>
      <c r="L42" s="91"/>
      <c r="M42" s="91"/>
      <c r="N42" s="91"/>
      <c r="O42" s="91"/>
      <c r="P42" s="91"/>
      <c r="Q42" s="91"/>
      <c r="R42" s="91"/>
      <c r="S42" s="91"/>
      <c r="T42" s="91"/>
      <c r="U42" s="91"/>
      <c r="V42" s="91"/>
      <c r="W42" s="91"/>
      <c r="X42" s="91"/>
      <c r="Y42" s="91"/>
      <c r="Z42" s="91"/>
      <c r="AA42" s="91"/>
      <c r="AB42" s="91"/>
      <c r="AC42" s="87">
        <f t="shared" si="36"/>
        <v>1451.35</v>
      </c>
      <c r="AD42" s="92"/>
      <c r="AE42" s="92"/>
      <c r="AF42" s="2969">
        <f>面积!J36</f>
        <v>0</v>
      </c>
      <c r="AG42" s="92"/>
      <c r="AH42" s="92"/>
      <c r="AI42" s="92"/>
      <c r="AJ42" s="92"/>
      <c r="AK42" s="92"/>
      <c r="AL42" s="92"/>
      <c r="AM42" s="92"/>
      <c r="AN42" s="2969">
        <f>面积!I36</f>
        <v>1451.35</v>
      </c>
      <c r="AO42" s="92"/>
      <c r="AP42" s="92"/>
      <c r="AQ42" s="92"/>
      <c r="AR42" s="92"/>
      <c r="AS42" s="92"/>
      <c r="AT42" s="93"/>
      <c r="AU42" s="94"/>
      <c r="AV42" s="3195">
        <f t="shared" si="37"/>
        <v>0</v>
      </c>
      <c r="AW42" s="3195">
        <f t="shared" si="38"/>
        <v>0</v>
      </c>
      <c r="AX42" s="3195" t="str">
        <f t="shared" si="39"/>
        <v>B-9#住宅楼</v>
      </c>
      <c r="AY42" s="95">
        <f t="shared" si="40"/>
        <v>2311.58</v>
      </c>
      <c r="AZ42" s="87">
        <f t="shared" si="41"/>
        <v>6830.17</v>
      </c>
      <c r="BA42" s="87">
        <f t="shared" si="42"/>
        <v>5378.82</v>
      </c>
      <c r="BB42" s="87">
        <f t="shared" si="43"/>
        <v>5378.82</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1451.35</v>
      </c>
      <c r="BM42" s="87">
        <f t="shared" si="54"/>
        <v>0</v>
      </c>
      <c r="BN42" s="87">
        <f t="shared" si="55"/>
        <v>0</v>
      </c>
      <c r="BO42" s="87">
        <f t="shared" si="56"/>
        <v>0</v>
      </c>
      <c r="BP42" s="87">
        <f t="shared" si="57"/>
        <v>0</v>
      </c>
      <c r="BQ42" s="87">
        <f t="shared" si="58"/>
        <v>0</v>
      </c>
      <c r="BR42" s="87">
        <f t="shared" si="59"/>
        <v>1451.35</v>
      </c>
      <c r="BS42" s="87">
        <f t="shared" si="60"/>
        <v>0</v>
      </c>
      <c r="BT42" s="96">
        <f t="shared" si="61"/>
        <v>0</v>
      </c>
    </row>
    <row r="43" spans="1:72" ht="14.25" customHeight="1">
      <c r="A43" s="84"/>
      <c r="B43" s="1387"/>
      <c r="C43" s="2963" t="str">
        <f>面积!B37</f>
        <v>B-10#住宅楼</v>
      </c>
      <c r="D43" s="2964" t="s">
        <v>1678</v>
      </c>
      <c r="E43" s="87">
        <f t="shared" si="33"/>
        <v>4138.0600000000004</v>
      </c>
      <c r="F43" s="88"/>
      <c r="G43" s="89">
        <f t="shared" si="34"/>
        <v>12226.96</v>
      </c>
      <c r="H43" s="90">
        <f t="shared" si="35"/>
        <v>10459.06</v>
      </c>
      <c r="I43" s="2965">
        <f>面积!E37</f>
        <v>10459.06</v>
      </c>
      <c r="J43" s="91"/>
      <c r="K43" s="1390"/>
      <c r="L43" s="91"/>
      <c r="M43" s="91"/>
      <c r="N43" s="91"/>
      <c r="O43" s="91"/>
      <c r="P43" s="91"/>
      <c r="Q43" s="91"/>
      <c r="R43" s="91"/>
      <c r="S43" s="91"/>
      <c r="T43" s="91"/>
      <c r="U43" s="91"/>
      <c r="V43" s="91"/>
      <c r="W43" s="91"/>
      <c r="X43" s="91"/>
      <c r="Y43" s="91"/>
      <c r="Z43" s="91"/>
      <c r="AA43" s="91"/>
      <c r="AB43" s="91"/>
      <c r="AC43" s="87">
        <f t="shared" si="36"/>
        <v>1767.9</v>
      </c>
      <c r="AD43" s="92"/>
      <c r="AE43" s="92"/>
      <c r="AF43" s="2969">
        <f>面积!J37</f>
        <v>42.88</v>
      </c>
      <c r="AG43" s="92"/>
      <c r="AH43" s="92"/>
      <c r="AI43" s="92"/>
      <c r="AJ43" s="92"/>
      <c r="AK43" s="92"/>
      <c r="AL43" s="92"/>
      <c r="AM43" s="92"/>
      <c r="AN43" s="2969">
        <f>面积!I37</f>
        <v>1725.02</v>
      </c>
      <c r="AO43" s="92"/>
      <c r="AP43" s="92"/>
      <c r="AQ43" s="92"/>
      <c r="AR43" s="92"/>
      <c r="AS43" s="92"/>
      <c r="AT43" s="93"/>
      <c r="AU43" s="94"/>
      <c r="AV43" s="3195">
        <f t="shared" si="37"/>
        <v>0</v>
      </c>
      <c r="AW43" s="3195">
        <f t="shared" si="38"/>
        <v>0</v>
      </c>
      <c r="AX43" s="3195" t="str">
        <f t="shared" si="39"/>
        <v>B-10#住宅楼</v>
      </c>
      <c r="AY43" s="95">
        <f t="shared" si="40"/>
        <v>4138.0600000000004</v>
      </c>
      <c r="AZ43" s="87">
        <f t="shared" si="41"/>
        <v>12226.96</v>
      </c>
      <c r="BA43" s="87">
        <f t="shared" si="42"/>
        <v>10459.06</v>
      </c>
      <c r="BB43" s="87">
        <f t="shared" si="43"/>
        <v>10459.06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1767.9</v>
      </c>
      <c r="BM43" s="87">
        <f t="shared" si="54"/>
        <v>0</v>
      </c>
      <c r="BN43" s="87">
        <f t="shared" si="55"/>
        <v>42.88</v>
      </c>
      <c r="BO43" s="87">
        <f t="shared" si="56"/>
        <v>0</v>
      </c>
      <c r="BP43" s="87">
        <f t="shared" si="57"/>
        <v>0</v>
      </c>
      <c r="BQ43" s="87">
        <f t="shared" si="58"/>
        <v>0</v>
      </c>
      <c r="BR43" s="87">
        <f t="shared" si="59"/>
        <v>1725.02</v>
      </c>
      <c r="BS43" s="87">
        <f t="shared" si="60"/>
        <v>0</v>
      </c>
      <c r="BT43" s="96">
        <f t="shared" si="61"/>
        <v>0</v>
      </c>
    </row>
    <row r="44" spans="1:72" ht="14.25" customHeight="1">
      <c r="A44" s="84"/>
      <c r="B44" s="1387"/>
      <c r="C44" s="2963" t="str">
        <f>面积!B38</f>
        <v>B-11#住宅楼</v>
      </c>
      <c r="D44" s="2964" t="s">
        <v>1678</v>
      </c>
      <c r="E44" s="87">
        <f t="shared" si="33"/>
        <v>5082</v>
      </c>
      <c r="F44" s="88"/>
      <c r="G44" s="89">
        <f t="shared" si="34"/>
        <v>15016.099999999999</v>
      </c>
      <c r="H44" s="90">
        <f t="shared" si="35"/>
        <v>13133.14</v>
      </c>
      <c r="I44" s="2965">
        <f>面积!E38</f>
        <v>13133.14</v>
      </c>
      <c r="J44" s="91"/>
      <c r="K44" s="1390"/>
      <c r="L44" s="91"/>
      <c r="M44" s="91"/>
      <c r="N44" s="91"/>
      <c r="O44" s="91"/>
      <c r="P44" s="91"/>
      <c r="Q44" s="91"/>
      <c r="R44" s="91"/>
      <c r="S44" s="91"/>
      <c r="T44" s="91"/>
      <c r="U44" s="91"/>
      <c r="V44" s="91"/>
      <c r="W44" s="91"/>
      <c r="X44" s="91"/>
      <c r="Y44" s="91"/>
      <c r="Z44" s="91"/>
      <c r="AA44" s="91"/>
      <c r="AB44" s="91"/>
      <c r="AC44" s="87">
        <f t="shared" si="36"/>
        <v>1882.96</v>
      </c>
      <c r="AD44" s="92"/>
      <c r="AE44" s="92"/>
      <c r="AF44" s="2969">
        <f>面积!J38</f>
        <v>400</v>
      </c>
      <c r="AG44" s="92"/>
      <c r="AH44" s="92"/>
      <c r="AI44" s="92"/>
      <c r="AJ44" s="92"/>
      <c r="AK44" s="92"/>
      <c r="AL44" s="92"/>
      <c r="AM44" s="92"/>
      <c r="AN44" s="2969">
        <f>面积!I38</f>
        <v>1482.96</v>
      </c>
      <c r="AO44" s="92"/>
      <c r="AP44" s="92"/>
      <c r="AQ44" s="92"/>
      <c r="AR44" s="92"/>
      <c r="AS44" s="92"/>
      <c r="AT44" s="93"/>
      <c r="AU44" s="94"/>
      <c r="AV44" s="3195">
        <f t="shared" si="37"/>
        <v>0</v>
      </c>
      <c r="AW44" s="3195">
        <f t="shared" si="38"/>
        <v>0</v>
      </c>
      <c r="AX44" s="3195" t="str">
        <f t="shared" si="39"/>
        <v>B-11#住宅楼</v>
      </c>
      <c r="AY44" s="95">
        <f t="shared" si="40"/>
        <v>5082</v>
      </c>
      <c r="AZ44" s="87">
        <f t="shared" si="41"/>
        <v>15016.099999999999</v>
      </c>
      <c r="BA44" s="87">
        <f t="shared" si="42"/>
        <v>13133.14</v>
      </c>
      <c r="BB44" s="87">
        <f t="shared" si="43"/>
        <v>13133.14</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1882.96</v>
      </c>
      <c r="BM44" s="87">
        <f t="shared" si="54"/>
        <v>0</v>
      </c>
      <c r="BN44" s="87">
        <f t="shared" si="55"/>
        <v>400</v>
      </c>
      <c r="BO44" s="87">
        <f t="shared" si="56"/>
        <v>0</v>
      </c>
      <c r="BP44" s="87">
        <f t="shared" si="57"/>
        <v>0</v>
      </c>
      <c r="BQ44" s="87">
        <f t="shared" si="58"/>
        <v>0</v>
      </c>
      <c r="BR44" s="87">
        <f t="shared" si="59"/>
        <v>1482.96</v>
      </c>
      <c r="BS44" s="87">
        <f t="shared" si="60"/>
        <v>0</v>
      </c>
      <c r="BT44" s="96">
        <f t="shared" si="61"/>
        <v>0</v>
      </c>
    </row>
    <row r="45" spans="1:72" ht="14.25" customHeight="1">
      <c r="A45" s="84"/>
      <c r="B45" s="1387"/>
      <c r="C45" s="2963" t="str">
        <f>面积!B39</f>
        <v>B-12#住宅楼</v>
      </c>
      <c r="D45" s="2964" t="s">
        <v>1678</v>
      </c>
      <c r="E45" s="87">
        <f t="shared" si="33"/>
        <v>5026.37</v>
      </c>
      <c r="F45" s="88"/>
      <c r="G45" s="89">
        <f t="shared" si="34"/>
        <v>14851.72</v>
      </c>
      <c r="H45" s="90">
        <f t="shared" si="35"/>
        <v>12972.23</v>
      </c>
      <c r="I45" s="2965">
        <f>面积!E39</f>
        <v>12972.23</v>
      </c>
      <c r="J45" s="91"/>
      <c r="K45" s="1390"/>
      <c r="L45" s="91"/>
      <c r="M45" s="91"/>
      <c r="N45" s="91"/>
      <c r="O45" s="91"/>
      <c r="P45" s="91"/>
      <c r="Q45" s="91"/>
      <c r="R45" s="91"/>
      <c r="S45" s="91"/>
      <c r="T45" s="91"/>
      <c r="U45" s="91"/>
      <c r="V45" s="91"/>
      <c r="W45" s="91"/>
      <c r="X45" s="91"/>
      <c r="Y45" s="91"/>
      <c r="Z45" s="91"/>
      <c r="AA45" s="91"/>
      <c r="AB45" s="91"/>
      <c r="AC45" s="87">
        <f t="shared" si="36"/>
        <v>1879.49</v>
      </c>
      <c r="AD45" s="92"/>
      <c r="AE45" s="92"/>
      <c r="AF45" s="2969">
        <f>面积!J39</f>
        <v>400</v>
      </c>
      <c r="AG45" s="92"/>
      <c r="AH45" s="92"/>
      <c r="AI45" s="92"/>
      <c r="AJ45" s="92"/>
      <c r="AK45" s="92"/>
      <c r="AL45" s="92"/>
      <c r="AM45" s="92"/>
      <c r="AN45" s="2969">
        <f>面积!I39</f>
        <v>1479.49</v>
      </c>
      <c r="AO45" s="92"/>
      <c r="AP45" s="92"/>
      <c r="AQ45" s="92"/>
      <c r="AR45" s="92"/>
      <c r="AS45" s="92"/>
      <c r="AT45" s="93"/>
      <c r="AU45" s="94"/>
      <c r="AV45" s="3195">
        <f t="shared" si="37"/>
        <v>0</v>
      </c>
      <c r="AW45" s="3195">
        <f t="shared" si="38"/>
        <v>0</v>
      </c>
      <c r="AX45" s="3195" t="str">
        <f t="shared" si="39"/>
        <v>B-12#住宅楼</v>
      </c>
      <c r="AY45" s="95">
        <f t="shared" si="40"/>
        <v>5026.37</v>
      </c>
      <c r="AZ45" s="87">
        <f t="shared" si="41"/>
        <v>14851.72</v>
      </c>
      <c r="BA45" s="87">
        <f t="shared" si="42"/>
        <v>12972.23</v>
      </c>
      <c r="BB45" s="87">
        <f t="shared" si="43"/>
        <v>12972.23</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1879.49</v>
      </c>
      <c r="BM45" s="87">
        <f t="shared" si="54"/>
        <v>0</v>
      </c>
      <c r="BN45" s="87">
        <f t="shared" si="55"/>
        <v>400</v>
      </c>
      <c r="BO45" s="87">
        <f t="shared" si="56"/>
        <v>0</v>
      </c>
      <c r="BP45" s="87">
        <f t="shared" si="57"/>
        <v>0</v>
      </c>
      <c r="BQ45" s="87">
        <f t="shared" si="58"/>
        <v>0</v>
      </c>
      <c r="BR45" s="87">
        <f t="shared" si="59"/>
        <v>1479.49</v>
      </c>
      <c r="BS45" s="87">
        <f t="shared" si="60"/>
        <v>0</v>
      </c>
      <c r="BT45" s="96">
        <f t="shared" si="61"/>
        <v>0</v>
      </c>
    </row>
    <row r="46" spans="1:72" ht="14.25" customHeight="1">
      <c r="A46" s="84"/>
      <c r="B46" s="1387"/>
      <c r="C46" s="2963" t="str">
        <f>面积!B40</f>
        <v>B-13#住宅楼</v>
      </c>
      <c r="D46" s="2964" t="s">
        <v>1678</v>
      </c>
      <c r="E46" s="87">
        <f t="shared" si="33"/>
        <v>4031.46</v>
      </c>
      <c r="F46" s="88"/>
      <c r="G46" s="89">
        <f t="shared" si="34"/>
        <v>11912</v>
      </c>
      <c r="H46" s="90">
        <f t="shared" si="35"/>
        <v>10406.879999999999</v>
      </c>
      <c r="I46" s="2965">
        <f>面积!E40</f>
        <v>10406.879999999999</v>
      </c>
      <c r="J46" s="91"/>
      <c r="K46" s="1390"/>
      <c r="L46" s="91"/>
      <c r="M46" s="91"/>
      <c r="N46" s="91"/>
      <c r="O46" s="91"/>
      <c r="P46" s="91"/>
      <c r="Q46" s="91"/>
      <c r="R46" s="91"/>
      <c r="S46" s="91"/>
      <c r="T46" s="91"/>
      <c r="U46" s="91"/>
      <c r="V46" s="91"/>
      <c r="W46" s="91"/>
      <c r="X46" s="91"/>
      <c r="Y46" s="91"/>
      <c r="Z46" s="91"/>
      <c r="AA46" s="91"/>
      <c r="AB46" s="91"/>
      <c r="AC46" s="87">
        <f t="shared" si="36"/>
        <v>1505.12</v>
      </c>
      <c r="AD46" s="92"/>
      <c r="AE46" s="92"/>
      <c r="AF46" s="2969">
        <f>面积!J40</f>
        <v>200</v>
      </c>
      <c r="AG46" s="92"/>
      <c r="AH46" s="92"/>
      <c r="AI46" s="92"/>
      <c r="AJ46" s="92"/>
      <c r="AK46" s="92"/>
      <c r="AL46" s="92"/>
      <c r="AM46" s="92"/>
      <c r="AN46" s="2969">
        <f>面积!I40</f>
        <v>1305.1199999999999</v>
      </c>
      <c r="AO46" s="92"/>
      <c r="AP46" s="92"/>
      <c r="AQ46" s="92"/>
      <c r="AR46" s="92"/>
      <c r="AS46" s="92"/>
      <c r="AT46" s="93"/>
      <c r="AU46" s="94"/>
      <c r="AV46" s="3195">
        <f t="shared" si="37"/>
        <v>0</v>
      </c>
      <c r="AW46" s="3195">
        <f t="shared" si="38"/>
        <v>0</v>
      </c>
      <c r="AX46" s="3195" t="str">
        <f t="shared" si="39"/>
        <v>B-13#住宅楼</v>
      </c>
      <c r="AY46" s="95">
        <f t="shared" si="40"/>
        <v>4031.46</v>
      </c>
      <c r="AZ46" s="87">
        <f t="shared" si="41"/>
        <v>11912</v>
      </c>
      <c r="BA46" s="87">
        <f t="shared" si="42"/>
        <v>10406.879999999999</v>
      </c>
      <c r="BB46" s="87">
        <f t="shared" si="43"/>
        <v>10406.879999999999</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1505.12</v>
      </c>
      <c r="BM46" s="87">
        <f t="shared" si="54"/>
        <v>0</v>
      </c>
      <c r="BN46" s="87">
        <f t="shared" si="55"/>
        <v>200</v>
      </c>
      <c r="BO46" s="87">
        <f t="shared" si="56"/>
        <v>0</v>
      </c>
      <c r="BP46" s="87">
        <f t="shared" si="57"/>
        <v>0</v>
      </c>
      <c r="BQ46" s="87">
        <f t="shared" si="58"/>
        <v>0</v>
      </c>
      <c r="BR46" s="87">
        <f t="shared" si="59"/>
        <v>1305.1199999999999</v>
      </c>
      <c r="BS46" s="87">
        <f t="shared" si="60"/>
        <v>0</v>
      </c>
      <c r="BT46" s="96">
        <f t="shared" si="61"/>
        <v>0</v>
      </c>
    </row>
    <row r="47" spans="1:72" ht="14.25" customHeight="1">
      <c r="A47" s="84"/>
      <c r="B47" s="1387"/>
      <c r="C47" s="2963" t="str">
        <f>面积!B41</f>
        <v>B-S1#配套楼</v>
      </c>
      <c r="D47" s="2964" t="s">
        <v>1678</v>
      </c>
      <c r="E47" s="87">
        <f t="shared" si="33"/>
        <v>208.59</v>
      </c>
      <c r="F47" s="88"/>
      <c r="G47" s="89">
        <f t="shared" si="34"/>
        <v>616.34</v>
      </c>
      <c r="H47" s="90">
        <f t="shared" si="35"/>
        <v>0</v>
      </c>
      <c r="I47" s="2965"/>
      <c r="J47" s="91"/>
      <c r="K47" s="1390"/>
      <c r="L47" s="91"/>
      <c r="M47" s="91"/>
      <c r="N47" s="91"/>
      <c r="O47" s="91"/>
      <c r="P47" s="91"/>
      <c r="Q47" s="91"/>
      <c r="R47" s="91"/>
      <c r="S47" s="91"/>
      <c r="T47" s="91"/>
      <c r="U47" s="91"/>
      <c r="V47" s="91"/>
      <c r="W47" s="91"/>
      <c r="X47" s="91"/>
      <c r="Y47" s="91"/>
      <c r="Z47" s="91"/>
      <c r="AA47" s="91"/>
      <c r="AB47" s="91"/>
      <c r="AC47" s="87">
        <f t="shared" si="36"/>
        <v>616.34</v>
      </c>
      <c r="AD47" s="92">
        <f>面积!J41</f>
        <v>616.34</v>
      </c>
      <c r="AE47" s="92"/>
      <c r="AF47" s="2969"/>
      <c r="AG47" s="92"/>
      <c r="AH47" s="92"/>
      <c r="AI47" s="92"/>
      <c r="AJ47" s="92"/>
      <c r="AK47" s="92"/>
      <c r="AL47" s="92"/>
      <c r="AM47" s="92"/>
      <c r="AN47" s="2969">
        <f>面积!I41</f>
        <v>0</v>
      </c>
      <c r="AO47" s="92"/>
      <c r="AP47" s="92"/>
      <c r="AQ47" s="92"/>
      <c r="AR47" s="92"/>
      <c r="AS47" s="92"/>
      <c r="AT47" s="93"/>
      <c r="AU47" s="94"/>
      <c r="AV47" s="3195">
        <f t="shared" si="37"/>
        <v>0</v>
      </c>
      <c r="AW47" s="3195">
        <f t="shared" si="38"/>
        <v>0</v>
      </c>
      <c r="AX47" s="3195" t="str">
        <f t="shared" si="39"/>
        <v>B-S1#配套楼</v>
      </c>
      <c r="AY47" s="95">
        <f t="shared" si="40"/>
        <v>208.59</v>
      </c>
      <c r="AZ47" s="87">
        <f t="shared" si="41"/>
        <v>616.34</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616.34</v>
      </c>
      <c r="BM47" s="87">
        <f t="shared" si="54"/>
        <v>616.34</v>
      </c>
      <c r="BN47" s="87">
        <f t="shared" si="55"/>
        <v>0</v>
      </c>
      <c r="BO47" s="87">
        <f t="shared" si="56"/>
        <v>0</v>
      </c>
      <c r="BP47" s="87">
        <f t="shared" si="57"/>
        <v>0</v>
      </c>
      <c r="BQ47" s="87">
        <f t="shared" si="58"/>
        <v>0</v>
      </c>
      <c r="BR47" s="87">
        <f t="shared" si="59"/>
        <v>0</v>
      </c>
      <c r="BS47" s="87">
        <f t="shared" si="60"/>
        <v>0</v>
      </c>
      <c r="BT47" s="96">
        <f t="shared" si="61"/>
        <v>0</v>
      </c>
    </row>
    <row r="48" spans="1:72" ht="14.25" customHeight="1">
      <c r="A48" s="84"/>
      <c r="B48" s="1387"/>
      <c r="C48" s="2963" t="str">
        <f>面积!B42</f>
        <v>B-S2#配套楼</v>
      </c>
      <c r="D48" s="2964" t="s">
        <v>1678</v>
      </c>
      <c r="E48" s="87">
        <f t="shared" si="33"/>
        <v>127.1</v>
      </c>
      <c r="F48" s="88"/>
      <c r="G48" s="89">
        <f t="shared" si="34"/>
        <v>375.54</v>
      </c>
      <c r="H48" s="90">
        <f t="shared" si="35"/>
        <v>0</v>
      </c>
      <c r="I48" s="2965"/>
      <c r="J48" s="91"/>
      <c r="K48" s="1390"/>
      <c r="L48" s="91"/>
      <c r="M48" s="91"/>
      <c r="N48" s="91"/>
      <c r="O48" s="91"/>
      <c r="P48" s="91"/>
      <c r="Q48" s="91"/>
      <c r="R48" s="91"/>
      <c r="S48" s="91"/>
      <c r="T48" s="91"/>
      <c r="U48" s="91"/>
      <c r="V48" s="91"/>
      <c r="W48" s="91"/>
      <c r="X48" s="91"/>
      <c r="Y48" s="91"/>
      <c r="Z48" s="91"/>
      <c r="AA48" s="91"/>
      <c r="AB48" s="91"/>
      <c r="AC48" s="87">
        <f t="shared" si="36"/>
        <v>375.54</v>
      </c>
      <c r="AD48" s="92">
        <f>面积!J42</f>
        <v>375.54</v>
      </c>
      <c r="AE48" s="92"/>
      <c r="AF48" s="2969"/>
      <c r="AG48" s="92"/>
      <c r="AH48" s="92"/>
      <c r="AI48" s="92"/>
      <c r="AJ48" s="92"/>
      <c r="AK48" s="92"/>
      <c r="AL48" s="92"/>
      <c r="AM48" s="92"/>
      <c r="AN48" s="2969">
        <f>面积!I42</f>
        <v>0</v>
      </c>
      <c r="AO48" s="92"/>
      <c r="AP48" s="92"/>
      <c r="AQ48" s="92"/>
      <c r="AR48" s="92"/>
      <c r="AS48" s="92"/>
      <c r="AT48" s="93"/>
      <c r="AU48" s="94"/>
      <c r="AV48" s="3195">
        <f t="shared" si="37"/>
        <v>0</v>
      </c>
      <c r="AW48" s="3195">
        <f t="shared" si="38"/>
        <v>0</v>
      </c>
      <c r="AX48" s="3195" t="str">
        <f t="shared" si="39"/>
        <v>B-S2#配套楼</v>
      </c>
      <c r="AY48" s="95">
        <f t="shared" si="40"/>
        <v>127.1</v>
      </c>
      <c r="AZ48" s="87">
        <f t="shared" si="41"/>
        <v>375.54</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375.54</v>
      </c>
      <c r="BM48" s="87">
        <f t="shared" si="54"/>
        <v>375.54</v>
      </c>
      <c r="BN48" s="87">
        <f t="shared" si="55"/>
        <v>0</v>
      </c>
      <c r="BO48" s="87">
        <f t="shared" si="56"/>
        <v>0</v>
      </c>
      <c r="BP48" s="87">
        <f t="shared" si="57"/>
        <v>0</v>
      </c>
      <c r="BQ48" s="87">
        <f t="shared" si="58"/>
        <v>0</v>
      </c>
      <c r="BR48" s="87">
        <f t="shared" si="59"/>
        <v>0</v>
      </c>
      <c r="BS48" s="87">
        <f t="shared" si="60"/>
        <v>0</v>
      </c>
      <c r="BT48" s="96">
        <f t="shared" si="61"/>
        <v>0</v>
      </c>
    </row>
    <row r="49" spans="1:72" ht="14.25" customHeight="1">
      <c r="A49" s="84"/>
      <c r="B49" s="1387"/>
      <c r="C49" s="2963" t="str">
        <f>面积!B43</f>
        <v>B-S3#配套楼</v>
      </c>
      <c r="D49" s="2964" t="s">
        <v>1678</v>
      </c>
      <c r="E49" s="87">
        <f t="shared" si="33"/>
        <v>151.30000000000001</v>
      </c>
      <c r="F49" s="88"/>
      <c r="G49" s="89">
        <f t="shared" si="34"/>
        <v>447.06</v>
      </c>
      <c r="H49" s="90">
        <f t="shared" si="35"/>
        <v>0</v>
      </c>
      <c r="I49" s="2965"/>
      <c r="J49" s="91"/>
      <c r="K49" s="1390"/>
      <c r="L49" s="91"/>
      <c r="M49" s="91"/>
      <c r="N49" s="91"/>
      <c r="O49" s="91"/>
      <c r="P49" s="91"/>
      <c r="Q49" s="91"/>
      <c r="R49" s="91"/>
      <c r="S49" s="91"/>
      <c r="T49" s="91"/>
      <c r="U49" s="91"/>
      <c r="V49" s="91"/>
      <c r="W49" s="91"/>
      <c r="X49" s="91"/>
      <c r="Y49" s="91"/>
      <c r="Z49" s="91"/>
      <c r="AA49" s="91"/>
      <c r="AB49" s="91"/>
      <c r="AC49" s="87">
        <f t="shared" si="36"/>
        <v>447.06</v>
      </c>
      <c r="AD49" s="92">
        <f>面积!J43</f>
        <v>447.06</v>
      </c>
      <c r="AE49" s="92"/>
      <c r="AF49" s="2969"/>
      <c r="AG49" s="92"/>
      <c r="AH49" s="92"/>
      <c r="AI49" s="92"/>
      <c r="AJ49" s="92"/>
      <c r="AK49" s="92"/>
      <c r="AL49" s="92"/>
      <c r="AM49" s="92"/>
      <c r="AN49" s="2969">
        <f>面积!I43</f>
        <v>0</v>
      </c>
      <c r="AO49" s="92"/>
      <c r="AP49" s="92"/>
      <c r="AQ49" s="92"/>
      <c r="AR49" s="92"/>
      <c r="AS49" s="92"/>
      <c r="AT49" s="93"/>
      <c r="AU49" s="94"/>
      <c r="AV49" s="3195">
        <f t="shared" si="37"/>
        <v>0</v>
      </c>
      <c r="AW49" s="3195">
        <f t="shared" si="38"/>
        <v>0</v>
      </c>
      <c r="AX49" s="3195" t="str">
        <f t="shared" si="39"/>
        <v>B-S3#配套楼</v>
      </c>
      <c r="AY49" s="95">
        <f t="shared" si="40"/>
        <v>151.30000000000001</v>
      </c>
      <c r="AZ49" s="87">
        <f t="shared" si="41"/>
        <v>447.06</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447.06</v>
      </c>
      <c r="BM49" s="87">
        <f t="shared" si="54"/>
        <v>447.06</v>
      </c>
      <c r="BN49" s="87">
        <f t="shared" si="55"/>
        <v>0</v>
      </c>
      <c r="BO49" s="87">
        <f t="shared" si="56"/>
        <v>0</v>
      </c>
      <c r="BP49" s="87">
        <f t="shared" si="57"/>
        <v>0</v>
      </c>
      <c r="BQ49" s="87">
        <f t="shared" si="58"/>
        <v>0</v>
      </c>
      <c r="BR49" s="87">
        <f t="shared" si="59"/>
        <v>0</v>
      </c>
      <c r="BS49" s="87">
        <f t="shared" si="60"/>
        <v>0</v>
      </c>
      <c r="BT49" s="96">
        <f t="shared" si="61"/>
        <v>0</v>
      </c>
    </row>
    <row r="50" spans="1:72" s="3214" customFormat="1" ht="14.25" customHeight="1">
      <c r="A50" s="3197"/>
      <c r="B50" s="3198"/>
      <c r="C50" s="3199" t="str">
        <f>面积!B44</f>
        <v>B-汽车库</v>
      </c>
      <c r="D50" s="3200" t="s">
        <v>1678</v>
      </c>
      <c r="E50" s="3201">
        <f t="shared" si="33"/>
        <v>15657.79</v>
      </c>
      <c r="F50" s="3202"/>
      <c r="G50" s="3203">
        <f t="shared" si="34"/>
        <v>46312.61</v>
      </c>
      <c r="H50" s="3204">
        <f t="shared" si="35"/>
        <v>45359.03</v>
      </c>
      <c r="I50" s="3205"/>
      <c r="J50" s="3206"/>
      <c r="K50" s="3207">
        <f>面积!G44</f>
        <v>45359.03</v>
      </c>
      <c r="L50" s="3206"/>
      <c r="M50" s="3206"/>
      <c r="N50" s="3206"/>
      <c r="O50" s="3206"/>
      <c r="P50" s="3206"/>
      <c r="Q50" s="3206"/>
      <c r="R50" s="3206"/>
      <c r="S50" s="3206"/>
      <c r="T50" s="3206"/>
      <c r="U50" s="3206"/>
      <c r="V50" s="3206"/>
      <c r="W50" s="3206"/>
      <c r="X50" s="3206"/>
      <c r="Y50" s="3206"/>
      <c r="Z50" s="3206"/>
      <c r="AA50" s="3206"/>
      <c r="AB50" s="3206"/>
      <c r="AC50" s="3201">
        <f t="shared" si="36"/>
        <v>905.96</v>
      </c>
      <c r="AD50" s="3208"/>
      <c r="AE50" s="3208"/>
      <c r="AF50" s="3209">
        <f>面积!J44</f>
        <v>571.52</v>
      </c>
      <c r="AG50" s="3208"/>
      <c r="AH50" s="3208"/>
      <c r="AI50" s="3208"/>
      <c r="AJ50" s="3208"/>
      <c r="AK50" s="3208"/>
      <c r="AL50" s="3208"/>
      <c r="AM50" s="3208"/>
      <c r="AN50" s="2969">
        <f>面积!I44</f>
        <v>334.44</v>
      </c>
      <c r="AO50" s="3208"/>
      <c r="AP50" s="3208"/>
      <c r="AQ50" s="3208"/>
      <c r="AR50" s="3208"/>
      <c r="AS50" s="3208"/>
      <c r="AT50" s="3202">
        <f>面积!L44</f>
        <v>47.62</v>
      </c>
      <c r="AU50" s="3210"/>
      <c r="AV50" s="3211">
        <f t="shared" si="37"/>
        <v>0</v>
      </c>
      <c r="AW50" s="3211">
        <f t="shared" si="38"/>
        <v>0</v>
      </c>
      <c r="AX50" s="3211" t="str">
        <f t="shared" si="39"/>
        <v>B-汽车库</v>
      </c>
      <c r="AY50" s="3212">
        <f t="shared" si="40"/>
        <v>15657.79</v>
      </c>
      <c r="AZ50" s="3201">
        <f t="shared" si="41"/>
        <v>46264.99</v>
      </c>
      <c r="BA50" s="3201">
        <f t="shared" si="42"/>
        <v>45359.03</v>
      </c>
      <c r="BB50" s="3201">
        <f t="shared" si="43"/>
        <v>0</v>
      </c>
      <c r="BC50" s="3201">
        <f t="shared" si="44"/>
        <v>45359.03</v>
      </c>
      <c r="BD50" s="3201">
        <f t="shared" si="45"/>
        <v>0</v>
      </c>
      <c r="BE50" s="3201">
        <f t="shared" si="46"/>
        <v>0</v>
      </c>
      <c r="BF50" s="3201">
        <f t="shared" si="47"/>
        <v>0</v>
      </c>
      <c r="BG50" s="3201">
        <f t="shared" si="48"/>
        <v>0</v>
      </c>
      <c r="BH50" s="3201">
        <f t="shared" si="49"/>
        <v>0</v>
      </c>
      <c r="BI50" s="3201">
        <f t="shared" si="50"/>
        <v>0</v>
      </c>
      <c r="BJ50" s="3201">
        <f t="shared" si="51"/>
        <v>0</v>
      </c>
      <c r="BK50" s="3201">
        <f t="shared" si="52"/>
        <v>0</v>
      </c>
      <c r="BL50" s="3201">
        <f t="shared" si="53"/>
        <v>905.96</v>
      </c>
      <c r="BM50" s="3201">
        <f t="shared" si="54"/>
        <v>0</v>
      </c>
      <c r="BN50" s="3201">
        <f t="shared" si="55"/>
        <v>571.52</v>
      </c>
      <c r="BO50" s="3201">
        <f t="shared" si="56"/>
        <v>0</v>
      </c>
      <c r="BP50" s="3201">
        <f t="shared" si="57"/>
        <v>0</v>
      </c>
      <c r="BQ50" s="3201">
        <f t="shared" si="58"/>
        <v>0</v>
      </c>
      <c r="BR50" s="3201">
        <f t="shared" si="59"/>
        <v>334.44</v>
      </c>
      <c r="BS50" s="3201">
        <f t="shared" si="60"/>
        <v>0</v>
      </c>
      <c r="BT50" s="3213">
        <f t="shared" si="61"/>
        <v>0</v>
      </c>
    </row>
    <row r="51" spans="1:72" ht="13.5" customHeight="1">
      <c r="A51" s="84"/>
      <c r="B51" s="1387"/>
      <c r="C51" s="2963" t="str">
        <f>面积!B45</f>
        <v>B-门卫用房</v>
      </c>
      <c r="D51" s="2964" t="s">
        <v>1678</v>
      </c>
      <c r="E51" s="87">
        <f t="shared" si="33"/>
        <v>3.38</v>
      </c>
      <c r="F51" s="88"/>
      <c r="G51" s="89">
        <f t="shared" si="34"/>
        <v>10</v>
      </c>
      <c r="H51" s="90">
        <f t="shared" si="35"/>
        <v>0</v>
      </c>
      <c r="I51" s="2965"/>
      <c r="J51" s="91"/>
      <c r="K51" s="1390"/>
      <c r="L51" s="91"/>
      <c r="M51" s="91"/>
      <c r="N51" s="91"/>
      <c r="O51" s="91"/>
      <c r="P51" s="91"/>
      <c r="Q51" s="91"/>
      <c r="R51" s="91"/>
      <c r="S51" s="91"/>
      <c r="T51" s="91"/>
      <c r="U51" s="91"/>
      <c r="V51" s="91"/>
      <c r="W51" s="91"/>
      <c r="X51" s="91"/>
      <c r="Y51" s="91"/>
      <c r="Z51" s="91"/>
      <c r="AA51" s="91"/>
      <c r="AB51" s="91"/>
      <c r="AC51" s="87">
        <f t="shared" si="36"/>
        <v>10</v>
      </c>
      <c r="AD51" s="92"/>
      <c r="AE51" s="92"/>
      <c r="AF51" s="2969"/>
      <c r="AG51" s="92"/>
      <c r="AH51" s="92"/>
      <c r="AI51" s="92"/>
      <c r="AJ51" s="92"/>
      <c r="AK51" s="92"/>
      <c r="AL51" s="92">
        <v>10</v>
      </c>
      <c r="AM51" s="92"/>
      <c r="AN51" s="2969"/>
      <c r="AO51" s="92"/>
      <c r="AP51" s="92"/>
      <c r="AQ51" s="92"/>
      <c r="AR51" s="92"/>
      <c r="AS51" s="92"/>
      <c r="AT51" s="93"/>
      <c r="AU51" s="94"/>
      <c r="AV51" s="3195">
        <f t="shared" si="37"/>
        <v>0</v>
      </c>
      <c r="AW51" s="3195">
        <f t="shared" si="38"/>
        <v>0</v>
      </c>
      <c r="AX51" s="3195" t="str">
        <f t="shared" si="39"/>
        <v>B-门卫用房</v>
      </c>
      <c r="AY51" s="95">
        <f t="shared" si="40"/>
        <v>3.38</v>
      </c>
      <c r="AZ51" s="87">
        <f t="shared" si="41"/>
        <v>10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10</v>
      </c>
      <c r="BM51" s="87">
        <f t="shared" si="54"/>
        <v>0</v>
      </c>
      <c r="BN51" s="87">
        <f t="shared" si="55"/>
        <v>0</v>
      </c>
      <c r="BO51" s="87">
        <f t="shared" si="56"/>
        <v>0</v>
      </c>
      <c r="BP51" s="87">
        <f t="shared" si="57"/>
        <v>0</v>
      </c>
      <c r="BQ51" s="87">
        <f t="shared" si="58"/>
        <v>10</v>
      </c>
      <c r="BR51" s="87">
        <f t="shared" si="59"/>
        <v>0</v>
      </c>
      <c r="BS51" s="87">
        <f t="shared" si="60"/>
        <v>0</v>
      </c>
      <c r="BT51" s="96">
        <f t="shared" si="61"/>
        <v>0</v>
      </c>
    </row>
    <row r="52" spans="1:72" ht="14.25" customHeight="1">
      <c r="A52" s="84"/>
      <c r="B52" s="1387"/>
      <c r="C52" s="2963" t="str">
        <f>面积!B46</f>
        <v>C-1#住宅楼</v>
      </c>
      <c r="D52" s="2964" t="s">
        <v>1678</v>
      </c>
      <c r="E52" s="87">
        <f t="shared" si="33"/>
        <v>2545.5</v>
      </c>
      <c r="F52" s="88"/>
      <c r="G52" s="89">
        <f t="shared" si="34"/>
        <v>7521.35</v>
      </c>
      <c r="H52" s="90">
        <f t="shared" si="35"/>
        <v>6730.29</v>
      </c>
      <c r="I52" s="2965">
        <f>面积!E46</f>
        <v>6549.91</v>
      </c>
      <c r="J52" s="91"/>
      <c r="K52" s="1390"/>
      <c r="L52" s="91"/>
      <c r="M52" s="91">
        <f>面积!F46</f>
        <v>180.38</v>
      </c>
      <c r="N52" s="91"/>
      <c r="O52" s="91"/>
      <c r="P52" s="91"/>
      <c r="Q52" s="91"/>
      <c r="R52" s="91"/>
      <c r="S52" s="91"/>
      <c r="T52" s="91"/>
      <c r="U52" s="91"/>
      <c r="V52" s="91"/>
      <c r="W52" s="91"/>
      <c r="X52" s="91"/>
      <c r="Y52" s="91"/>
      <c r="Z52" s="91"/>
      <c r="AA52" s="91"/>
      <c r="AB52" s="91"/>
      <c r="AC52" s="87">
        <f t="shared" si="36"/>
        <v>791.06</v>
      </c>
      <c r="AD52" s="92"/>
      <c r="AE52" s="92"/>
      <c r="AF52" s="2969"/>
      <c r="AG52" s="92"/>
      <c r="AH52" s="92"/>
      <c r="AI52" s="92"/>
      <c r="AJ52" s="92"/>
      <c r="AK52" s="92"/>
      <c r="AL52" s="92"/>
      <c r="AM52" s="92"/>
      <c r="AN52" s="2969">
        <f>面积!I46</f>
        <v>791.06</v>
      </c>
      <c r="AO52" s="92"/>
      <c r="AP52" s="92"/>
      <c r="AQ52" s="92"/>
      <c r="AR52" s="92"/>
      <c r="AS52" s="92"/>
      <c r="AT52" s="93"/>
      <c r="AU52" s="94"/>
      <c r="AV52" s="3195">
        <f t="shared" si="37"/>
        <v>0</v>
      </c>
      <c r="AW52" s="3195">
        <f t="shared" si="38"/>
        <v>0</v>
      </c>
      <c r="AX52" s="3195" t="str">
        <f t="shared" si="39"/>
        <v>C-1#住宅楼</v>
      </c>
      <c r="AY52" s="95">
        <f t="shared" si="40"/>
        <v>2545.5</v>
      </c>
      <c r="AZ52" s="87">
        <f t="shared" si="41"/>
        <v>7521.35</v>
      </c>
      <c r="BA52" s="87">
        <f t="shared" si="42"/>
        <v>6730.29</v>
      </c>
      <c r="BB52" s="87">
        <f t="shared" si="43"/>
        <v>6549.91</v>
      </c>
      <c r="BC52" s="87">
        <f t="shared" si="44"/>
        <v>0</v>
      </c>
      <c r="BD52" s="87">
        <f t="shared" si="45"/>
        <v>180.38</v>
      </c>
      <c r="BE52" s="87">
        <f t="shared" si="46"/>
        <v>0</v>
      </c>
      <c r="BF52" s="87">
        <f t="shared" si="47"/>
        <v>0</v>
      </c>
      <c r="BG52" s="87">
        <f t="shared" si="48"/>
        <v>0</v>
      </c>
      <c r="BH52" s="87">
        <f t="shared" si="49"/>
        <v>0</v>
      </c>
      <c r="BI52" s="87">
        <f t="shared" si="50"/>
        <v>0</v>
      </c>
      <c r="BJ52" s="87">
        <f t="shared" si="51"/>
        <v>0</v>
      </c>
      <c r="BK52" s="87">
        <f t="shared" si="52"/>
        <v>0</v>
      </c>
      <c r="BL52" s="87">
        <f t="shared" si="53"/>
        <v>791.06</v>
      </c>
      <c r="BM52" s="87">
        <f t="shared" si="54"/>
        <v>0</v>
      </c>
      <c r="BN52" s="87">
        <f t="shared" si="55"/>
        <v>0</v>
      </c>
      <c r="BO52" s="87">
        <f t="shared" si="56"/>
        <v>0</v>
      </c>
      <c r="BP52" s="87">
        <f t="shared" si="57"/>
        <v>0</v>
      </c>
      <c r="BQ52" s="87">
        <f t="shared" si="58"/>
        <v>0</v>
      </c>
      <c r="BR52" s="87">
        <f t="shared" si="59"/>
        <v>791.06</v>
      </c>
      <c r="BS52" s="87">
        <f t="shared" si="60"/>
        <v>0</v>
      </c>
      <c r="BT52" s="96">
        <f t="shared" si="61"/>
        <v>0</v>
      </c>
    </row>
    <row r="53" spans="1:72" ht="14.25" customHeight="1">
      <c r="A53" s="84"/>
      <c r="B53" s="1387"/>
      <c r="C53" s="2963" t="str">
        <f>面积!B47</f>
        <v>C-2#住宅楼</v>
      </c>
      <c r="D53" s="2964" t="s">
        <v>1678</v>
      </c>
      <c r="E53" s="87">
        <f t="shared" si="33"/>
        <v>2545.5</v>
      </c>
      <c r="F53" s="88"/>
      <c r="G53" s="89">
        <f t="shared" si="34"/>
        <v>7521.35</v>
      </c>
      <c r="H53" s="90">
        <f t="shared" si="35"/>
        <v>6730.29</v>
      </c>
      <c r="I53" s="2965">
        <f>面积!E47</f>
        <v>6549.91</v>
      </c>
      <c r="J53" s="91"/>
      <c r="K53" s="1390"/>
      <c r="L53" s="91"/>
      <c r="M53" s="91">
        <f>面积!F47</f>
        <v>180.38</v>
      </c>
      <c r="N53" s="91"/>
      <c r="O53" s="91"/>
      <c r="P53" s="91"/>
      <c r="Q53" s="91"/>
      <c r="R53" s="91"/>
      <c r="S53" s="91"/>
      <c r="T53" s="91"/>
      <c r="U53" s="91"/>
      <c r="V53" s="91"/>
      <c r="W53" s="91"/>
      <c r="X53" s="91"/>
      <c r="Y53" s="91"/>
      <c r="Z53" s="91"/>
      <c r="AA53" s="91"/>
      <c r="AB53" s="91"/>
      <c r="AC53" s="87">
        <f t="shared" si="36"/>
        <v>791.06</v>
      </c>
      <c r="AD53" s="92"/>
      <c r="AE53" s="92"/>
      <c r="AF53" s="2969"/>
      <c r="AG53" s="92"/>
      <c r="AH53" s="92"/>
      <c r="AI53" s="92"/>
      <c r="AJ53" s="92"/>
      <c r="AK53" s="92"/>
      <c r="AL53" s="92"/>
      <c r="AM53" s="92"/>
      <c r="AN53" s="2969">
        <f>面积!I47</f>
        <v>791.06</v>
      </c>
      <c r="AO53" s="92"/>
      <c r="AP53" s="92"/>
      <c r="AQ53" s="92"/>
      <c r="AR53" s="92"/>
      <c r="AS53" s="92"/>
      <c r="AT53" s="93"/>
      <c r="AU53" s="94"/>
      <c r="AV53" s="3195">
        <f t="shared" si="37"/>
        <v>0</v>
      </c>
      <c r="AW53" s="3195">
        <f t="shared" si="38"/>
        <v>0</v>
      </c>
      <c r="AX53" s="3195" t="str">
        <f t="shared" si="39"/>
        <v>C-2#住宅楼</v>
      </c>
      <c r="AY53" s="95">
        <f t="shared" si="40"/>
        <v>2545.5</v>
      </c>
      <c r="AZ53" s="87">
        <f t="shared" si="41"/>
        <v>7521.35</v>
      </c>
      <c r="BA53" s="87">
        <f t="shared" si="42"/>
        <v>6730.29</v>
      </c>
      <c r="BB53" s="87">
        <f t="shared" si="43"/>
        <v>6549.91</v>
      </c>
      <c r="BC53" s="87">
        <f t="shared" si="44"/>
        <v>0</v>
      </c>
      <c r="BD53" s="87">
        <f t="shared" si="45"/>
        <v>180.38</v>
      </c>
      <c r="BE53" s="87">
        <f t="shared" si="46"/>
        <v>0</v>
      </c>
      <c r="BF53" s="87">
        <f t="shared" si="47"/>
        <v>0</v>
      </c>
      <c r="BG53" s="87">
        <f t="shared" si="48"/>
        <v>0</v>
      </c>
      <c r="BH53" s="87">
        <f t="shared" si="49"/>
        <v>0</v>
      </c>
      <c r="BI53" s="87">
        <f t="shared" si="50"/>
        <v>0</v>
      </c>
      <c r="BJ53" s="87">
        <f t="shared" si="51"/>
        <v>0</v>
      </c>
      <c r="BK53" s="87">
        <f t="shared" si="52"/>
        <v>0</v>
      </c>
      <c r="BL53" s="87">
        <f t="shared" si="53"/>
        <v>791.06</v>
      </c>
      <c r="BM53" s="87">
        <f t="shared" si="54"/>
        <v>0</v>
      </c>
      <c r="BN53" s="87">
        <f t="shared" si="55"/>
        <v>0</v>
      </c>
      <c r="BO53" s="87">
        <f t="shared" si="56"/>
        <v>0</v>
      </c>
      <c r="BP53" s="87">
        <f t="shared" si="57"/>
        <v>0</v>
      </c>
      <c r="BQ53" s="87">
        <f t="shared" si="58"/>
        <v>0</v>
      </c>
      <c r="BR53" s="87">
        <f t="shared" si="59"/>
        <v>791.06</v>
      </c>
      <c r="BS53" s="87">
        <f t="shared" si="60"/>
        <v>0</v>
      </c>
      <c r="BT53" s="96">
        <f t="shared" si="61"/>
        <v>0</v>
      </c>
    </row>
    <row r="54" spans="1:72" ht="14.25" customHeight="1">
      <c r="A54" s="84"/>
      <c r="B54" s="1387"/>
      <c r="C54" s="2963" t="str">
        <f>面积!B48</f>
        <v>C-3#住宅楼</v>
      </c>
      <c r="D54" s="2964" t="s">
        <v>1678</v>
      </c>
      <c r="E54" s="87">
        <f t="shared" si="33"/>
        <v>3306.31</v>
      </c>
      <c r="F54" s="88"/>
      <c r="G54" s="89">
        <f t="shared" si="34"/>
        <v>9769.36</v>
      </c>
      <c r="H54" s="90">
        <f t="shared" si="35"/>
        <v>8550.84</v>
      </c>
      <c r="I54" s="2965">
        <f>面积!E48</f>
        <v>8171.85</v>
      </c>
      <c r="J54" s="91"/>
      <c r="K54" s="1390"/>
      <c r="L54" s="91"/>
      <c r="M54" s="91">
        <f>面积!F48</f>
        <v>378.99</v>
      </c>
      <c r="N54" s="91"/>
      <c r="O54" s="91"/>
      <c r="P54" s="91"/>
      <c r="Q54" s="91"/>
      <c r="R54" s="91"/>
      <c r="S54" s="91"/>
      <c r="T54" s="91"/>
      <c r="U54" s="91"/>
      <c r="V54" s="91"/>
      <c r="W54" s="91"/>
      <c r="X54" s="91"/>
      <c r="Y54" s="91"/>
      <c r="Z54" s="91"/>
      <c r="AA54" s="91"/>
      <c r="AB54" s="91"/>
      <c r="AC54" s="87">
        <f t="shared" si="36"/>
        <v>1218.52</v>
      </c>
      <c r="AD54" s="92"/>
      <c r="AE54" s="92"/>
      <c r="AF54" s="2969"/>
      <c r="AG54" s="92"/>
      <c r="AH54" s="92"/>
      <c r="AI54" s="92"/>
      <c r="AJ54" s="92"/>
      <c r="AK54" s="92"/>
      <c r="AL54" s="92"/>
      <c r="AM54" s="92"/>
      <c r="AN54" s="2969">
        <f>面积!I48</f>
        <v>1218.52</v>
      </c>
      <c r="AO54" s="92"/>
      <c r="AP54" s="92"/>
      <c r="AQ54" s="92"/>
      <c r="AR54" s="92"/>
      <c r="AS54" s="92"/>
      <c r="AT54" s="93"/>
      <c r="AU54" s="94"/>
      <c r="AV54" s="3195">
        <f t="shared" si="37"/>
        <v>0</v>
      </c>
      <c r="AW54" s="3195">
        <f t="shared" si="38"/>
        <v>0</v>
      </c>
      <c r="AX54" s="3195" t="str">
        <f t="shared" si="39"/>
        <v>C-3#住宅楼</v>
      </c>
      <c r="AY54" s="95">
        <f t="shared" si="40"/>
        <v>3306.31</v>
      </c>
      <c r="AZ54" s="87">
        <f t="shared" si="41"/>
        <v>9769.36</v>
      </c>
      <c r="BA54" s="87">
        <f t="shared" si="42"/>
        <v>8550.84</v>
      </c>
      <c r="BB54" s="87">
        <f t="shared" si="43"/>
        <v>8171.85</v>
      </c>
      <c r="BC54" s="87">
        <f t="shared" si="44"/>
        <v>0</v>
      </c>
      <c r="BD54" s="87">
        <f t="shared" si="45"/>
        <v>378.99</v>
      </c>
      <c r="BE54" s="87">
        <f t="shared" si="46"/>
        <v>0</v>
      </c>
      <c r="BF54" s="87">
        <f t="shared" si="47"/>
        <v>0</v>
      </c>
      <c r="BG54" s="87">
        <f t="shared" si="48"/>
        <v>0</v>
      </c>
      <c r="BH54" s="87">
        <f t="shared" si="49"/>
        <v>0</v>
      </c>
      <c r="BI54" s="87">
        <f t="shared" si="50"/>
        <v>0</v>
      </c>
      <c r="BJ54" s="87">
        <f t="shared" si="51"/>
        <v>0</v>
      </c>
      <c r="BK54" s="87">
        <f t="shared" si="52"/>
        <v>0</v>
      </c>
      <c r="BL54" s="87">
        <f t="shared" si="53"/>
        <v>1218.52</v>
      </c>
      <c r="BM54" s="87">
        <f t="shared" si="54"/>
        <v>0</v>
      </c>
      <c r="BN54" s="87">
        <f t="shared" si="55"/>
        <v>0</v>
      </c>
      <c r="BO54" s="87">
        <f t="shared" si="56"/>
        <v>0</v>
      </c>
      <c r="BP54" s="87">
        <f t="shared" si="57"/>
        <v>0</v>
      </c>
      <c r="BQ54" s="87">
        <f t="shared" si="58"/>
        <v>0</v>
      </c>
      <c r="BR54" s="87">
        <f t="shared" si="59"/>
        <v>1218.52</v>
      </c>
      <c r="BS54" s="87">
        <f t="shared" si="60"/>
        <v>0</v>
      </c>
      <c r="BT54" s="96">
        <f t="shared" si="61"/>
        <v>0</v>
      </c>
    </row>
    <row r="55" spans="1:72" ht="14.25" customHeight="1">
      <c r="A55" s="84"/>
      <c r="B55" s="1387"/>
      <c r="C55" s="2963" t="str">
        <f>面积!B49</f>
        <v>C-4#住宅楼</v>
      </c>
      <c r="D55" s="2964" t="s">
        <v>1678</v>
      </c>
      <c r="E55" s="87">
        <f t="shared" si="33"/>
        <v>2701.99</v>
      </c>
      <c r="F55" s="88"/>
      <c r="G55" s="89">
        <f t="shared" si="34"/>
        <v>7983.73</v>
      </c>
      <c r="H55" s="90">
        <f t="shared" si="35"/>
        <v>7194.12</v>
      </c>
      <c r="I55" s="2965">
        <f>面积!E49</f>
        <v>7012.29</v>
      </c>
      <c r="J55" s="91"/>
      <c r="K55" s="1390"/>
      <c r="L55" s="91"/>
      <c r="M55" s="91">
        <f>面积!F49</f>
        <v>181.83</v>
      </c>
      <c r="N55" s="91"/>
      <c r="O55" s="91"/>
      <c r="P55" s="91"/>
      <c r="Q55" s="91"/>
      <c r="R55" s="91"/>
      <c r="S55" s="91"/>
      <c r="T55" s="91"/>
      <c r="U55" s="91"/>
      <c r="V55" s="91"/>
      <c r="W55" s="91"/>
      <c r="X55" s="91"/>
      <c r="Y55" s="91"/>
      <c r="Z55" s="91"/>
      <c r="AA55" s="91"/>
      <c r="AB55" s="91"/>
      <c r="AC55" s="87">
        <f t="shared" si="36"/>
        <v>789.61</v>
      </c>
      <c r="AD55" s="92"/>
      <c r="AE55" s="92"/>
      <c r="AF55" s="2969"/>
      <c r="AG55" s="92"/>
      <c r="AH55" s="92"/>
      <c r="AI55" s="92"/>
      <c r="AJ55" s="92"/>
      <c r="AK55" s="92"/>
      <c r="AL55" s="92"/>
      <c r="AM55" s="92"/>
      <c r="AN55" s="2969">
        <f>面积!I49</f>
        <v>789.61</v>
      </c>
      <c r="AO55" s="92"/>
      <c r="AP55" s="92"/>
      <c r="AQ55" s="92"/>
      <c r="AR55" s="92"/>
      <c r="AS55" s="92"/>
      <c r="AT55" s="93"/>
      <c r="AU55" s="94"/>
      <c r="AV55" s="3195">
        <f t="shared" si="37"/>
        <v>0</v>
      </c>
      <c r="AW55" s="3195">
        <f t="shared" si="38"/>
        <v>0</v>
      </c>
      <c r="AX55" s="3195" t="str">
        <f t="shared" si="39"/>
        <v>C-4#住宅楼</v>
      </c>
      <c r="AY55" s="95">
        <f t="shared" si="40"/>
        <v>2701.99</v>
      </c>
      <c r="AZ55" s="87">
        <f t="shared" si="41"/>
        <v>7983.73</v>
      </c>
      <c r="BA55" s="87">
        <f t="shared" si="42"/>
        <v>7194.12</v>
      </c>
      <c r="BB55" s="87">
        <f t="shared" si="43"/>
        <v>7012.29</v>
      </c>
      <c r="BC55" s="87">
        <f t="shared" si="44"/>
        <v>0</v>
      </c>
      <c r="BD55" s="87">
        <f t="shared" si="45"/>
        <v>181.83</v>
      </c>
      <c r="BE55" s="87">
        <f t="shared" si="46"/>
        <v>0</v>
      </c>
      <c r="BF55" s="87">
        <f t="shared" si="47"/>
        <v>0</v>
      </c>
      <c r="BG55" s="87">
        <f t="shared" si="48"/>
        <v>0</v>
      </c>
      <c r="BH55" s="87">
        <f t="shared" si="49"/>
        <v>0</v>
      </c>
      <c r="BI55" s="87">
        <f t="shared" si="50"/>
        <v>0</v>
      </c>
      <c r="BJ55" s="87">
        <f t="shared" si="51"/>
        <v>0</v>
      </c>
      <c r="BK55" s="87">
        <f t="shared" si="52"/>
        <v>0</v>
      </c>
      <c r="BL55" s="87">
        <f t="shared" si="53"/>
        <v>789.61</v>
      </c>
      <c r="BM55" s="87">
        <f t="shared" si="54"/>
        <v>0</v>
      </c>
      <c r="BN55" s="87">
        <f t="shared" si="55"/>
        <v>0</v>
      </c>
      <c r="BO55" s="87">
        <f t="shared" si="56"/>
        <v>0</v>
      </c>
      <c r="BP55" s="87">
        <f t="shared" si="57"/>
        <v>0</v>
      </c>
      <c r="BQ55" s="87">
        <f t="shared" si="58"/>
        <v>0</v>
      </c>
      <c r="BR55" s="87">
        <f t="shared" si="59"/>
        <v>789.61</v>
      </c>
      <c r="BS55" s="87">
        <f t="shared" si="60"/>
        <v>0</v>
      </c>
      <c r="BT55" s="96">
        <f t="shared" si="61"/>
        <v>0</v>
      </c>
    </row>
    <row r="56" spans="1:72" ht="14.25" customHeight="1">
      <c r="A56" s="84"/>
      <c r="B56" s="1387"/>
      <c r="C56" s="2963" t="str">
        <f>面积!B50</f>
        <v>C-5#住宅楼</v>
      </c>
      <c r="D56" s="2964" t="s">
        <v>1678</v>
      </c>
      <c r="E56" s="87">
        <f t="shared" si="33"/>
        <v>2699.97</v>
      </c>
      <c r="F56" s="88"/>
      <c r="G56" s="89">
        <f t="shared" si="34"/>
        <v>7977.7599999999993</v>
      </c>
      <c r="H56" s="90">
        <f t="shared" si="35"/>
        <v>7194.15</v>
      </c>
      <c r="I56" s="2965">
        <f>面积!E50</f>
        <v>7012.32</v>
      </c>
      <c r="J56" s="91"/>
      <c r="K56" s="1390"/>
      <c r="L56" s="91"/>
      <c r="M56" s="91">
        <f>面积!F50</f>
        <v>181.83</v>
      </c>
      <c r="N56" s="91"/>
      <c r="O56" s="91"/>
      <c r="P56" s="91"/>
      <c r="Q56" s="91"/>
      <c r="R56" s="91"/>
      <c r="S56" s="91"/>
      <c r="T56" s="91"/>
      <c r="U56" s="91"/>
      <c r="V56" s="91"/>
      <c r="W56" s="91"/>
      <c r="X56" s="91"/>
      <c r="Y56" s="91"/>
      <c r="Z56" s="91"/>
      <c r="AA56" s="91"/>
      <c r="AB56" s="91"/>
      <c r="AC56" s="87">
        <f t="shared" si="36"/>
        <v>783.61</v>
      </c>
      <c r="AD56" s="92"/>
      <c r="AE56" s="92"/>
      <c r="AF56" s="2969"/>
      <c r="AG56" s="92"/>
      <c r="AH56" s="92"/>
      <c r="AI56" s="92"/>
      <c r="AJ56" s="92"/>
      <c r="AK56" s="92"/>
      <c r="AL56" s="92"/>
      <c r="AM56" s="92"/>
      <c r="AN56" s="2969">
        <f>面积!I50</f>
        <v>783.61</v>
      </c>
      <c r="AO56" s="92"/>
      <c r="AP56" s="92"/>
      <c r="AQ56" s="92"/>
      <c r="AR56" s="92"/>
      <c r="AS56" s="92"/>
      <c r="AT56" s="93"/>
      <c r="AU56" s="94"/>
      <c r="AV56" s="3195">
        <f t="shared" si="37"/>
        <v>0</v>
      </c>
      <c r="AW56" s="3195">
        <f t="shared" si="38"/>
        <v>0</v>
      </c>
      <c r="AX56" s="3195" t="str">
        <f t="shared" si="39"/>
        <v>C-5#住宅楼</v>
      </c>
      <c r="AY56" s="95">
        <f t="shared" si="40"/>
        <v>2699.97</v>
      </c>
      <c r="AZ56" s="87">
        <f t="shared" si="41"/>
        <v>7977.7599999999993</v>
      </c>
      <c r="BA56" s="87">
        <f t="shared" si="42"/>
        <v>7194.15</v>
      </c>
      <c r="BB56" s="87">
        <f t="shared" si="43"/>
        <v>7012.32</v>
      </c>
      <c r="BC56" s="87">
        <f t="shared" si="44"/>
        <v>0</v>
      </c>
      <c r="BD56" s="87">
        <f t="shared" si="45"/>
        <v>181.83</v>
      </c>
      <c r="BE56" s="87">
        <f t="shared" si="46"/>
        <v>0</v>
      </c>
      <c r="BF56" s="87">
        <f t="shared" si="47"/>
        <v>0</v>
      </c>
      <c r="BG56" s="87">
        <f t="shared" si="48"/>
        <v>0</v>
      </c>
      <c r="BH56" s="87">
        <f t="shared" si="49"/>
        <v>0</v>
      </c>
      <c r="BI56" s="87">
        <f t="shared" si="50"/>
        <v>0</v>
      </c>
      <c r="BJ56" s="87">
        <f t="shared" si="51"/>
        <v>0</v>
      </c>
      <c r="BK56" s="87">
        <f t="shared" si="52"/>
        <v>0</v>
      </c>
      <c r="BL56" s="87">
        <f t="shared" si="53"/>
        <v>783.61</v>
      </c>
      <c r="BM56" s="87">
        <f t="shared" si="54"/>
        <v>0</v>
      </c>
      <c r="BN56" s="87">
        <f t="shared" si="55"/>
        <v>0</v>
      </c>
      <c r="BO56" s="87">
        <f t="shared" si="56"/>
        <v>0</v>
      </c>
      <c r="BP56" s="87">
        <f t="shared" si="57"/>
        <v>0</v>
      </c>
      <c r="BQ56" s="87">
        <f t="shared" si="58"/>
        <v>0</v>
      </c>
      <c r="BR56" s="87">
        <f t="shared" si="59"/>
        <v>783.61</v>
      </c>
      <c r="BS56" s="87">
        <f t="shared" si="60"/>
        <v>0</v>
      </c>
      <c r="BT56" s="96">
        <f t="shared" si="61"/>
        <v>0</v>
      </c>
    </row>
    <row r="57" spans="1:72" ht="14.25" customHeight="1">
      <c r="A57" s="84"/>
      <c r="B57" s="1387"/>
      <c r="C57" s="2963" t="str">
        <f>面积!B51</f>
        <v>C-6#住宅楼</v>
      </c>
      <c r="D57" s="2964" t="s">
        <v>1678</v>
      </c>
      <c r="E57" s="87">
        <f t="shared" si="33"/>
        <v>2537.89</v>
      </c>
      <c r="F57" s="88"/>
      <c r="G57" s="89">
        <f t="shared" si="34"/>
        <v>7498.85</v>
      </c>
      <c r="H57" s="90">
        <f t="shared" si="35"/>
        <v>6303.97</v>
      </c>
      <c r="I57" s="2965">
        <f>面积!E51</f>
        <v>5925.34</v>
      </c>
      <c r="J57" s="91"/>
      <c r="K57" s="1390"/>
      <c r="L57" s="91"/>
      <c r="M57" s="91">
        <f>面积!F51</f>
        <v>378.63</v>
      </c>
      <c r="N57" s="91"/>
      <c r="O57" s="91"/>
      <c r="P57" s="91"/>
      <c r="Q57" s="91"/>
      <c r="R57" s="91"/>
      <c r="S57" s="91"/>
      <c r="T57" s="91"/>
      <c r="U57" s="91"/>
      <c r="V57" s="91"/>
      <c r="W57" s="91"/>
      <c r="X57" s="91"/>
      <c r="Y57" s="91"/>
      <c r="Z57" s="91"/>
      <c r="AA57" s="91"/>
      <c r="AB57" s="91"/>
      <c r="AC57" s="87">
        <f t="shared" si="36"/>
        <v>1194.8800000000001</v>
      </c>
      <c r="AD57" s="92"/>
      <c r="AE57" s="92"/>
      <c r="AF57" s="2969"/>
      <c r="AG57" s="92"/>
      <c r="AH57" s="92"/>
      <c r="AI57" s="92"/>
      <c r="AJ57" s="92"/>
      <c r="AK57" s="92"/>
      <c r="AL57" s="92"/>
      <c r="AM57" s="92"/>
      <c r="AN57" s="2969">
        <f>面积!I51</f>
        <v>1194.8800000000001</v>
      </c>
      <c r="AO57" s="92"/>
      <c r="AP57" s="92"/>
      <c r="AQ57" s="92"/>
      <c r="AR57" s="92"/>
      <c r="AS57" s="92"/>
      <c r="AT57" s="93"/>
      <c r="AU57" s="94"/>
      <c r="AV57" s="3195">
        <f t="shared" si="37"/>
        <v>0</v>
      </c>
      <c r="AW57" s="3195">
        <f t="shared" si="38"/>
        <v>0</v>
      </c>
      <c r="AX57" s="3195" t="str">
        <f t="shared" si="39"/>
        <v>C-6#住宅楼</v>
      </c>
      <c r="AY57" s="95">
        <f t="shared" si="40"/>
        <v>2537.89</v>
      </c>
      <c r="AZ57" s="87">
        <f t="shared" si="41"/>
        <v>7498.85</v>
      </c>
      <c r="BA57" s="87">
        <f t="shared" si="42"/>
        <v>6303.97</v>
      </c>
      <c r="BB57" s="87">
        <f t="shared" si="43"/>
        <v>5925.34</v>
      </c>
      <c r="BC57" s="87">
        <f t="shared" si="44"/>
        <v>0</v>
      </c>
      <c r="BD57" s="87">
        <f t="shared" si="45"/>
        <v>378.63</v>
      </c>
      <c r="BE57" s="87">
        <f t="shared" si="46"/>
        <v>0</v>
      </c>
      <c r="BF57" s="87">
        <f t="shared" si="47"/>
        <v>0</v>
      </c>
      <c r="BG57" s="87">
        <f t="shared" si="48"/>
        <v>0</v>
      </c>
      <c r="BH57" s="87">
        <f t="shared" si="49"/>
        <v>0</v>
      </c>
      <c r="BI57" s="87">
        <f t="shared" si="50"/>
        <v>0</v>
      </c>
      <c r="BJ57" s="87">
        <f t="shared" si="51"/>
        <v>0</v>
      </c>
      <c r="BK57" s="87">
        <f t="shared" si="52"/>
        <v>0</v>
      </c>
      <c r="BL57" s="87">
        <f t="shared" si="53"/>
        <v>1194.8800000000001</v>
      </c>
      <c r="BM57" s="87">
        <f t="shared" si="54"/>
        <v>0</v>
      </c>
      <c r="BN57" s="87">
        <f t="shared" si="55"/>
        <v>0</v>
      </c>
      <c r="BO57" s="87">
        <f t="shared" si="56"/>
        <v>0</v>
      </c>
      <c r="BP57" s="87">
        <f t="shared" si="57"/>
        <v>0</v>
      </c>
      <c r="BQ57" s="87">
        <f t="shared" si="58"/>
        <v>0</v>
      </c>
      <c r="BR57" s="87">
        <f t="shared" si="59"/>
        <v>1194.8800000000001</v>
      </c>
      <c r="BS57" s="87">
        <f t="shared" si="60"/>
        <v>0</v>
      </c>
      <c r="BT57" s="96">
        <f t="shared" si="61"/>
        <v>0</v>
      </c>
    </row>
    <row r="58" spans="1:72" ht="14.25" customHeight="1">
      <c r="A58" s="84"/>
      <c r="B58" s="1387"/>
      <c r="C58" s="2963" t="str">
        <f>面积!B52</f>
        <v>C-7#住宅楼</v>
      </c>
      <c r="D58" s="2964" t="s">
        <v>1678</v>
      </c>
      <c r="E58" s="87">
        <f t="shared" si="33"/>
        <v>2700.11</v>
      </c>
      <c r="F58" s="88"/>
      <c r="G58" s="89">
        <f t="shared" si="34"/>
        <v>7978.1799999999994</v>
      </c>
      <c r="H58" s="90">
        <f t="shared" si="35"/>
        <v>7194.57</v>
      </c>
      <c r="I58" s="2965">
        <f>面积!E52</f>
        <v>7012.74</v>
      </c>
      <c r="J58" s="91"/>
      <c r="K58" s="1390"/>
      <c r="L58" s="91"/>
      <c r="M58" s="91">
        <f>面积!F52</f>
        <v>181.83</v>
      </c>
      <c r="N58" s="91"/>
      <c r="O58" s="91"/>
      <c r="P58" s="91"/>
      <c r="Q58" s="91"/>
      <c r="R58" s="91"/>
      <c r="S58" s="91"/>
      <c r="T58" s="91"/>
      <c r="U58" s="91"/>
      <c r="V58" s="91"/>
      <c r="W58" s="91"/>
      <c r="X58" s="91"/>
      <c r="Y58" s="91"/>
      <c r="Z58" s="91"/>
      <c r="AA58" s="91"/>
      <c r="AB58" s="91"/>
      <c r="AC58" s="87">
        <f t="shared" si="36"/>
        <v>783.61</v>
      </c>
      <c r="AD58" s="92"/>
      <c r="AE58" s="92"/>
      <c r="AF58" s="2969"/>
      <c r="AG58" s="92"/>
      <c r="AH58" s="92"/>
      <c r="AI58" s="92"/>
      <c r="AJ58" s="92"/>
      <c r="AK58" s="92"/>
      <c r="AL58" s="92"/>
      <c r="AM58" s="92"/>
      <c r="AN58" s="2969">
        <f>面积!I52</f>
        <v>783.61</v>
      </c>
      <c r="AO58" s="92"/>
      <c r="AP58" s="92"/>
      <c r="AQ58" s="92"/>
      <c r="AR58" s="92"/>
      <c r="AS58" s="92"/>
      <c r="AT58" s="93"/>
      <c r="AU58" s="94"/>
      <c r="AV58" s="3195">
        <f t="shared" si="37"/>
        <v>0</v>
      </c>
      <c r="AW58" s="3195">
        <f t="shared" si="38"/>
        <v>0</v>
      </c>
      <c r="AX58" s="3195" t="str">
        <f t="shared" si="39"/>
        <v>C-7#住宅楼</v>
      </c>
      <c r="AY58" s="95">
        <f t="shared" si="40"/>
        <v>2700.11</v>
      </c>
      <c r="AZ58" s="87">
        <f t="shared" si="41"/>
        <v>7978.1799999999994</v>
      </c>
      <c r="BA58" s="87">
        <f t="shared" si="42"/>
        <v>7194.57</v>
      </c>
      <c r="BB58" s="87">
        <f t="shared" si="43"/>
        <v>7012.74</v>
      </c>
      <c r="BC58" s="87">
        <f t="shared" si="44"/>
        <v>0</v>
      </c>
      <c r="BD58" s="87">
        <f t="shared" si="45"/>
        <v>181.83</v>
      </c>
      <c r="BE58" s="87">
        <f t="shared" si="46"/>
        <v>0</v>
      </c>
      <c r="BF58" s="87">
        <f t="shared" si="47"/>
        <v>0</v>
      </c>
      <c r="BG58" s="87">
        <f t="shared" si="48"/>
        <v>0</v>
      </c>
      <c r="BH58" s="87">
        <f t="shared" si="49"/>
        <v>0</v>
      </c>
      <c r="BI58" s="87">
        <f t="shared" si="50"/>
        <v>0</v>
      </c>
      <c r="BJ58" s="87">
        <f t="shared" si="51"/>
        <v>0</v>
      </c>
      <c r="BK58" s="87">
        <f t="shared" si="52"/>
        <v>0</v>
      </c>
      <c r="BL58" s="87">
        <f t="shared" si="53"/>
        <v>783.61</v>
      </c>
      <c r="BM58" s="87">
        <f t="shared" si="54"/>
        <v>0</v>
      </c>
      <c r="BN58" s="87">
        <f t="shared" si="55"/>
        <v>0</v>
      </c>
      <c r="BO58" s="87">
        <f t="shared" si="56"/>
        <v>0</v>
      </c>
      <c r="BP58" s="87">
        <f t="shared" si="57"/>
        <v>0</v>
      </c>
      <c r="BQ58" s="87">
        <f t="shared" si="58"/>
        <v>0</v>
      </c>
      <c r="BR58" s="87">
        <f t="shared" si="59"/>
        <v>783.61</v>
      </c>
      <c r="BS58" s="87">
        <f t="shared" si="60"/>
        <v>0</v>
      </c>
      <c r="BT58" s="96">
        <f t="shared" si="61"/>
        <v>0</v>
      </c>
    </row>
    <row r="59" spans="1:72" ht="14.25" customHeight="1">
      <c r="A59" s="84"/>
      <c r="B59" s="1387"/>
      <c r="C59" s="2963" t="str">
        <f>面积!B53</f>
        <v>C-8#住宅楼</v>
      </c>
      <c r="D59" s="2964" t="s">
        <v>1678</v>
      </c>
      <c r="E59" s="87">
        <f t="shared" si="33"/>
        <v>4292.12</v>
      </c>
      <c r="F59" s="88"/>
      <c r="G59" s="89">
        <f t="shared" si="34"/>
        <v>12682.17</v>
      </c>
      <c r="H59" s="90">
        <f t="shared" si="35"/>
        <v>11317.2</v>
      </c>
      <c r="I59" s="2965">
        <f>面积!E53</f>
        <v>11135.37</v>
      </c>
      <c r="J59" s="91"/>
      <c r="K59" s="1390"/>
      <c r="L59" s="91"/>
      <c r="M59" s="91">
        <f>面积!F53</f>
        <v>181.83</v>
      </c>
      <c r="N59" s="91"/>
      <c r="O59" s="91"/>
      <c r="P59" s="91"/>
      <c r="Q59" s="91"/>
      <c r="R59" s="91"/>
      <c r="S59" s="91"/>
      <c r="T59" s="91"/>
      <c r="U59" s="91"/>
      <c r="V59" s="91"/>
      <c r="W59" s="91"/>
      <c r="X59" s="91"/>
      <c r="Y59" s="91"/>
      <c r="Z59" s="91"/>
      <c r="AA59" s="91"/>
      <c r="AB59" s="91"/>
      <c r="AC59" s="87">
        <f t="shared" si="36"/>
        <v>1364.97</v>
      </c>
      <c r="AD59" s="92"/>
      <c r="AE59" s="92"/>
      <c r="AF59" s="2969"/>
      <c r="AG59" s="92"/>
      <c r="AH59" s="92"/>
      <c r="AI59" s="92"/>
      <c r="AJ59" s="92"/>
      <c r="AK59" s="92"/>
      <c r="AL59" s="92"/>
      <c r="AM59" s="92"/>
      <c r="AN59" s="2969">
        <f>面积!I53</f>
        <v>1364.97</v>
      </c>
      <c r="AO59" s="92"/>
      <c r="AP59" s="92"/>
      <c r="AQ59" s="92"/>
      <c r="AR59" s="92"/>
      <c r="AS59" s="92"/>
      <c r="AT59" s="93"/>
      <c r="AU59" s="94"/>
      <c r="AV59" s="3195">
        <f t="shared" si="37"/>
        <v>0</v>
      </c>
      <c r="AW59" s="3195">
        <f t="shared" si="38"/>
        <v>0</v>
      </c>
      <c r="AX59" s="3195" t="str">
        <f t="shared" si="39"/>
        <v>C-8#住宅楼</v>
      </c>
      <c r="AY59" s="95">
        <f t="shared" si="40"/>
        <v>4292.12</v>
      </c>
      <c r="AZ59" s="87">
        <f t="shared" si="41"/>
        <v>12682.17</v>
      </c>
      <c r="BA59" s="87">
        <f t="shared" si="42"/>
        <v>11317.2</v>
      </c>
      <c r="BB59" s="87">
        <f t="shared" si="43"/>
        <v>11135.37</v>
      </c>
      <c r="BC59" s="87">
        <f t="shared" si="44"/>
        <v>0</v>
      </c>
      <c r="BD59" s="87">
        <f t="shared" si="45"/>
        <v>181.83</v>
      </c>
      <c r="BE59" s="87">
        <f t="shared" si="46"/>
        <v>0</v>
      </c>
      <c r="BF59" s="87">
        <f t="shared" si="47"/>
        <v>0</v>
      </c>
      <c r="BG59" s="87">
        <f t="shared" si="48"/>
        <v>0</v>
      </c>
      <c r="BH59" s="87">
        <f t="shared" si="49"/>
        <v>0</v>
      </c>
      <c r="BI59" s="87">
        <f t="shared" si="50"/>
        <v>0</v>
      </c>
      <c r="BJ59" s="87">
        <f t="shared" si="51"/>
        <v>0</v>
      </c>
      <c r="BK59" s="87">
        <f t="shared" si="52"/>
        <v>0</v>
      </c>
      <c r="BL59" s="87">
        <f t="shared" si="53"/>
        <v>1364.97</v>
      </c>
      <c r="BM59" s="87">
        <f t="shared" si="54"/>
        <v>0</v>
      </c>
      <c r="BN59" s="87">
        <f t="shared" si="55"/>
        <v>0</v>
      </c>
      <c r="BO59" s="87">
        <f t="shared" si="56"/>
        <v>0</v>
      </c>
      <c r="BP59" s="87">
        <f t="shared" si="57"/>
        <v>0</v>
      </c>
      <c r="BQ59" s="87">
        <f t="shared" si="58"/>
        <v>0</v>
      </c>
      <c r="BR59" s="87">
        <f t="shared" si="59"/>
        <v>1364.97</v>
      </c>
      <c r="BS59" s="87">
        <f t="shared" si="60"/>
        <v>0</v>
      </c>
      <c r="BT59" s="96">
        <f t="shared" si="61"/>
        <v>0</v>
      </c>
    </row>
    <row r="60" spans="1:72" ht="14.25" customHeight="1">
      <c r="A60" s="84"/>
      <c r="B60" s="1387"/>
      <c r="C60" s="2963" t="str">
        <f>面积!B54</f>
        <v>C-9#住宅楼</v>
      </c>
      <c r="D60" s="2964" t="s">
        <v>1678</v>
      </c>
      <c r="E60" s="87">
        <f t="shared" si="33"/>
        <v>2703.5</v>
      </c>
      <c r="F60" s="88"/>
      <c r="G60" s="89">
        <f t="shared" si="34"/>
        <v>7988.18</v>
      </c>
      <c r="H60" s="90">
        <f t="shared" si="35"/>
        <v>7205.7</v>
      </c>
      <c r="I60" s="2965">
        <f>面积!E54</f>
        <v>7012.74</v>
      </c>
      <c r="J60" s="91"/>
      <c r="K60" s="1390"/>
      <c r="L60" s="91"/>
      <c r="M60" s="91">
        <f>面积!F54</f>
        <v>192.96</v>
      </c>
      <c r="N60" s="91"/>
      <c r="O60" s="91"/>
      <c r="P60" s="91"/>
      <c r="Q60" s="91"/>
      <c r="R60" s="91"/>
      <c r="S60" s="91"/>
      <c r="T60" s="91"/>
      <c r="U60" s="91"/>
      <c r="V60" s="91"/>
      <c r="W60" s="91"/>
      <c r="X60" s="91"/>
      <c r="Y60" s="91"/>
      <c r="Z60" s="91"/>
      <c r="AA60" s="91"/>
      <c r="AB60" s="91"/>
      <c r="AC60" s="87">
        <f t="shared" si="36"/>
        <v>782.48</v>
      </c>
      <c r="AD60" s="92"/>
      <c r="AE60" s="92"/>
      <c r="AF60" s="2969"/>
      <c r="AG60" s="92"/>
      <c r="AH60" s="92"/>
      <c r="AI60" s="92"/>
      <c r="AJ60" s="92"/>
      <c r="AK60" s="92"/>
      <c r="AL60" s="92"/>
      <c r="AM60" s="92"/>
      <c r="AN60" s="2969">
        <f>面积!I54</f>
        <v>782.48</v>
      </c>
      <c r="AO60" s="92"/>
      <c r="AP60" s="92"/>
      <c r="AQ60" s="92"/>
      <c r="AR60" s="92"/>
      <c r="AS60" s="92"/>
      <c r="AT60" s="93"/>
      <c r="AU60" s="94"/>
      <c r="AV60" s="3195">
        <f t="shared" si="37"/>
        <v>0</v>
      </c>
      <c r="AW60" s="3195">
        <f t="shared" si="38"/>
        <v>0</v>
      </c>
      <c r="AX60" s="3195" t="str">
        <f t="shared" si="39"/>
        <v>C-9#住宅楼</v>
      </c>
      <c r="AY60" s="95">
        <f t="shared" si="40"/>
        <v>2703.5</v>
      </c>
      <c r="AZ60" s="87">
        <f t="shared" si="41"/>
        <v>7988.18</v>
      </c>
      <c r="BA60" s="87">
        <f t="shared" si="42"/>
        <v>7205.7</v>
      </c>
      <c r="BB60" s="87">
        <f t="shared" si="43"/>
        <v>7012.74</v>
      </c>
      <c r="BC60" s="87">
        <f t="shared" si="44"/>
        <v>0</v>
      </c>
      <c r="BD60" s="87">
        <f t="shared" si="45"/>
        <v>192.96</v>
      </c>
      <c r="BE60" s="87">
        <f t="shared" si="46"/>
        <v>0</v>
      </c>
      <c r="BF60" s="87">
        <f t="shared" si="47"/>
        <v>0</v>
      </c>
      <c r="BG60" s="87">
        <f t="shared" si="48"/>
        <v>0</v>
      </c>
      <c r="BH60" s="87">
        <f t="shared" si="49"/>
        <v>0</v>
      </c>
      <c r="BI60" s="87">
        <f t="shared" si="50"/>
        <v>0</v>
      </c>
      <c r="BJ60" s="87">
        <f t="shared" si="51"/>
        <v>0</v>
      </c>
      <c r="BK60" s="87">
        <f t="shared" si="52"/>
        <v>0</v>
      </c>
      <c r="BL60" s="87">
        <f t="shared" si="53"/>
        <v>782.48</v>
      </c>
      <c r="BM60" s="87">
        <f t="shared" si="54"/>
        <v>0</v>
      </c>
      <c r="BN60" s="87">
        <f t="shared" si="55"/>
        <v>0</v>
      </c>
      <c r="BO60" s="87">
        <f t="shared" si="56"/>
        <v>0</v>
      </c>
      <c r="BP60" s="87">
        <f t="shared" si="57"/>
        <v>0</v>
      </c>
      <c r="BQ60" s="87">
        <f t="shared" si="58"/>
        <v>0</v>
      </c>
      <c r="BR60" s="87">
        <f t="shared" si="59"/>
        <v>782.48</v>
      </c>
      <c r="BS60" s="87">
        <f t="shared" si="60"/>
        <v>0</v>
      </c>
      <c r="BT60" s="96">
        <f t="shared" si="61"/>
        <v>0</v>
      </c>
    </row>
    <row r="61" spans="1:72" ht="14.25" customHeight="1">
      <c r="A61" s="84"/>
      <c r="B61" s="1387"/>
      <c r="C61" s="2963" t="str">
        <f>面积!B55</f>
        <v>C-S1#配套楼</v>
      </c>
      <c r="D61" s="2964" t="s">
        <v>1678</v>
      </c>
      <c r="E61" s="87">
        <f t="shared" si="33"/>
        <v>556.22</v>
      </c>
      <c r="F61" s="88"/>
      <c r="G61" s="89">
        <f t="shared" si="34"/>
        <v>1643.5</v>
      </c>
      <c r="H61" s="90">
        <f t="shared" si="35"/>
        <v>0</v>
      </c>
      <c r="I61" s="2965"/>
      <c r="J61" s="91"/>
      <c r="K61" s="1390"/>
      <c r="L61" s="91"/>
      <c r="M61" s="91"/>
      <c r="N61" s="91"/>
      <c r="O61" s="91"/>
      <c r="P61" s="91"/>
      <c r="Q61" s="91"/>
      <c r="R61" s="91"/>
      <c r="S61" s="91"/>
      <c r="T61" s="91"/>
      <c r="U61" s="91"/>
      <c r="V61" s="91"/>
      <c r="W61" s="91"/>
      <c r="X61" s="91"/>
      <c r="Y61" s="91"/>
      <c r="Z61" s="91"/>
      <c r="AA61" s="91"/>
      <c r="AB61" s="91"/>
      <c r="AC61" s="87">
        <f t="shared" si="36"/>
        <v>1643.5</v>
      </c>
      <c r="AD61" s="92">
        <f>面积!J55</f>
        <v>1643.5</v>
      </c>
      <c r="AE61" s="92"/>
      <c r="AF61" s="2969"/>
      <c r="AG61" s="92"/>
      <c r="AH61" s="92"/>
      <c r="AI61" s="92"/>
      <c r="AJ61" s="92"/>
      <c r="AK61" s="92"/>
      <c r="AL61" s="92"/>
      <c r="AM61" s="92"/>
      <c r="AN61" s="2969">
        <f>面积!I55</f>
        <v>0</v>
      </c>
      <c r="AO61" s="92"/>
      <c r="AP61" s="92"/>
      <c r="AQ61" s="92"/>
      <c r="AR61" s="92"/>
      <c r="AS61" s="92"/>
      <c r="AT61" s="93"/>
      <c r="AU61" s="94"/>
      <c r="AV61" s="3195">
        <f t="shared" si="37"/>
        <v>0</v>
      </c>
      <c r="AW61" s="3195">
        <f t="shared" si="38"/>
        <v>0</v>
      </c>
      <c r="AX61" s="3195" t="str">
        <f t="shared" si="39"/>
        <v>C-S1#配套楼</v>
      </c>
      <c r="AY61" s="95">
        <f t="shared" si="40"/>
        <v>556.22</v>
      </c>
      <c r="AZ61" s="87">
        <f t="shared" si="41"/>
        <v>1643.5</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1643.5</v>
      </c>
      <c r="BM61" s="87">
        <f t="shared" si="54"/>
        <v>1643.5</v>
      </c>
      <c r="BN61" s="87">
        <f t="shared" si="55"/>
        <v>0</v>
      </c>
      <c r="BO61" s="87">
        <f t="shared" si="56"/>
        <v>0</v>
      </c>
      <c r="BP61" s="87">
        <f t="shared" si="57"/>
        <v>0</v>
      </c>
      <c r="BQ61" s="87">
        <f t="shared" si="58"/>
        <v>0</v>
      </c>
      <c r="BR61" s="87">
        <f t="shared" si="59"/>
        <v>0</v>
      </c>
      <c r="BS61" s="87">
        <f t="shared" si="60"/>
        <v>0</v>
      </c>
      <c r="BT61" s="96">
        <f t="shared" si="61"/>
        <v>0</v>
      </c>
    </row>
    <row r="62" spans="1:72" s="3214" customFormat="1" ht="14.25" customHeight="1">
      <c r="A62" s="3197"/>
      <c r="B62" s="3198"/>
      <c r="C62" s="3199" t="str">
        <f>面积!B56</f>
        <v>C-汽车库</v>
      </c>
      <c r="D62" s="3200" t="s">
        <v>1678</v>
      </c>
      <c r="E62" s="3201">
        <f t="shared" si="33"/>
        <v>7499.98</v>
      </c>
      <c r="F62" s="3202"/>
      <c r="G62" s="3203">
        <f t="shared" si="34"/>
        <v>22160.620000000003</v>
      </c>
      <c r="H62" s="3204">
        <f t="shared" si="35"/>
        <v>21394.13</v>
      </c>
      <c r="I62" s="3205"/>
      <c r="J62" s="3206"/>
      <c r="K62" s="3207">
        <f>面积!G56</f>
        <v>21394.13</v>
      </c>
      <c r="L62" s="3206"/>
      <c r="M62" s="3206"/>
      <c r="N62" s="3206"/>
      <c r="O62" s="3206"/>
      <c r="P62" s="3206"/>
      <c r="Q62" s="3206"/>
      <c r="R62" s="3206"/>
      <c r="S62" s="3206"/>
      <c r="T62" s="3206"/>
      <c r="U62" s="3206"/>
      <c r="V62" s="3206"/>
      <c r="W62" s="3206"/>
      <c r="X62" s="3206"/>
      <c r="Y62" s="3206"/>
      <c r="Z62" s="3206"/>
      <c r="AA62" s="3206"/>
      <c r="AB62" s="3206"/>
      <c r="AC62" s="3201">
        <f t="shared" si="36"/>
        <v>766.49</v>
      </c>
      <c r="AD62" s="3208"/>
      <c r="AE62" s="3208"/>
      <c r="AF62" s="3209">
        <f>面积!J56</f>
        <v>481.72999999999996</v>
      </c>
      <c r="AG62" s="3208"/>
      <c r="AH62" s="3208"/>
      <c r="AI62" s="3208"/>
      <c r="AJ62" s="3208"/>
      <c r="AK62" s="3208"/>
      <c r="AL62" s="3208"/>
      <c r="AM62" s="3208"/>
      <c r="AN62" s="2969">
        <f>面积!I56</f>
        <v>284.76</v>
      </c>
      <c r="AO62" s="3208"/>
      <c r="AP62" s="3208"/>
      <c r="AQ62" s="3208"/>
      <c r="AR62" s="3208"/>
      <c r="AS62" s="3208"/>
      <c r="AT62" s="3202"/>
      <c r="AU62" s="3210"/>
      <c r="AV62" s="3211">
        <f t="shared" si="37"/>
        <v>0</v>
      </c>
      <c r="AW62" s="3211">
        <f t="shared" si="38"/>
        <v>0</v>
      </c>
      <c r="AX62" s="3211" t="str">
        <f t="shared" si="39"/>
        <v>C-汽车库</v>
      </c>
      <c r="AY62" s="3212">
        <f t="shared" si="40"/>
        <v>7499.98</v>
      </c>
      <c r="AZ62" s="3201">
        <f t="shared" si="41"/>
        <v>22160.620000000003</v>
      </c>
      <c r="BA62" s="3201">
        <f t="shared" si="42"/>
        <v>21394.13</v>
      </c>
      <c r="BB62" s="3201">
        <f t="shared" si="43"/>
        <v>0</v>
      </c>
      <c r="BC62" s="3201">
        <f t="shared" si="44"/>
        <v>21394.13</v>
      </c>
      <c r="BD62" s="3201">
        <f t="shared" si="45"/>
        <v>0</v>
      </c>
      <c r="BE62" s="3201">
        <f t="shared" si="46"/>
        <v>0</v>
      </c>
      <c r="BF62" s="3201">
        <f t="shared" si="47"/>
        <v>0</v>
      </c>
      <c r="BG62" s="3201">
        <f t="shared" si="48"/>
        <v>0</v>
      </c>
      <c r="BH62" s="3201">
        <f t="shared" si="49"/>
        <v>0</v>
      </c>
      <c r="BI62" s="3201">
        <f t="shared" si="50"/>
        <v>0</v>
      </c>
      <c r="BJ62" s="3201">
        <f t="shared" si="51"/>
        <v>0</v>
      </c>
      <c r="BK62" s="3201">
        <f t="shared" si="52"/>
        <v>0</v>
      </c>
      <c r="BL62" s="3201">
        <f t="shared" si="53"/>
        <v>766.49</v>
      </c>
      <c r="BM62" s="3201">
        <f t="shared" si="54"/>
        <v>0</v>
      </c>
      <c r="BN62" s="3201">
        <f t="shared" si="55"/>
        <v>481.72999999999996</v>
      </c>
      <c r="BO62" s="3201">
        <f t="shared" si="56"/>
        <v>0</v>
      </c>
      <c r="BP62" s="3201">
        <f t="shared" si="57"/>
        <v>0</v>
      </c>
      <c r="BQ62" s="3201">
        <f t="shared" si="58"/>
        <v>0</v>
      </c>
      <c r="BR62" s="3201">
        <f t="shared" si="59"/>
        <v>284.76</v>
      </c>
      <c r="BS62" s="3201">
        <f t="shared" si="60"/>
        <v>0</v>
      </c>
      <c r="BT62" s="3213">
        <f t="shared" si="61"/>
        <v>0</v>
      </c>
    </row>
    <row r="63" spans="1:72" ht="14.25" customHeight="1">
      <c r="A63" s="84"/>
      <c r="B63" s="1387"/>
      <c r="C63" s="2963" t="str">
        <f>面积!B57</f>
        <v>C-门卫用房</v>
      </c>
      <c r="D63" s="2964" t="s">
        <v>1678</v>
      </c>
      <c r="E63" s="87">
        <f t="shared" si="33"/>
        <v>6.77</v>
      </c>
      <c r="F63" s="88"/>
      <c r="G63" s="89">
        <f t="shared" si="34"/>
        <v>20</v>
      </c>
      <c r="H63" s="90">
        <f t="shared" si="35"/>
        <v>0</v>
      </c>
      <c r="I63" s="2965"/>
      <c r="J63" s="91"/>
      <c r="K63" s="1390"/>
      <c r="L63" s="91"/>
      <c r="M63" s="91"/>
      <c r="N63" s="91"/>
      <c r="O63" s="91"/>
      <c r="P63" s="91"/>
      <c r="Q63" s="91"/>
      <c r="R63" s="91"/>
      <c r="S63" s="91"/>
      <c r="T63" s="91"/>
      <c r="U63" s="91"/>
      <c r="V63" s="91"/>
      <c r="W63" s="91"/>
      <c r="X63" s="91"/>
      <c r="Y63" s="91"/>
      <c r="Z63" s="91"/>
      <c r="AA63" s="91"/>
      <c r="AB63" s="91"/>
      <c r="AC63" s="87">
        <f t="shared" si="36"/>
        <v>20</v>
      </c>
      <c r="AD63" s="92"/>
      <c r="AE63" s="92"/>
      <c r="AF63" s="2969"/>
      <c r="AG63" s="92"/>
      <c r="AH63" s="92"/>
      <c r="AI63" s="92"/>
      <c r="AJ63" s="92"/>
      <c r="AK63" s="92"/>
      <c r="AL63" s="92">
        <v>20</v>
      </c>
      <c r="AM63" s="92"/>
      <c r="AN63" s="2969"/>
      <c r="AO63" s="92"/>
      <c r="AP63" s="92"/>
      <c r="AQ63" s="92"/>
      <c r="AR63" s="92"/>
      <c r="AS63" s="92"/>
      <c r="AT63" s="93"/>
      <c r="AU63" s="94"/>
      <c r="AV63" s="3195">
        <f t="shared" si="37"/>
        <v>0</v>
      </c>
      <c r="AW63" s="3195">
        <f t="shared" si="38"/>
        <v>0</v>
      </c>
      <c r="AX63" s="3195" t="str">
        <f t="shared" si="39"/>
        <v>C-门卫用房</v>
      </c>
      <c r="AY63" s="95">
        <f t="shared" si="40"/>
        <v>6.77</v>
      </c>
      <c r="AZ63" s="87">
        <f t="shared" si="41"/>
        <v>20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20</v>
      </c>
      <c r="BM63" s="87">
        <f t="shared" si="54"/>
        <v>0</v>
      </c>
      <c r="BN63" s="87">
        <f t="shared" si="55"/>
        <v>0</v>
      </c>
      <c r="BO63" s="87">
        <f t="shared" si="56"/>
        <v>0</v>
      </c>
      <c r="BP63" s="87">
        <f t="shared" si="57"/>
        <v>0</v>
      </c>
      <c r="BQ63" s="87">
        <f t="shared" si="58"/>
        <v>20</v>
      </c>
      <c r="BR63" s="87">
        <f t="shared" si="59"/>
        <v>0</v>
      </c>
      <c r="BS63" s="87">
        <f t="shared" si="60"/>
        <v>0</v>
      </c>
      <c r="BT63" s="96">
        <f t="shared" si="61"/>
        <v>0</v>
      </c>
    </row>
    <row r="64" spans="1:72" ht="14.25" customHeight="1">
      <c r="A64" s="84"/>
      <c r="B64" s="1387"/>
      <c r="C64" s="2963"/>
      <c r="D64" s="2964"/>
      <c r="E64" s="87">
        <f t="shared" si="33"/>
        <v>0</v>
      </c>
      <c r="F64" s="88"/>
      <c r="G64" s="89">
        <f t="shared" si="34"/>
        <v>0</v>
      </c>
      <c r="H64" s="90">
        <f t="shared" si="35"/>
        <v>0</v>
      </c>
      <c r="I64" s="2965"/>
      <c r="J64" s="91"/>
      <c r="K64" s="1390"/>
      <c r="L64" s="91"/>
      <c r="M64" s="91"/>
      <c r="N64" s="91"/>
      <c r="O64" s="91"/>
      <c r="P64" s="91"/>
      <c r="Q64" s="91"/>
      <c r="R64" s="91"/>
      <c r="S64" s="91"/>
      <c r="T64" s="91"/>
      <c r="U64" s="91"/>
      <c r="V64" s="91"/>
      <c r="W64" s="91"/>
      <c r="X64" s="91"/>
      <c r="Y64" s="91"/>
      <c r="Z64" s="91"/>
      <c r="AA64" s="91"/>
      <c r="AB64" s="91"/>
      <c r="AC64" s="87">
        <f t="shared" si="36"/>
        <v>0</v>
      </c>
      <c r="AD64" s="92"/>
      <c r="AE64" s="92"/>
      <c r="AF64" s="2969"/>
      <c r="AG64" s="92"/>
      <c r="AH64" s="92"/>
      <c r="AI64" s="92"/>
      <c r="AJ64" s="92"/>
      <c r="AK64" s="92"/>
      <c r="AL64" s="92"/>
      <c r="AM64" s="92"/>
      <c r="AN64" s="2969"/>
      <c r="AO64" s="92"/>
      <c r="AP64" s="92"/>
      <c r="AQ64" s="92"/>
      <c r="AR64" s="92"/>
      <c r="AS64" s="92"/>
      <c r="AT64" s="93"/>
      <c r="AU64" s="94"/>
      <c r="AV64" s="3195">
        <f t="shared" si="37"/>
        <v>0</v>
      </c>
      <c r="AW64" s="3195">
        <f t="shared" si="38"/>
        <v>0</v>
      </c>
      <c r="AX64" s="319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ht="14.25" customHeight="1">
      <c r="A65" s="84"/>
      <c r="B65" s="1387"/>
      <c r="C65" s="2963"/>
      <c r="D65" s="2964"/>
      <c r="E65" s="87">
        <f t="shared" si="33"/>
        <v>0</v>
      </c>
      <c r="F65" s="88"/>
      <c r="G65" s="89">
        <f t="shared" si="34"/>
        <v>0</v>
      </c>
      <c r="H65" s="90">
        <f t="shared" si="35"/>
        <v>0</v>
      </c>
      <c r="I65" s="2965"/>
      <c r="J65" s="91"/>
      <c r="K65" s="1390"/>
      <c r="L65" s="91"/>
      <c r="M65" s="91"/>
      <c r="N65" s="91"/>
      <c r="O65" s="91"/>
      <c r="P65" s="91"/>
      <c r="Q65" s="91"/>
      <c r="R65" s="91"/>
      <c r="S65" s="91"/>
      <c r="T65" s="91"/>
      <c r="U65" s="91"/>
      <c r="V65" s="91"/>
      <c r="W65" s="91"/>
      <c r="X65" s="91"/>
      <c r="Y65" s="91"/>
      <c r="Z65" s="91"/>
      <c r="AA65" s="91"/>
      <c r="AB65" s="91"/>
      <c r="AC65" s="87">
        <f t="shared" si="36"/>
        <v>0</v>
      </c>
      <c r="AD65" s="92"/>
      <c r="AE65" s="92"/>
      <c r="AF65" s="2969"/>
      <c r="AG65" s="92"/>
      <c r="AH65" s="92"/>
      <c r="AI65" s="92"/>
      <c r="AJ65" s="92"/>
      <c r="AK65" s="92"/>
      <c r="AL65" s="92"/>
      <c r="AM65" s="92"/>
      <c r="AN65" s="2969"/>
      <c r="AO65" s="92"/>
      <c r="AP65" s="92"/>
      <c r="AQ65" s="92"/>
      <c r="AR65" s="92"/>
      <c r="AS65" s="92"/>
      <c r="AT65" s="93"/>
      <c r="AU65" s="94"/>
      <c r="AV65" s="3195">
        <f t="shared" si="37"/>
        <v>0</v>
      </c>
      <c r="AW65" s="3195">
        <f t="shared" si="38"/>
        <v>0</v>
      </c>
      <c r="AX65" s="319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ht="14.25" customHeight="1">
      <c r="A66" s="84"/>
      <c r="B66" s="1387"/>
      <c r="C66" s="2963"/>
      <c r="D66" s="2964"/>
      <c r="E66" s="87">
        <f t="shared" si="33"/>
        <v>0</v>
      </c>
      <c r="F66" s="88"/>
      <c r="G66" s="89">
        <f t="shared" si="34"/>
        <v>0</v>
      </c>
      <c r="H66" s="90">
        <f t="shared" si="35"/>
        <v>0</v>
      </c>
      <c r="I66" s="2965"/>
      <c r="J66" s="91"/>
      <c r="K66" s="1390"/>
      <c r="L66" s="91"/>
      <c r="M66" s="91"/>
      <c r="N66" s="91"/>
      <c r="O66" s="91"/>
      <c r="P66" s="91"/>
      <c r="Q66" s="91"/>
      <c r="R66" s="91"/>
      <c r="S66" s="91"/>
      <c r="T66" s="91"/>
      <c r="U66" s="91"/>
      <c r="V66" s="91"/>
      <c r="W66" s="91"/>
      <c r="X66" s="91"/>
      <c r="Y66" s="91"/>
      <c r="Z66" s="91"/>
      <c r="AA66" s="91"/>
      <c r="AB66" s="91"/>
      <c r="AC66" s="87">
        <f t="shared" si="36"/>
        <v>0</v>
      </c>
      <c r="AD66" s="92"/>
      <c r="AE66" s="92"/>
      <c r="AF66" s="2969"/>
      <c r="AG66" s="92"/>
      <c r="AH66" s="92"/>
      <c r="AI66" s="92"/>
      <c r="AJ66" s="92"/>
      <c r="AK66" s="92"/>
      <c r="AL66" s="92"/>
      <c r="AM66" s="92"/>
      <c r="AN66" s="2969"/>
      <c r="AO66" s="92"/>
      <c r="AP66" s="92"/>
      <c r="AQ66" s="92"/>
      <c r="AR66" s="92"/>
      <c r="AS66" s="92"/>
      <c r="AT66" s="93"/>
      <c r="AU66" s="94"/>
      <c r="AV66" s="3195">
        <f t="shared" si="37"/>
        <v>0</v>
      </c>
      <c r="AW66" s="3195">
        <f t="shared" si="38"/>
        <v>0</v>
      </c>
      <c r="AX66" s="319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ht="14.25" customHeight="1">
      <c r="A67" s="84"/>
      <c r="B67" s="1387"/>
      <c r="C67" s="2963"/>
      <c r="D67" s="2964"/>
      <c r="E67" s="87">
        <f t="shared" si="33"/>
        <v>0</v>
      </c>
      <c r="F67" s="88"/>
      <c r="G67" s="89">
        <f t="shared" si="34"/>
        <v>0</v>
      </c>
      <c r="H67" s="90">
        <f t="shared" si="35"/>
        <v>0</v>
      </c>
      <c r="I67" s="2965"/>
      <c r="J67" s="91"/>
      <c r="K67" s="1390"/>
      <c r="L67" s="91"/>
      <c r="M67" s="91"/>
      <c r="N67" s="91"/>
      <c r="O67" s="91"/>
      <c r="P67" s="91"/>
      <c r="Q67" s="91"/>
      <c r="R67" s="91"/>
      <c r="S67" s="91"/>
      <c r="T67" s="91"/>
      <c r="U67" s="91"/>
      <c r="V67" s="91"/>
      <c r="W67" s="91"/>
      <c r="X67" s="91"/>
      <c r="Y67" s="91"/>
      <c r="Z67" s="91"/>
      <c r="AA67" s="91"/>
      <c r="AB67" s="91"/>
      <c r="AC67" s="87">
        <f t="shared" si="36"/>
        <v>0</v>
      </c>
      <c r="AD67" s="92"/>
      <c r="AE67" s="92"/>
      <c r="AF67" s="2969"/>
      <c r="AG67" s="92"/>
      <c r="AH67" s="92"/>
      <c r="AI67" s="92"/>
      <c r="AJ67" s="92"/>
      <c r="AK67" s="92"/>
      <c r="AL67" s="92"/>
      <c r="AM67" s="92"/>
      <c r="AN67" s="2969"/>
      <c r="AO67" s="92"/>
      <c r="AP67" s="92"/>
      <c r="AQ67" s="92"/>
      <c r="AR67" s="92"/>
      <c r="AS67" s="92"/>
      <c r="AT67" s="93"/>
      <c r="AU67" s="94"/>
      <c r="AV67" s="3195">
        <f t="shared" si="37"/>
        <v>0</v>
      </c>
      <c r="AW67" s="3195">
        <f t="shared" si="38"/>
        <v>0</v>
      </c>
      <c r="AX67" s="319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ht="14.25" customHeight="1">
      <c r="A68" s="84"/>
      <c r="B68" s="1387"/>
      <c r="C68" s="2963"/>
      <c r="D68" s="2964"/>
      <c r="E68" s="87">
        <f t="shared" si="33"/>
        <v>0</v>
      </c>
      <c r="F68" s="88"/>
      <c r="G68" s="89">
        <f t="shared" si="34"/>
        <v>0</v>
      </c>
      <c r="H68" s="90">
        <f t="shared" si="35"/>
        <v>0</v>
      </c>
      <c r="I68" s="2965"/>
      <c r="J68" s="91"/>
      <c r="K68" s="1390"/>
      <c r="L68" s="91"/>
      <c r="M68" s="91"/>
      <c r="N68" s="91"/>
      <c r="O68" s="91"/>
      <c r="P68" s="91"/>
      <c r="Q68" s="91"/>
      <c r="R68" s="91"/>
      <c r="S68" s="91"/>
      <c r="T68" s="91"/>
      <c r="U68" s="91"/>
      <c r="V68" s="91"/>
      <c r="W68" s="91"/>
      <c r="X68" s="91"/>
      <c r="Y68" s="91"/>
      <c r="Z68" s="91"/>
      <c r="AA68" s="91"/>
      <c r="AB68" s="91"/>
      <c r="AC68" s="87">
        <f t="shared" si="36"/>
        <v>0</v>
      </c>
      <c r="AD68" s="92"/>
      <c r="AE68" s="92"/>
      <c r="AF68" s="2969"/>
      <c r="AG68" s="92"/>
      <c r="AH68" s="92"/>
      <c r="AI68" s="92"/>
      <c r="AJ68" s="92"/>
      <c r="AK68" s="92"/>
      <c r="AL68" s="92"/>
      <c r="AM68" s="92"/>
      <c r="AN68" s="2969"/>
      <c r="AO68" s="92"/>
      <c r="AP68" s="92"/>
      <c r="AQ68" s="92"/>
      <c r="AR68" s="92"/>
      <c r="AS68" s="92"/>
      <c r="AT68" s="93"/>
      <c r="AU68" s="94"/>
      <c r="AV68" s="3195">
        <f t="shared" si="37"/>
        <v>0</v>
      </c>
      <c r="AW68" s="3195">
        <f t="shared" si="38"/>
        <v>0</v>
      </c>
      <c r="AX68" s="319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ht="14.25" customHeight="1">
      <c r="A69" s="84"/>
      <c r="B69" s="1387"/>
      <c r="C69" s="2963"/>
      <c r="D69" s="2964"/>
      <c r="E69" s="87">
        <f t="shared" si="33"/>
        <v>0</v>
      </c>
      <c r="F69" s="88"/>
      <c r="G69" s="89">
        <f t="shared" si="34"/>
        <v>0</v>
      </c>
      <c r="H69" s="90">
        <f t="shared" si="35"/>
        <v>0</v>
      </c>
      <c r="I69" s="2965"/>
      <c r="J69" s="91"/>
      <c r="K69" s="1390"/>
      <c r="L69" s="91"/>
      <c r="M69" s="91"/>
      <c r="N69" s="91"/>
      <c r="O69" s="91"/>
      <c r="P69" s="91"/>
      <c r="Q69" s="91"/>
      <c r="R69" s="91"/>
      <c r="S69" s="91"/>
      <c r="T69" s="91"/>
      <c r="U69" s="91"/>
      <c r="V69" s="91"/>
      <c r="W69" s="91"/>
      <c r="X69" s="91"/>
      <c r="Y69" s="91"/>
      <c r="Z69" s="91"/>
      <c r="AA69" s="91"/>
      <c r="AB69" s="91"/>
      <c r="AC69" s="87">
        <f t="shared" si="36"/>
        <v>0</v>
      </c>
      <c r="AD69" s="92"/>
      <c r="AE69" s="92"/>
      <c r="AF69" s="2969"/>
      <c r="AG69" s="92"/>
      <c r="AH69" s="92"/>
      <c r="AI69" s="92"/>
      <c r="AJ69" s="92"/>
      <c r="AK69" s="92"/>
      <c r="AL69" s="92"/>
      <c r="AM69" s="92"/>
      <c r="AN69" s="2969"/>
      <c r="AO69" s="92"/>
      <c r="AP69" s="92"/>
      <c r="AQ69" s="92"/>
      <c r="AR69" s="92"/>
      <c r="AS69" s="92"/>
      <c r="AT69" s="93"/>
      <c r="AU69" s="94"/>
      <c r="AV69" s="3195">
        <f t="shared" si="37"/>
        <v>0</v>
      </c>
      <c r="AW69" s="3195">
        <f t="shared" si="38"/>
        <v>0</v>
      </c>
      <c r="AX69" s="319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ht="14.25" customHeight="1">
      <c r="A70" s="84"/>
      <c r="B70" s="1387"/>
      <c r="C70" s="2963"/>
      <c r="D70" s="2964"/>
      <c r="E70" s="87">
        <f t="shared" si="33"/>
        <v>0</v>
      </c>
      <c r="F70" s="88"/>
      <c r="G70" s="89">
        <f t="shared" si="34"/>
        <v>0</v>
      </c>
      <c r="H70" s="90">
        <f t="shared" si="35"/>
        <v>0</v>
      </c>
      <c r="I70" s="2965"/>
      <c r="J70" s="91"/>
      <c r="K70" s="1390"/>
      <c r="L70" s="91"/>
      <c r="M70" s="91"/>
      <c r="N70" s="91"/>
      <c r="O70" s="91"/>
      <c r="P70" s="91"/>
      <c r="Q70" s="91"/>
      <c r="R70" s="91"/>
      <c r="S70" s="91"/>
      <c r="T70" s="91"/>
      <c r="U70" s="91"/>
      <c r="V70" s="91"/>
      <c r="W70" s="91"/>
      <c r="X70" s="91"/>
      <c r="Y70" s="91"/>
      <c r="Z70" s="91"/>
      <c r="AA70" s="91"/>
      <c r="AB70" s="91"/>
      <c r="AC70" s="87">
        <f t="shared" si="36"/>
        <v>0</v>
      </c>
      <c r="AD70" s="92"/>
      <c r="AE70" s="92"/>
      <c r="AF70" s="2969"/>
      <c r="AG70" s="92"/>
      <c r="AH70" s="92"/>
      <c r="AI70" s="92"/>
      <c r="AJ70" s="92"/>
      <c r="AK70" s="92"/>
      <c r="AL70" s="92"/>
      <c r="AM70" s="92"/>
      <c r="AN70" s="2969"/>
      <c r="AO70" s="92"/>
      <c r="AP70" s="92"/>
      <c r="AQ70" s="92"/>
      <c r="AR70" s="92"/>
      <c r="AS70" s="92"/>
      <c r="AT70" s="93"/>
      <c r="AU70" s="94"/>
      <c r="AV70" s="3195">
        <f t="shared" si="37"/>
        <v>0</v>
      </c>
      <c r="AW70" s="3195">
        <f t="shared" si="38"/>
        <v>0</v>
      </c>
      <c r="AX70" s="319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ht="14.25" customHeight="1">
      <c r="A71" s="84"/>
      <c r="B71" s="1387"/>
      <c r="C71" s="2963"/>
      <c r="D71" s="2964"/>
      <c r="E71" s="87">
        <f t="shared" si="33"/>
        <v>0</v>
      </c>
      <c r="F71" s="88"/>
      <c r="G71" s="89">
        <f t="shared" si="34"/>
        <v>0</v>
      </c>
      <c r="H71" s="90">
        <f t="shared" si="35"/>
        <v>0</v>
      </c>
      <c r="I71" s="2965"/>
      <c r="J71" s="91"/>
      <c r="K71" s="1390"/>
      <c r="L71" s="91"/>
      <c r="M71" s="91"/>
      <c r="N71" s="91"/>
      <c r="O71" s="91"/>
      <c r="P71" s="91"/>
      <c r="Q71" s="91"/>
      <c r="R71" s="91"/>
      <c r="S71" s="91"/>
      <c r="T71" s="91"/>
      <c r="U71" s="91"/>
      <c r="V71" s="91"/>
      <c r="W71" s="91"/>
      <c r="X71" s="91"/>
      <c r="Y71" s="91"/>
      <c r="Z71" s="91"/>
      <c r="AA71" s="91"/>
      <c r="AB71" s="91"/>
      <c r="AC71" s="87">
        <f t="shared" si="36"/>
        <v>0</v>
      </c>
      <c r="AD71" s="92"/>
      <c r="AE71" s="92"/>
      <c r="AF71" s="2969"/>
      <c r="AG71" s="92"/>
      <c r="AH71" s="92"/>
      <c r="AI71" s="92"/>
      <c r="AJ71" s="92"/>
      <c r="AK71" s="92"/>
      <c r="AL71" s="92"/>
      <c r="AM71" s="92"/>
      <c r="AN71" s="2969"/>
      <c r="AO71" s="92"/>
      <c r="AP71" s="92"/>
      <c r="AQ71" s="92"/>
      <c r="AR71" s="92"/>
      <c r="AS71" s="92"/>
      <c r="AT71" s="93"/>
      <c r="AU71" s="94"/>
      <c r="AV71" s="3195">
        <f t="shared" si="37"/>
        <v>0</v>
      </c>
      <c r="AW71" s="3195">
        <f t="shared" si="38"/>
        <v>0</v>
      </c>
      <c r="AX71" s="319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ht="14.25" customHeight="1">
      <c r="A72" s="84"/>
      <c r="B72" s="1387"/>
      <c r="C72" s="2963"/>
      <c r="D72" s="2964"/>
      <c r="E72" s="87">
        <f t="shared" si="33"/>
        <v>0</v>
      </c>
      <c r="F72" s="88"/>
      <c r="G72" s="89">
        <f t="shared" si="34"/>
        <v>0</v>
      </c>
      <c r="H72" s="90">
        <f t="shared" si="35"/>
        <v>0</v>
      </c>
      <c r="I72" s="2965"/>
      <c r="J72" s="91"/>
      <c r="K72" s="1390"/>
      <c r="L72" s="91"/>
      <c r="M72" s="91"/>
      <c r="N72" s="91"/>
      <c r="O72" s="91"/>
      <c r="P72" s="91"/>
      <c r="Q72" s="91"/>
      <c r="R72" s="91"/>
      <c r="S72" s="91"/>
      <c r="T72" s="91"/>
      <c r="U72" s="91"/>
      <c r="V72" s="91"/>
      <c r="W72" s="91"/>
      <c r="X72" s="91"/>
      <c r="Y72" s="91"/>
      <c r="Z72" s="91"/>
      <c r="AA72" s="91"/>
      <c r="AB72" s="91"/>
      <c r="AC72" s="87">
        <f t="shared" si="36"/>
        <v>0</v>
      </c>
      <c r="AD72" s="92"/>
      <c r="AE72" s="92"/>
      <c r="AF72" s="2969"/>
      <c r="AG72" s="92"/>
      <c r="AH72" s="92"/>
      <c r="AI72" s="92"/>
      <c r="AJ72" s="92"/>
      <c r="AK72" s="92"/>
      <c r="AL72" s="92"/>
      <c r="AM72" s="92"/>
      <c r="AN72" s="2969"/>
      <c r="AO72" s="92"/>
      <c r="AP72" s="92"/>
      <c r="AQ72" s="92"/>
      <c r="AR72" s="92"/>
      <c r="AS72" s="92"/>
      <c r="AT72" s="93"/>
      <c r="AU72" s="94"/>
      <c r="AV72" s="3195">
        <f t="shared" si="37"/>
        <v>0</v>
      </c>
      <c r="AW72" s="3195">
        <f t="shared" si="38"/>
        <v>0</v>
      </c>
      <c r="AX72" s="319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ht="14.25" customHeight="1">
      <c r="A73" s="84"/>
      <c r="B73" s="1387"/>
      <c r="C73" s="2963"/>
      <c r="D73" s="2964"/>
      <c r="E73" s="87">
        <f t="shared" si="33"/>
        <v>0</v>
      </c>
      <c r="F73" s="88"/>
      <c r="G73" s="89">
        <f t="shared" si="34"/>
        <v>0</v>
      </c>
      <c r="H73" s="90">
        <f t="shared" si="35"/>
        <v>0</v>
      </c>
      <c r="I73" s="2965"/>
      <c r="J73" s="91"/>
      <c r="K73" s="1390"/>
      <c r="L73" s="91"/>
      <c r="M73" s="91"/>
      <c r="N73" s="91"/>
      <c r="O73" s="91"/>
      <c r="P73" s="91"/>
      <c r="Q73" s="91"/>
      <c r="R73" s="91"/>
      <c r="S73" s="91"/>
      <c r="T73" s="91"/>
      <c r="U73" s="91"/>
      <c r="V73" s="91"/>
      <c r="W73" s="91"/>
      <c r="X73" s="91"/>
      <c r="Y73" s="91"/>
      <c r="Z73" s="91"/>
      <c r="AA73" s="91"/>
      <c r="AB73" s="91"/>
      <c r="AC73" s="87">
        <f t="shared" si="36"/>
        <v>0</v>
      </c>
      <c r="AD73" s="92"/>
      <c r="AE73" s="92"/>
      <c r="AF73" s="2969"/>
      <c r="AG73" s="92"/>
      <c r="AH73" s="92"/>
      <c r="AI73" s="92"/>
      <c r="AJ73" s="92"/>
      <c r="AK73" s="92"/>
      <c r="AL73" s="92"/>
      <c r="AM73" s="92"/>
      <c r="AN73" s="2969"/>
      <c r="AO73" s="92"/>
      <c r="AP73" s="92"/>
      <c r="AQ73" s="92"/>
      <c r="AR73" s="92"/>
      <c r="AS73" s="92"/>
      <c r="AT73" s="93"/>
      <c r="AU73" s="94"/>
      <c r="AV73" s="3195">
        <f t="shared" si="37"/>
        <v>0</v>
      </c>
      <c r="AW73" s="3195">
        <f t="shared" si="38"/>
        <v>0</v>
      </c>
      <c r="AX73" s="319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ht="14.25" customHeight="1">
      <c r="A74" s="84"/>
      <c r="B74" s="1387"/>
      <c r="C74" s="2963"/>
      <c r="D74" s="2964"/>
      <c r="E74" s="87">
        <f t="shared" si="33"/>
        <v>0</v>
      </c>
      <c r="F74" s="88"/>
      <c r="G74" s="89">
        <f t="shared" si="34"/>
        <v>0</v>
      </c>
      <c r="H74" s="90">
        <f t="shared" si="35"/>
        <v>0</v>
      </c>
      <c r="I74" s="2965"/>
      <c r="J74" s="91"/>
      <c r="K74" s="1390"/>
      <c r="L74" s="91"/>
      <c r="M74" s="91"/>
      <c r="N74" s="91"/>
      <c r="O74" s="91"/>
      <c r="P74" s="91"/>
      <c r="Q74" s="91"/>
      <c r="R74" s="91"/>
      <c r="S74" s="91"/>
      <c r="T74" s="91"/>
      <c r="U74" s="91"/>
      <c r="V74" s="91"/>
      <c r="W74" s="91"/>
      <c r="X74" s="91"/>
      <c r="Y74" s="91"/>
      <c r="Z74" s="91"/>
      <c r="AA74" s="91"/>
      <c r="AB74" s="91"/>
      <c r="AC74" s="87">
        <f t="shared" si="36"/>
        <v>0</v>
      </c>
      <c r="AD74" s="92"/>
      <c r="AE74" s="92"/>
      <c r="AF74" s="2969"/>
      <c r="AG74" s="92"/>
      <c r="AH74" s="92"/>
      <c r="AI74" s="92"/>
      <c r="AJ74" s="92"/>
      <c r="AK74" s="92"/>
      <c r="AL74" s="92"/>
      <c r="AM74" s="92"/>
      <c r="AN74" s="2969"/>
      <c r="AO74" s="92"/>
      <c r="AP74" s="92"/>
      <c r="AQ74" s="92"/>
      <c r="AR74" s="92"/>
      <c r="AS74" s="92"/>
      <c r="AT74" s="93"/>
      <c r="AU74" s="94"/>
      <c r="AV74" s="3195">
        <f t="shared" si="37"/>
        <v>0</v>
      </c>
      <c r="AW74" s="3195">
        <f t="shared" si="38"/>
        <v>0</v>
      </c>
      <c r="AX74" s="319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ht="14.25" customHeight="1">
      <c r="A75" s="84"/>
      <c r="B75" s="1387"/>
      <c r="C75" s="2963"/>
      <c r="D75" s="2964"/>
      <c r="E75" s="87">
        <f t="shared" si="33"/>
        <v>0</v>
      </c>
      <c r="F75" s="88"/>
      <c r="G75" s="89">
        <f t="shared" si="34"/>
        <v>0</v>
      </c>
      <c r="H75" s="90">
        <f t="shared" si="35"/>
        <v>0</v>
      </c>
      <c r="I75" s="2965"/>
      <c r="J75" s="91"/>
      <c r="K75" s="1390"/>
      <c r="L75" s="91"/>
      <c r="M75" s="91"/>
      <c r="N75" s="91"/>
      <c r="O75" s="91"/>
      <c r="P75" s="91"/>
      <c r="Q75" s="91"/>
      <c r="R75" s="91"/>
      <c r="S75" s="91"/>
      <c r="T75" s="91"/>
      <c r="U75" s="91"/>
      <c r="V75" s="91"/>
      <c r="W75" s="91"/>
      <c r="X75" s="91"/>
      <c r="Y75" s="91"/>
      <c r="Z75" s="91"/>
      <c r="AA75" s="91"/>
      <c r="AB75" s="91"/>
      <c r="AC75" s="87">
        <f t="shared" si="36"/>
        <v>0</v>
      </c>
      <c r="AD75" s="92"/>
      <c r="AE75" s="92"/>
      <c r="AF75" s="2969"/>
      <c r="AG75" s="92"/>
      <c r="AH75" s="92"/>
      <c r="AI75" s="92"/>
      <c r="AJ75" s="92"/>
      <c r="AK75" s="92"/>
      <c r="AL75" s="92"/>
      <c r="AM75" s="92"/>
      <c r="AN75" s="2969"/>
      <c r="AO75" s="92"/>
      <c r="AP75" s="92"/>
      <c r="AQ75" s="92"/>
      <c r="AR75" s="92"/>
      <c r="AS75" s="92"/>
      <c r="AT75" s="93"/>
      <c r="AU75" s="94"/>
      <c r="AV75" s="3195">
        <f t="shared" si="37"/>
        <v>0</v>
      </c>
      <c r="AW75" s="3195">
        <f t="shared" si="38"/>
        <v>0</v>
      </c>
      <c r="AX75" s="319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ht="14.25" customHeight="1">
      <c r="A76" s="84"/>
      <c r="B76" s="1387"/>
      <c r="C76" s="2963"/>
      <c r="D76" s="2964"/>
      <c r="E76" s="87">
        <f t="shared" si="33"/>
        <v>0</v>
      </c>
      <c r="F76" s="88"/>
      <c r="G76" s="89">
        <f t="shared" si="34"/>
        <v>0</v>
      </c>
      <c r="H76" s="90">
        <f t="shared" si="35"/>
        <v>0</v>
      </c>
      <c r="I76" s="2965"/>
      <c r="J76" s="91"/>
      <c r="K76" s="1390"/>
      <c r="L76" s="91"/>
      <c r="M76" s="91"/>
      <c r="N76" s="91"/>
      <c r="O76" s="91"/>
      <c r="P76" s="91"/>
      <c r="Q76" s="91"/>
      <c r="R76" s="91"/>
      <c r="S76" s="91"/>
      <c r="T76" s="91"/>
      <c r="U76" s="91"/>
      <c r="V76" s="91"/>
      <c r="W76" s="91"/>
      <c r="X76" s="91"/>
      <c r="Y76" s="91"/>
      <c r="Z76" s="91"/>
      <c r="AA76" s="91"/>
      <c r="AB76" s="91"/>
      <c r="AC76" s="87">
        <f t="shared" si="36"/>
        <v>0</v>
      </c>
      <c r="AD76" s="92"/>
      <c r="AE76" s="92"/>
      <c r="AF76" s="2969"/>
      <c r="AG76" s="92"/>
      <c r="AH76" s="92"/>
      <c r="AI76" s="92"/>
      <c r="AJ76" s="92"/>
      <c r="AK76" s="92"/>
      <c r="AL76" s="92"/>
      <c r="AM76" s="92"/>
      <c r="AN76" s="2969"/>
      <c r="AO76" s="92"/>
      <c r="AP76" s="92"/>
      <c r="AQ76" s="92"/>
      <c r="AR76" s="92"/>
      <c r="AS76" s="92"/>
      <c r="AT76" s="93"/>
      <c r="AU76" s="94"/>
      <c r="AV76" s="3195">
        <f t="shared" si="37"/>
        <v>0</v>
      </c>
      <c r="AW76" s="3195">
        <f t="shared" si="38"/>
        <v>0</v>
      </c>
      <c r="AX76" s="319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ht="14.25" customHeight="1">
      <c r="A77" s="84"/>
      <c r="B77" s="1387"/>
      <c r="C77" s="2963"/>
      <c r="D77" s="2964"/>
      <c r="E77" s="87">
        <f t="shared" si="33"/>
        <v>0</v>
      </c>
      <c r="F77" s="88"/>
      <c r="G77" s="89">
        <f t="shared" si="34"/>
        <v>0</v>
      </c>
      <c r="H77" s="90">
        <f t="shared" si="35"/>
        <v>0</v>
      </c>
      <c r="I77" s="2965"/>
      <c r="J77" s="91"/>
      <c r="K77" s="1390"/>
      <c r="L77" s="91"/>
      <c r="M77" s="91"/>
      <c r="N77" s="91"/>
      <c r="O77" s="91"/>
      <c r="P77" s="91"/>
      <c r="Q77" s="91"/>
      <c r="R77" s="91"/>
      <c r="S77" s="91"/>
      <c r="T77" s="91"/>
      <c r="U77" s="91"/>
      <c r="V77" s="91"/>
      <c r="W77" s="91"/>
      <c r="X77" s="91"/>
      <c r="Y77" s="91"/>
      <c r="Z77" s="91"/>
      <c r="AA77" s="91"/>
      <c r="AB77" s="91"/>
      <c r="AC77" s="87">
        <f t="shared" si="36"/>
        <v>0</v>
      </c>
      <c r="AD77" s="92"/>
      <c r="AE77" s="92"/>
      <c r="AF77" s="2969"/>
      <c r="AG77" s="92"/>
      <c r="AH77" s="92"/>
      <c r="AI77" s="92"/>
      <c r="AJ77" s="92"/>
      <c r="AK77" s="92"/>
      <c r="AL77" s="92"/>
      <c r="AM77" s="92"/>
      <c r="AN77" s="2969"/>
      <c r="AO77" s="92"/>
      <c r="AP77" s="92"/>
      <c r="AQ77" s="92"/>
      <c r="AR77" s="92"/>
      <c r="AS77" s="92"/>
      <c r="AT77" s="93"/>
      <c r="AU77" s="94"/>
      <c r="AV77" s="3195">
        <f t="shared" si="37"/>
        <v>0</v>
      </c>
      <c r="AW77" s="3195">
        <f t="shared" si="38"/>
        <v>0</v>
      </c>
      <c r="AX77" s="319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ht="14.25" customHeight="1">
      <c r="A78" s="84"/>
      <c r="B78" s="1387"/>
      <c r="C78" s="2963"/>
      <c r="D78" s="2964"/>
      <c r="E78" s="87">
        <f t="shared" si="33"/>
        <v>0</v>
      </c>
      <c r="F78" s="88"/>
      <c r="G78" s="89">
        <f t="shared" si="34"/>
        <v>0</v>
      </c>
      <c r="H78" s="90">
        <f t="shared" si="35"/>
        <v>0</v>
      </c>
      <c r="I78" s="2965"/>
      <c r="J78" s="91"/>
      <c r="K78" s="1390"/>
      <c r="L78" s="91"/>
      <c r="M78" s="91"/>
      <c r="N78" s="91"/>
      <c r="O78" s="91"/>
      <c r="P78" s="91"/>
      <c r="Q78" s="91"/>
      <c r="R78" s="91"/>
      <c r="S78" s="91"/>
      <c r="T78" s="91"/>
      <c r="U78" s="91"/>
      <c r="V78" s="91"/>
      <c r="W78" s="91"/>
      <c r="X78" s="91"/>
      <c r="Y78" s="91"/>
      <c r="Z78" s="91"/>
      <c r="AA78" s="91"/>
      <c r="AB78" s="91"/>
      <c r="AC78" s="87">
        <f t="shared" si="36"/>
        <v>0</v>
      </c>
      <c r="AD78" s="92"/>
      <c r="AE78" s="92"/>
      <c r="AF78" s="2969"/>
      <c r="AG78" s="92"/>
      <c r="AH78" s="92"/>
      <c r="AI78" s="92"/>
      <c r="AJ78" s="92"/>
      <c r="AK78" s="92"/>
      <c r="AL78" s="92"/>
      <c r="AM78" s="92"/>
      <c r="AN78" s="2969"/>
      <c r="AO78" s="92"/>
      <c r="AP78" s="92"/>
      <c r="AQ78" s="92"/>
      <c r="AR78" s="92"/>
      <c r="AS78" s="92"/>
      <c r="AT78" s="93"/>
      <c r="AU78" s="94"/>
      <c r="AV78" s="3195">
        <f t="shared" si="37"/>
        <v>0</v>
      </c>
      <c r="AW78" s="3195">
        <f t="shared" si="38"/>
        <v>0</v>
      </c>
      <c r="AX78" s="319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ht="14.25" customHeight="1">
      <c r="A79" s="84"/>
      <c r="B79" s="1387"/>
      <c r="C79" s="2963"/>
      <c r="D79" s="2964"/>
      <c r="E79" s="87">
        <f t="shared" si="33"/>
        <v>0</v>
      </c>
      <c r="F79" s="88"/>
      <c r="G79" s="89">
        <f t="shared" si="34"/>
        <v>0</v>
      </c>
      <c r="H79" s="90">
        <f t="shared" si="35"/>
        <v>0</v>
      </c>
      <c r="I79" s="2965"/>
      <c r="J79" s="91"/>
      <c r="K79" s="1390"/>
      <c r="L79" s="91"/>
      <c r="M79" s="91"/>
      <c r="N79" s="91"/>
      <c r="O79" s="91"/>
      <c r="P79" s="91"/>
      <c r="Q79" s="91"/>
      <c r="R79" s="91"/>
      <c r="S79" s="91"/>
      <c r="T79" s="91"/>
      <c r="U79" s="91"/>
      <c r="V79" s="91"/>
      <c r="W79" s="91"/>
      <c r="X79" s="91"/>
      <c r="Y79" s="91"/>
      <c r="Z79" s="91"/>
      <c r="AA79" s="91"/>
      <c r="AB79" s="91"/>
      <c r="AC79" s="87">
        <f t="shared" si="36"/>
        <v>0</v>
      </c>
      <c r="AD79" s="92"/>
      <c r="AE79" s="92"/>
      <c r="AF79" s="2969"/>
      <c r="AG79" s="92"/>
      <c r="AH79" s="92"/>
      <c r="AI79" s="92"/>
      <c r="AJ79" s="92"/>
      <c r="AK79" s="92"/>
      <c r="AL79" s="92"/>
      <c r="AM79" s="92"/>
      <c r="AN79" s="2969"/>
      <c r="AO79" s="92"/>
      <c r="AP79" s="92"/>
      <c r="AQ79" s="92"/>
      <c r="AR79" s="92"/>
      <c r="AS79" s="92"/>
      <c r="AT79" s="93"/>
      <c r="AU79" s="94"/>
      <c r="AV79" s="3195">
        <f t="shared" si="37"/>
        <v>0</v>
      </c>
      <c r="AW79" s="3195">
        <f t="shared" si="38"/>
        <v>0</v>
      </c>
      <c r="AX79" s="319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ht="14.25" customHeight="1">
      <c r="A80" s="84"/>
      <c r="B80" s="1387"/>
      <c r="C80" s="2963"/>
      <c r="D80" s="2964"/>
      <c r="E80" s="87">
        <f t="shared" si="33"/>
        <v>0</v>
      </c>
      <c r="F80" s="88"/>
      <c r="G80" s="89">
        <f t="shared" si="34"/>
        <v>0</v>
      </c>
      <c r="H80" s="90">
        <f t="shared" si="35"/>
        <v>0</v>
      </c>
      <c r="I80" s="2965"/>
      <c r="J80" s="91"/>
      <c r="K80" s="1390"/>
      <c r="L80" s="91"/>
      <c r="M80" s="91"/>
      <c r="N80" s="91"/>
      <c r="O80" s="91"/>
      <c r="P80" s="91"/>
      <c r="Q80" s="91"/>
      <c r="R80" s="91"/>
      <c r="S80" s="91"/>
      <c r="T80" s="91"/>
      <c r="U80" s="91"/>
      <c r="V80" s="91"/>
      <c r="W80" s="91"/>
      <c r="X80" s="91"/>
      <c r="Y80" s="91"/>
      <c r="Z80" s="91"/>
      <c r="AA80" s="91"/>
      <c r="AB80" s="91"/>
      <c r="AC80" s="87">
        <f t="shared" si="36"/>
        <v>0</v>
      </c>
      <c r="AD80" s="92"/>
      <c r="AE80" s="92"/>
      <c r="AF80" s="2969"/>
      <c r="AG80" s="92"/>
      <c r="AH80" s="92"/>
      <c r="AI80" s="92"/>
      <c r="AJ80" s="92"/>
      <c r="AK80" s="92"/>
      <c r="AL80" s="92"/>
      <c r="AM80" s="92"/>
      <c r="AN80" s="2969"/>
      <c r="AO80" s="92"/>
      <c r="AP80" s="92"/>
      <c r="AQ80" s="92"/>
      <c r="AR80" s="92"/>
      <c r="AS80" s="92"/>
      <c r="AT80" s="93"/>
      <c r="AU80" s="94"/>
      <c r="AV80" s="3195">
        <f t="shared" si="37"/>
        <v>0</v>
      </c>
      <c r="AW80" s="3195">
        <f t="shared" si="38"/>
        <v>0</v>
      </c>
      <c r="AX80" s="319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ht="14.25" customHeight="1">
      <c r="A81" s="84"/>
      <c r="B81" s="1387"/>
      <c r="C81" s="2963"/>
      <c r="D81" s="2964"/>
      <c r="E81" s="87">
        <f t="shared" si="33"/>
        <v>0</v>
      </c>
      <c r="F81" s="88"/>
      <c r="G81" s="89">
        <f t="shared" si="34"/>
        <v>0</v>
      </c>
      <c r="H81" s="90">
        <f t="shared" si="35"/>
        <v>0</v>
      </c>
      <c r="I81" s="2965"/>
      <c r="J81" s="91"/>
      <c r="K81" s="1390"/>
      <c r="L81" s="91"/>
      <c r="M81" s="91"/>
      <c r="N81" s="91"/>
      <c r="O81" s="91"/>
      <c r="P81" s="91"/>
      <c r="Q81" s="91"/>
      <c r="R81" s="91"/>
      <c r="S81" s="91"/>
      <c r="T81" s="91"/>
      <c r="U81" s="91"/>
      <c r="V81" s="91"/>
      <c r="W81" s="91"/>
      <c r="X81" s="91"/>
      <c r="Y81" s="91"/>
      <c r="Z81" s="91"/>
      <c r="AA81" s="91"/>
      <c r="AB81" s="91"/>
      <c r="AC81" s="87">
        <f t="shared" si="36"/>
        <v>0</v>
      </c>
      <c r="AD81" s="92"/>
      <c r="AE81" s="92"/>
      <c r="AF81" s="2969"/>
      <c r="AG81" s="92"/>
      <c r="AH81" s="92"/>
      <c r="AI81" s="92"/>
      <c r="AJ81" s="92"/>
      <c r="AK81" s="92"/>
      <c r="AL81" s="92"/>
      <c r="AM81" s="92"/>
      <c r="AN81" s="2969"/>
      <c r="AO81" s="92"/>
      <c r="AP81" s="92"/>
      <c r="AQ81" s="92"/>
      <c r="AR81" s="92"/>
      <c r="AS81" s="92"/>
      <c r="AT81" s="93"/>
      <c r="AU81" s="94"/>
      <c r="AV81" s="3195">
        <f t="shared" si="37"/>
        <v>0</v>
      </c>
      <c r="AW81" s="3195">
        <f t="shared" si="38"/>
        <v>0</v>
      </c>
      <c r="AX81" s="319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ht="14.25" customHeight="1">
      <c r="A82" s="84"/>
      <c r="B82" s="1387"/>
      <c r="C82" s="2963"/>
      <c r="D82" s="2964"/>
      <c r="E82" s="87">
        <f t="shared" si="33"/>
        <v>0</v>
      </c>
      <c r="F82" s="88"/>
      <c r="G82" s="89">
        <f t="shared" si="34"/>
        <v>0</v>
      </c>
      <c r="H82" s="90">
        <f t="shared" si="35"/>
        <v>0</v>
      </c>
      <c r="I82" s="2965"/>
      <c r="J82" s="91"/>
      <c r="K82" s="1390"/>
      <c r="L82" s="91"/>
      <c r="M82" s="91"/>
      <c r="N82" s="91"/>
      <c r="O82" s="91"/>
      <c r="P82" s="91"/>
      <c r="Q82" s="91"/>
      <c r="R82" s="91"/>
      <c r="S82" s="91"/>
      <c r="T82" s="91"/>
      <c r="U82" s="91"/>
      <c r="V82" s="91"/>
      <c r="W82" s="91"/>
      <c r="X82" s="91"/>
      <c r="Y82" s="91"/>
      <c r="Z82" s="91"/>
      <c r="AA82" s="91"/>
      <c r="AB82" s="91"/>
      <c r="AC82" s="87">
        <f t="shared" si="36"/>
        <v>0</v>
      </c>
      <c r="AD82" s="92"/>
      <c r="AE82" s="92"/>
      <c r="AF82" s="2969"/>
      <c r="AG82" s="92"/>
      <c r="AH82" s="92"/>
      <c r="AI82" s="92"/>
      <c r="AJ82" s="92"/>
      <c r="AK82" s="92"/>
      <c r="AL82" s="92"/>
      <c r="AM82" s="92"/>
      <c r="AN82" s="2969"/>
      <c r="AO82" s="92"/>
      <c r="AP82" s="92"/>
      <c r="AQ82" s="92"/>
      <c r="AR82" s="92"/>
      <c r="AS82" s="92"/>
      <c r="AT82" s="93"/>
      <c r="AU82" s="94"/>
      <c r="AV82" s="3195">
        <f t="shared" si="37"/>
        <v>0</v>
      </c>
      <c r="AW82" s="3195">
        <f t="shared" si="38"/>
        <v>0</v>
      </c>
      <c r="AX82" s="319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ht="14.25" customHeight="1">
      <c r="A83" s="84"/>
      <c r="B83" s="1387"/>
      <c r="C83" s="2963"/>
      <c r="D83" s="2964"/>
      <c r="E83" s="87">
        <f t="shared" si="33"/>
        <v>0</v>
      </c>
      <c r="F83" s="88"/>
      <c r="G83" s="89">
        <f t="shared" si="34"/>
        <v>0</v>
      </c>
      <c r="H83" s="90">
        <f t="shared" si="35"/>
        <v>0</v>
      </c>
      <c r="I83" s="2965"/>
      <c r="J83" s="91"/>
      <c r="K83" s="1390"/>
      <c r="L83" s="91"/>
      <c r="M83" s="91"/>
      <c r="N83" s="91"/>
      <c r="O83" s="91"/>
      <c r="P83" s="91"/>
      <c r="Q83" s="91"/>
      <c r="R83" s="91"/>
      <c r="S83" s="91"/>
      <c r="T83" s="91"/>
      <c r="U83" s="91"/>
      <c r="V83" s="91"/>
      <c r="W83" s="91"/>
      <c r="X83" s="91"/>
      <c r="Y83" s="91"/>
      <c r="Z83" s="91"/>
      <c r="AA83" s="91"/>
      <c r="AB83" s="91"/>
      <c r="AC83" s="87">
        <f t="shared" si="36"/>
        <v>0</v>
      </c>
      <c r="AD83" s="92"/>
      <c r="AE83" s="92"/>
      <c r="AF83" s="2969"/>
      <c r="AG83" s="92"/>
      <c r="AH83" s="92"/>
      <c r="AI83" s="92"/>
      <c r="AJ83" s="92"/>
      <c r="AK83" s="92"/>
      <c r="AL83" s="92"/>
      <c r="AM83" s="92"/>
      <c r="AN83" s="2969"/>
      <c r="AO83" s="92"/>
      <c r="AP83" s="92"/>
      <c r="AQ83" s="92"/>
      <c r="AR83" s="92"/>
      <c r="AS83" s="92"/>
      <c r="AT83" s="93"/>
      <c r="AU83" s="94"/>
      <c r="AV83" s="3195">
        <f t="shared" si="37"/>
        <v>0</v>
      </c>
      <c r="AW83" s="3195">
        <f t="shared" si="38"/>
        <v>0</v>
      </c>
      <c r="AX83" s="319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ht="14.25" customHeight="1">
      <c r="A84" s="84"/>
      <c r="B84" s="1387"/>
      <c r="C84" s="2963"/>
      <c r="D84" s="2964"/>
      <c r="E84" s="87">
        <f t="shared" si="33"/>
        <v>0</v>
      </c>
      <c r="F84" s="88"/>
      <c r="G84" s="89">
        <f t="shared" si="34"/>
        <v>0</v>
      </c>
      <c r="H84" s="90">
        <f t="shared" si="35"/>
        <v>0</v>
      </c>
      <c r="I84" s="2965"/>
      <c r="J84" s="91"/>
      <c r="K84" s="1390"/>
      <c r="L84" s="91"/>
      <c r="M84" s="91"/>
      <c r="N84" s="91"/>
      <c r="O84" s="91"/>
      <c r="P84" s="91"/>
      <c r="Q84" s="91"/>
      <c r="R84" s="91"/>
      <c r="S84" s="91"/>
      <c r="T84" s="91"/>
      <c r="U84" s="91"/>
      <c r="V84" s="91"/>
      <c r="W84" s="91"/>
      <c r="X84" s="91"/>
      <c r="Y84" s="91"/>
      <c r="Z84" s="91"/>
      <c r="AA84" s="91"/>
      <c r="AB84" s="91"/>
      <c r="AC84" s="87">
        <f t="shared" si="36"/>
        <v>0</v>
      </c>
      <c r="AD84" s="92"/>
      <c r="AE84" s="92"/>
      <c r="AF84" s="2969"/>
      <c r="AG84" s="92"/>
      <c r="AH84" s="92"/>
      <c r="AI84" s="92"/>
      <c r="AJ84" s="92"/>
      <c r="AK84" s="92"/>
      <c r="AL84" s="92"/>
      <c r="AM84" s="92"/>
      <c r="AN84" s="2969"/>
      <c r="AO84" s="92"/>
      <c r="AP84" s="92"/>
      <c r="AQ84" s="92"/>
      <c r="AR84" s="92"/>
      <c r="AS84" s="92"/>
      <c r="AT84" s="93"/>
      <c r="AU84" s="94"/>
      <c r="AV84" s="3195">
        <f t="shared" si="37"/>
        <v>0</v>
      </c>
      <c r="AW84" s="3195">
        <f t="shared" si="38"/>
        <v>0</v>
      </c>
      <c r="AX84" s="319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ht="14.25" customHeight="1">
      <c r="A85" s="84"/>
      <c r="B85" s="1387"/>
      <c r="C85" s="2963"/>
      <c r="D85" s="2964"/>
      <c r="E85" s="87">
        <f t="shared" si="33"/>
        <v>0</v>
      </c>
      <c r="F85" s="88"/>
      <c r="G85" s="89">
        <f t="shared" si="34"/>
        <v>0</v>
      </c>
      <c r="H85" s="90">
        <f t="shared" si="35"/>
        <v>0</v>
      </c>
      <c r="I85" s="2965"/>
      <c r="J85" s="91"/>
      <c r="K85" s="1390"/>
      <c r="L85" s="91"/>
      <c r="M85" s="91"/>
      <c r="N85" s="91"/>
      <c r="O85" s="91"/>
      <c r="P85" s="91"/>
      <c r="Q85" s="91"/>
      <c r="R85" s="91"/>
      <c r="S85" s="91"/>
      <c r="T85" s="91"/>
      <c r="U85" s="91"/>
      <c r="V85" s="91"/>
      <c r="W85" s="91"/>
      <c r="X85" s="91"/>
      <c r="Y85" s="91"/>
      <c r="Z85" s="91"/>
      <c r="AA85" s="91"/>
      <c r="AB85" s="91"/>
      <c r="AC85" s="87">
        <f t="shared" si="36"/>
        <v>0</v>
      </c>
      <c r="AD85" s="92"/>
      <c r="AE85" s="92"/>
      <c r="AF85" s="2969"/>
      <c r="AG85" s="92"/>
      <c r="AH85" s="92"/>
      <c r="AI85" s="92"/>
      <c r="AJ85" s="92"/>
      <c r="AK85" s="92"/>
      <c r="AL85" s="92"/>
      <c r="AM85" s="92"/>
      <c r="AN85" s="2969"/>
      <c r="AO85" s="92"/>
      <c r="AP85" s="92"/>
      <c r="AQ85" s="92"/>
      <c r="AR85" s="92"/>
      <c r="AS85" s="92"/>
      <c r="AT85" s="93"/>
      <c r="AU85" s="94"/>
      <c r="AV85" s="3195">
        <f t="shared" si="37"/>
        <v>0</v>
      </c>
      <c r="AW85" s="3195">
        <f t="shared" si="38"/>
        <v>0</v>
      </c>
      <c r="AX85" s="319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ht="14.25" customHeight="1">
      <c r="A86" s="84"/>
      <c r="B86" s="1387"/>
      <c r="C86" s="2963"/>
      <c r="D86" s="2964"/>
      <c r="E86" s="87">
        <f t="shared" si="33"/>
        <v>0</v>
      </c>
      <c r="F86" s="88"/>
      <c r="G86" s="89">
        <f t="shared" si="34"/>
        <v>0</v>
      </c>
      <c r="H86" s="90">
        <f t="shared" si="35"/>
        <v>0</v>
      </c>
      <c r="I86" s="2965"/>
      <c r="J86" s="91"/>
      <c r="K86" s="1390"/>
      <c r="L86" s="91"/>
      <c r="M86" s="91"/>
      <c r="N86" s="91"/>
      <c r="O86" s="91"/>
      <c r="P86" s="91"/>
      <c r="Q86" s="91"/>
      <c r="R86" s="91"/>
      <c r="S86" s="91"/>
      <c r="T86" s="91"/>
      <c r="U86" s="91"/>
      <c r="V86" s="91"/>
      <c r="W86" s="91"/>
      <c r="X86" s="91"/>
      <c r="Y86" s="91"/>
      <c r="Z86" s="91"/>
      <c r="AA86" s="91"/>
      <c r="AB86" s="91"/>
      <c r="AC86" s="87">
        <f t="shared" si="36"/>
        <v>0</v>
      </c>
      <c r="AD86" s="92"/>
      <c r="AE86" s="92"/>
      <c r="AF86" s="2969"/>
      <c r="AG86" s="92"/>
      <c r="AH86" s="92"/>
      <c r="AI86" s="92"/>
      <c r="AJ86" s="92"/>
      <c r="AK86" s="92"/>
      <c r="AL86" s="92"/>
      <c r="AM86" s="92"/>
      <c r="AN86" s="2969"/>
      <c r="AO86" s="92"/>
      <c r="AP86" s="92"/>
      <c r="AQ86" s="92"/>
      <c r="AR86" s="92"/>
      <c r="AS86" s="92"/>
      <c r="AT86" s="93"/>
      <c r="AU86" s="94"/>
      <c r="AV86" s="3195">
        <f t="shared" si="37"/>
        <v>0</v>
      </c>
      <c r="AW86" s="3195">
        <f t="shared" si="38"/>
        <v>0</v>
      </c>
      <c r="AX86" s="319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ht="14.25" customHeight="1">
      <c r="A87" s="84"/>
      <c r="B87" s="1387"/>
      <c r="C87" s="2963"/>
      <c r="D87" s="2964"/>
      <c r="E87" s="87">
        <f t="shared" si="33"/>
        <v>0</v>
      </c>
      <c r="F87" s="88"/>
      <c r="G87" s="89">
        <f t="shared" si="34"/>
        <v>0</v>
      </c>
      <c r="H87" s="90">
        <f t="shared" si="35"/>
        <v>0</v>
      </c>
      <c r="I87" s="2965"/>
      <c r="J87" s="91"/>
      <c r="K87" s="1390"/>
      <c r="L87" s="91"/>
      <c r="M87" s="91"/>
      <c r="N87" s="91"/>
      <c r="O87" s="91"/>
      <c r="P87" s="91"/>
      <c r="Q87" s="91"/>
      <c r="R87" s="91"/>
      <c r="S87" s="91"/>
      <c r="T87" s="91"/>
      <c r="U87" s="91"/>
      <c r="V87" s="91"/>
      <c r="W87" s="91"/>
      <c r="X87" s="91"/>
      <c r="Y87" s="91"/>
      <c r="Z87" s="91"/>
      <c r="AA87" s="91"/>
      <c r="AB87" s="91"/>
      <c r="AC87" s="87">
        <f t="shared" si="36"/>
        <v>0</v>
      </c>
      <c r="AD87" s="92"/>
      <c r="AE87" s="92"/>
      <c r="AF87" s="2969"/>
      <c r="AG87" s="92"/>
      <c r="AH87" s="92"/>
      <c r="AI87" s="92"/>
      <c r="AJ87" s="92"/>
      <c r="AK87" s="92"/>
      <c r="AL87" s="92"/>
      <c r="AM87" s="92"/>
      <c r="AN87" s="2969"/>
      <c r="AO87" s="92"/>
      <c r="AP87" s="92"/>
      <c r="AQ87" s="92"/>
      <c r="AR87" s="92"/>
      <c r="AS87" s="92"/>
      <c r="AT87" s="93"/>
      <c r="AU87" s="94"/>
      <c r="AV87" s="3195">
        <f t="shared" si="37"/>
        <v>0</v>
      </c>
      <c r="AW87" s="3195">
        <f t="shared" si="38"/>
        <v>0</v>
      </c>
      <c r="AX87" s="319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ht="14.25" customHeight="1">
      <c r="A88" s="84"/>
      <c r="B88" s="1387"/>
      <c r="C88" s="2963"/>
      <c r="D88" s="2964"/>
      <c r="E88" s="87">
        <f t="shared" si="33"/>
        <v>0</v>
      </c>
      <c r="F88" s="88"/>
      <c r="G88" s="89">
        <f t="shared" si="34"/>
        <v>0</v>
      </c>
      <c r="H88" s="90">
        <f t="shared" si="35"/>
        <v>0</v>
      </c>
      <c r="I88" s="2965"/>
      <c r="J88" s="91"/>
      <c r="K88" s="1390"/>
      <c r="L88" s="91"/>
      <c r="M88" s="91"/>
      <c r="N88" s="91"/>
      <c r="O88" s="91"/>
      <c r="P88" s="91"/>
      <c r="Q88" s="91"/>
      <c r="R88" s="91"/>
      <c r="S88" s="91"/>
      <c r="T88" s="91"/>
      <c r="U88" s="91"/>
      <c r="V88" s="91"/>
      <c r="W88" s="91"/>
      <c r="X88" s="91"/>
      <c r="Y88" s="91"/>
      <c r="Z88" s="91"/>
      <c r="AA88" s="91"/>
      <c r="AB88" s="91"/>
      <c r="AC88" s="87">
        <f t="shared" si="36"/>
        <v>0</v>
      </c>
      <c r="AD88" s="92"/>
      <c r="AE88" s="92"/>
      <c r="AF88" s="2969"/>
      <c r="AG88" s="92"/>
      <c r="AH88" s="92"/>
      <c r="AI88" s="92"/>
      <c r="AJ88" s="92"/>
      <c r="AK88" s="92"/>
      <c r="AL88" s="92"/>
      <c r="AM88" s="92"/>
      <c r="AN88" s="2969"/>
      <c r="AO88" s="92"/>
      <c r="AP88" s="92"/>
      <c r="AQ88" s="92"/>
      <c r="AR88" s="92"/>
      <c r="AS88" s="92"/>
      <c r="AT88" s="93"/>
      <c r="AU88" s="94"/>
      <c r="AV88" s="3195">
        <f t="shared" si="37"/>
        <v>0</v>
      </c>
      <c r="AW88" s="3195">
        <f t="shared" si="38"/>
        <v>0</v>
      </c>
      <c r="AX88" s="319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ht="14.25" customHeight="1">
      <c r="A89" s="84"/>
      <c r="B89" s="1387"/>
      <c r="C89" s="2963"/>
      <c r="D89" s="2964"/>
      <c r="E89" s="87">
        <f t="shared" si="33"/>
        <v>0</v>
      </c>
      <c r="F89" s="88"/>
      <c r="G89" s="89">
        <f t="shared" si="34"/>
        <v>0</v>
      </c>
      <c r="H89" s="90">
        <f t="shared" si="35"/>
        <v>0</v>
      </c>
      <c r="I89" s="2965"/>
      <c r="J89" s="91"/>
      <c r="K89" s="1390"/>
      <c r="L89" s="91"/>
      <c r="M89" s="91"/>
      <c r="N89" s="91"/>
      <c r="O89" s="91"/>
      <c r="P89" s="91"/>
      <c r="Q89" s="91"/>
      <c r="R89" s="91"/>
      <c r="S89" s="91"/>
      <c r="T89" s="91"/>
      <c r="U89" s="91"/>
      <c r="V89" s="91"/>
      <c r="W89" s="91"/>
      <c r="X89" s="91"/>
      <c r="Y89" s="91"/>
      <c r="Z89" s="91"/>
      <c r="AA89" s="91"/>
      <c r="AB89" s="91"/>
      <c r="AC89" s="87">
        <f t="shared" si="36"/>
        <v>0</v>
      </c>
      <c r="AD89" s="92"/>
      <c r="AE89" s="92"/>
      <c r="AF89" s="2969"/>
      <c r="AG89" s="92"/>
      <c r="AH89" s="92"/>
      <c r="AI89" s="92"/>
      <c r="AJ89" s="92"/>
      <c r="AK89" s="92"/>
      <c r="AL89" s="92"/>
      <c r="AM89" s="92"/>
      <c r="AN89" s="2969"/>
      <c r="AO89" s="92"/>
      <c r="AP89" s="92"/>
      <c r="AQ89" s="92"/>
      <c r="AR89" s="92"/>
      <c r="AS89" s="92"/>
      <c r="AT89" s="93"/>
      <c r="AU89" s="94"/>
      <c r="AV89" s="3195">
        <f t="shared" si="37"/>
        <v>0</v>
      </c>
      <c r="AW89" s="3195">
        <f t="shared" si="38"/>
        <v>0</v>
      </c>
      <c r="AX89" s="319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ht="14.25" customHeight="1">
      <c r="A90" s="84"/>
      <c r="B90" s="1387"/>
      <c r="C90" s="2963"/>
      <c r="D90" s="2964"/>
      <c r="E90" s="87">
        <f t="shared" si="33"/>
        <v>0</v>
      </c>
      <c r="F90" s="88"/>
      <c r="G90" s="89">
        <f t="shared" si="34"/>
        <v>0</v>
      </c>
      <c r="H90" s="90">
        <f t="shared" si="35"/>
        <v>0</v>
      </c>
      <c r="I90" s="2965"/>
      <c r="J90" s="91"/>
      <c r="K90" s="1390"/>
      <c r="L90" s="91"/>
      <c r="M90" s="91"/>
      <c r="N90" s="91"/>
      <c r="O90" s="91"/>
      <c r="P90" s="91"/>
      <c r="Q90" s="91"/>
      <c r="R90" s="91"/>
      <c r="S90" s="91"/>
      <c r="T90" s="91"/>
      <c r="U90" s="91"/>
      <c r="V90" s="91"/>
      <c r="W90" s="91"/>
      <c r="X90" s="91"/>
      <c r="Y90" s="91"/>
      <c r="Z90" s="91"/>
      <c r="AA90" s="91"/>
      <c r="AB90" s="91"/>
      <c r="AC90" s="87">
        <f t="shared" si="36"/>
        <v>0</v>
      </c>
      <c r="AD90" s="92"/>
      <c r="AE90" s="92"/>
      <c r="AF90" s="2969"/>
      <c r="AG90" s="92"/>
      <c r="AH90" s="92"/>
      <c r="AI90" s="92"/>
      <c r="AJ90" s="92"/>
      <c r="AK90" s="92"/>
      <c r="AL90" s="92"/>
      <c r="AM90" s="92"/>
      <c r="AN90" s="2969"/>
      <c r="AO90" s="92"/>
      <c r="AP90" s="92"/>
      <c r="AQ90" s="92"/>
      <c r="AR90" s="92"/>
      <c r="AS90" s="92"/>
      <c r="AT90" s="93"/>
      <c r="AU90" s="94"/>
      <c r="AV90" s="3195">
        <f t="shared" si="37"/>
        <v>0</v>
      </c>
      <c r="AW90" s="3195">
        <f t="shared" si="38"/>
        <v>0</v>
      </c>
      <c r="AX90" s="319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ht="14.25" customHeight="1">
      <c r="A91" s="84"/>
      <c r="B91" s="1387"/>
      <c r="C91" s="2963"/>
      <c r="D91" s="2964"/>
      <c r="E91" s="87">
        <f t="shared" si="33"/>
        <v>0</v>
      </c>
      <c r="F91" s="88"/>
      <c r="G91" s="89">
        <f t="shared" si="34"/>
        <v>0</v>
      </c>
      <c r="H91" s="90">
        <f t="shared" si="35"/>
        <v>0</v>
      </c>
      <c r="I91" s="2965"/>
      <c r="J91" s="91"/>
      <c r="K91" s="1390"/>
      <c r="L91" s="91"/>
      <c r="M91" s="91"/>
      <c r="N91" s="91"/>
      <c r="O91" s="91"/>
      <c r="P91" s="91"/>
      <c r="Q91" s="91"/>
      <c r="R91" s="91"/>
      <c r="S91" s="91"/>
      <c r="T91" s="91"/>
      <c r="U91" s="91"/>
      <c r="V91" s="91"/>
      <c r="W91" s="91"/>
      <c r="X91" s="91"/>
      <c r="Y91" s="91"/>
      <c r="Z91" s="91"/>
      <c r="AA91" s="91"/>
      <c r="AB91" s="91"/>
      <c r="AC91" s="87">
        <f t="shared" si="36"/>
        <v>0</v>
      </c>
      <c r="AD91" s="92"/>
      <c r="AE91" s="92"/>
      <c r="AF91" s="2969"/>
      <c r="AG91" s="92"/>
      <c r="AH91" s="92"/>
      <c r="AI91" s="92"/>
      <c r="AJ91" s="92"/>
      <c r="AK91" s="92"/>
      <c r="AL91" s="92"/>
      <c r="AM91" s="92"/>
      <c r="AN91" s="2969"/>
      <c r="AO91" s="92"/>
      <c r="AP91" s="92"/>
      <c r="AQ91" s="92"/>
      <c r="AR91" s="92"/>
      <c r="AS91" s="92"/>
      <c r="AT91" s="93"/>
      <c r="AU91" s="94"/>
      <c r="AV91" s="3195">
        <f t="shared" si="37"/>
        <v>0</v>
      </c>
      <c r="AW91" s="3195">
        <f t="shared" si="38"/>
        <v>0</v>
      </c>
      <c r="AX91" s="319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ht="14.25" customHeight="1">
      <c r="A92" s="84"/>
      <c r="B92" s="1387"/>
      <c r="C92" s="2963"/>
      <c r="D92" s="2964"/>
      <c r="E92" s="87">
        <f t="shared" si="33"/>
        <v>0</v>
      </c>
      <c r="F92" s="88"/>
      <c r="G92" s="89">
        <f t="shared" si="34"/>
        <v>0</v>
      </c>
      <c r="H92" s="90">
        <f t="shared" si="35"/>
        <v>0</v>
      </c>
      <c r="I92" s="2965"/>
      <c r="J92" s="91"/>
      <c r="K92" s="1390"/>
      <c r="L92" s="91"/>
      <c r="M92" s="91"/>
      <c r="N92" s="91"/>
      <c r="O92" s="91"/>
      <c r="P92" s="91"/>
      <c r="Q92" s="91"/>
      <c r="R92" s="91"/>
      <c r="S92" s="91"/>
      <c r="T92" s="91"/>
      <c r="U92" s="91"/>
      <c r="V92" s="91"/>
      <c r="W92" s="91"/>
      <c r="X92" s="91"/>
      <c r="Y92" s="91"/>
      <c r="Z92" s="91"/>
      <c r="AA92" s="91"/>
      <c r="AB92" s="91"/>
      <c r="AC92" s="87">
        <f t="shared" si="36"/>
        <v>0</v>
      </c>
      <c r="AD92" s="92"/>
      <c r="AE92" s="92"/>
      <c r="AF92" s="2969"/>
      <c r="AG92" s="92"/>
      <c r="AH92" s="92"/>
      <c r="AI92" s="92"/>
      <c r="AJ92" s="92"/>
      <c r="AK92" s="92"/>
      <c r="AL92" s="92"/>
      <c r="AM92" s="92"/>
      <c r="AN92" s="2969"/>
      <c r="AO92" s="92"/>
      <c r="AP92" s="92"/>
      <c r="AQ92" s="92"/>
      <c r="AR92" s="92"/>
      <c r="AS92" s="92"/>
      <c r="AT92" s="93"/>
      <c r="AU92" s="94"/>
      <c r="AV92" s="3195">
        <f t="shared" si="37"/>
        <v>0</v>
      </c>
      <c r="AW92" s="3195">
        <f t="shared" si="38"/>
        <v>0</v>
      </c>
      <c r="AX92" s="319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ht="14.25" customHeight="1">
      <c r="A93" s="84"/>
      <c r="B93" s="1387"/>
      <c r="C93" s="2963"/>
      <c r="D93" s="2964"/>
      <c r="E93" s="87">
        <f t="shared" si="33"/>
        <v>0</v>
      </c>
      <c r="F93" s="88"/>
      <c r="G93" s="89">
        <f t="shared" si="34"/>
        <v>0</v>
      </c>
      <c r="H93" s="90">
        <f t="shared" si="35"/>
        <v>0</v>
      </c>
      <c r="I93" s="2965"/>
      <c r="J93" s="91"/>
      <c r="K93" s="1390"/>
      <c r="L93" s="91"/>
      <c r="M93" s="91"/>
      <c r="N93" s="91"/>
      <c r="O93" s="91"/>
      <c r="P93" s="91"/>
      <c r="Q93" s="91"/>
      <c r="R93" s="91"/>
      <c r="S93" s="91"/>
      <c r="T93" s="91"/>
      <c r="U93" s="91"/>
      <c r="V93" s="91"/>
      <c r="W93" s="91"/>
      <c r="X93" s="91"/>
      <c r="Y93" s="91"/>
      <c r="Z93" s="91"/>
      <c r="AA93" s="91"/>
      <c r="AB93" s="91"/>
      <c r="AC93" s="87">
        <f t="shared" si="36"/>
        <v>0</v>
      </c>
      <c r="AD93" s="92"/>
      <c r="AE93" s="92"/>
      <c r="AF93" s="2969"/>
      <c r="AG93" s="92"/>
      <c r="AH93" s="92"/>
      <c r="AI93" s="92"/>
      <c r="AJ93" s="92"/>
      <c r="AK93" s="92"/>
      <c r="AL93" s="92"/>
      <c r="AM93" s="92"/>
      <c r="AN93" s="2969"/>
      <c r="AO93" s="92"/>
      <c r="AP93" s="92"/>
      <c r="AQ93" s="92"/>
      <c r="AR93" s="92"/>
      <c r="AS93" s="92"/>
      <c r="AT93" s="93"/>
      <c r="AU93" s="94"/>
      <c r="AV93" s="3195">
        <f t="shared" si="37"/>
        <v>0</v>
      </c>
      <c r="AW93" s="3195">
        <f t="shared" si="38"/>
        <v>0</v>
      </c>
      <c r="AX93" s="319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ht="14.25" customHeight="1">
      <c r="A94" s="84"/>
      <c r="B94" s="1387"/>
      <c r="C94" s="2963"/>
      <c r="D94" s="2964"/>
      <c r="E94" s="87">
        <f t="shared" si="33"/>
        <v>0</v>
      </c>
      <c r="F94" s="88"/>
      <c r="G94" s="89">
        <f t="shared" si="34"/>
        <v>0</v>
      </c>
      <c r="H94" s="90">
        <f t="shared" si="35"/>
        <v>0</v>
      </c>
      <c r="I94" s="2965"/>
      <c r="J94" s="91"/>
      <c r="K94" s="1390"/>
      <c r="L94" s="91"/>
      <c r="M94" s="91"/>
      <c r="N94" s="91"/>
      <c r="O94" s="91"/>
      <c r="P94" s="91"/>
      <c r="Q94" s="91"/>
      <c r="R94" s="91"/>
      <c r="S94" s="91"/>
      <c r="T94" s="91"/>
      <c r="U94" s="91"/>
      <c r="V94" s="91"/>
      <c r="W94" s="91"/>
      <c r="X94" s="91"/>
      <c r="Y94" s="91"/>
      <c r="Z94" s="91"/>
      <c r="AA94" s="91"/>
      <c r="AB94" s="91"/>
      <c r="AC94" s="87">
        <f t="shared" si="36"/>
        <v>0</v>
      </c>
      <c r="AD94" s="92"/>
      <c r="AE94" s="92"/>
      <c r="AF94" s="2969"/>
      <c r="AG94" s="92"/>
      <c r="AH94" s="92"/>
      <c r="AI94" s="92"/>
      <c r="AJ94" s="92"/>
      <c r="AK94" s="92"/>
      <c r="AL94" s="92"/>
      <c r="AM94" s="92"/>
      <c r="AN94" s="2969"/>
      <c r="AO94" s="92"/>
      <c r="AP94" s="92"/>
      <c r="AQ94" s="92"/>
      <c r="AR94" s="92"/>
      <c r="AS94" s="92"/>
      <c r="AT94" s="93"/>
      <c r="AU94" s="94"/>
      <c r="AV94" s="3195">
        <f t="shared" si="37"/>
        <v>0</v>
      </c>
      <c r="AW94" s="3195">
        <f t="shared" si="38"/>
        <v>0</v>
      </c>
      <c r="AX94" s="319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ht="14.25" customHeight="1">
      <c r="A95" s="84"/>
      <c r="B95" s="1387"/>
      <c r="C95" s="2963"/>
      <c r="D95" s="2964"/>
      <c r="E95" s="87">
        <f t="shared" si="33"/>
        <v>0</v>
      </c>
      <c r="F95" s="88"/>
      <c r="G95" s="89">
        <f t="shared" si="34"/>
        <v>0</v>
      </c>
      <c r="H95" s="90">
        <f t="shared" si="35"/>
        <v>0</v>
      </c>
      <c r="I95" s="2965"/>
      <c r="J95" s="91"/>
      <c r="K95" s="1390"/>
      <c r="L95" s="91"/>
      <c r="M95" s="91"/>
      <c r="N95" s="91"/>
      <c r="O95" s="91"/>
      <c r="P95" s="91"/>
      <c r="Q95" s="91"/>
      <c r="R95" s="91"/>
      <c r="S95" s="91"/>
      <c r="T95" s="91"/>
      <c r="U95" s="91"/>
      <c r="V95" s="91"/>
      <c r="W95" s="91"/>
      <c r="X95" s="91"/>
      <c r="Y95" s="91"/>
      <c r="Z95" s="91"/>
      <c r="AA95" s="91"/>
      <c r="AB95" s="91"/>
      <c r="AC95" s="87">
        <f t="shared" si="36"/>
        <v>0</v>
      </c>
      <c r="AD95" s="92"/>
      <c r="AE95" s="92"/>
      <c r="AF95" s="2969"/>
      <c r="AG95" s="92"/>
      <c r="AH95" s="92"/>
      <c r="AI95" s="92"/>
      <c r="AJ95" s="92"/>
      <c r="AK95" s="92"/>
      <c r="AL95" s="92"/>
      <c r="AM95" s="92"/>
      <c r="AN95" s="2969"/>
      <c r="AO95" s="92"/>
      <c r="AP95" s="92"/>
      <c r="AQ95" s="92"/>
      <c r="AR95" s="92"/>
      <c r="AS95" s="92"/>
      <c r="AT95" s="93"/>
      <c r="AU95" s="94"/>
      <c r="AV95" s="3195">
        <f t="shared" si="37"/>
        <v>0</v>
      </c>
      <c r="AW95" s="3195">
        <f t="shared" si="38"/>
        <v>0</v>
      </c>
      <c r="AX95" s="319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ht="14.25" customHeight="1">
      <c r="A96" s="84"/>
      <c r="B96" s="1387"/>
      <c r="C96" s="2963"/>
      <c r="D96" s="2964"/>
      <c r="E96" s="87">
        <f t="shared" si="33"/>
        <v>0</v>
      </c>
      <c r="F96" s="88"/>
      <c r="G96" s="89">
        <f t="shared" si="34"/>
        <v>0</v>
      </c>
      <c r="H96" s="90">
        <f t="shared" si="35"/>
        <v>0</v>
      </c>
      <c r="I96" s="2965"/>
      <c r="J96" s="91"/>
      <c r="K96" s="1390"/>
      <c r="L96" s="91"/>
      <c r="M96" s="91"/>
      <c r="N96" s="91"/>
      <c r="O96" s="91"/>
      <c r="P96" s="91"/>
      <c r="Q96" s="91"/>
      <c r="R96" s="91"/>
      <c r="S96" s="91"/>
      <c r="T96" s="91"/>
      <c r="U96" s="91"/>
      <c r="V96" s="91"/>
      <c r="W96" s="91"/>
      <c r="X96" s="91"/>
      <c r="Y96" s="91"/>
      <c r="Z96" s="91"/>
      <c r="AA96" s="91"/>
      <c r="AB96" s="91"/>
      <c r="AC96" s="87">
        <f t="shared" si="36"/>
        <v>0</v>
      </c>
      <c r="AD96" s="92"/>
      <c r="AE96" s="92"/>
      <c r="AF96" s="2969"/>
      <c r="AG96" s="92"/>
      <c r="AH96" s="92"/>
      <c r="AI96" s="92"/>
      <c r="AJ96" s="92"/>
      <c r="AK96" s="92"/>
      <c r="AL96" s="92"/>
      <c r="AM96" s="92"/>
      <c r="AN96" s="2969"/>
      <c r="AO96" s="92"/>
      <c r="AP96" s="92"/>
      <c r="AQ96" s="92"/>
      <c r="AR96" s="92"/>
      <c r="AS96" s="92"/>
      <c r="AT96" s="93"/>
      <c r="AU96" s="94"/>
      <c r="AV96" s="3195">
        <f t="shared" si="37"/>
        <v>0</v>
      </c>
      <c r="AW96" s="3195">
        <f t="shared" si="38"/>
        <v>0</v>
      </c>
      <c r="AX96" s="319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ht="14.25" customHeight="1">
      <c r="A97" s="84"/>
      <c r="B97" s="1387"/>
      <c r="C97" s="2963"/>
      <c r="D97" s="2964"/>
      <c r="E97" s="87">
        <f t="shared" si="33"/>
        <v>0</v>
      </c>
      <c r="F97" s="88"/>
      <c r="G97" s="89">
        <f t="shared" si="34"/>
        <v>0</v>
      </c>
      <c r="H97" s="90">
        <f t="shared" si="35"/>
        <v>0</v>
      </c>
      <c r="I97" s="2965"/>
      <c r="J97" s="91"/>
      <c r="K97" s="1390"/>
      <c r="L97" s="91"/>
      <c r="M97" s="91"/>
      <c r="N97" s="91"/>
      <c r="O97" s="91"/>
      <c r="P97" s="91"/>
      <c r="Q97" s="91"/>
      <c r="R97" s="91"/>
      <c r="S97" s="91"/>
      <c r="T97" s="91"/>
      <c r="U97" s="91"/>
      <c r="V97" s="91"/>
      <c r="W97" s="91"/>
      <c r="X97" s="91"/>
      <c r="Y97" s="91"/>
      <c r="Z97" s="91"/>
      <c r="AA97" s="91"/>
      <c r="AB97" s="91"/>
      <c r="AC97" s="87">
        <f t="shared" si="36"/>
        <v>0</v>
      </c>
      <c r="AD97" s="92"/>
      <c r="AE97" s="92"/>
      <c r="AF97" s="2969"/>
      <c r="AG97" s="92"/>
      <c r="AH97" s="92"/>
      <c r="AI97" s="92"/>
      <c r="AJ97" s="92"/>
      <c r="AK97" s="92"/>
      <c r="AL97" s="92"/>
      <c r="AM97" s="92"/>
      <c r="AN97" s="2969"/>
      <c r="AO97" s="92"/>
      <c r="AP97" s="92"/>
      <c r="AQ97" s="92"/>
      <c r="AR97" s="92"/>
      <c r="AS97" s="92"/>
      <c r="AT97" s="93"/>
      <c r="AU97" s="94"/>
      <c r="AV97" s="3195">
        <f t="shared" si="37"/>
        <v>0</v>
      </c>
      <c r="AW97" s="3195">
        <f t="shared" si="38"/>
        <v>0</v>
      </c>
      <c r="AX97" s="319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ht="14.25" customHeight="1">
      <c r="A98" s="84"/>
      <c r="B98" s="1387"/>
      <c r="C98" s="2963"/>
      <c r="D98" s="2964"/>
      <c r="E98" s="87">
        <f t="shared" si="33"/>
        <v>0</v>
      </c>
      <c r="F98" s="88"/>
      <c r="G98" s="89">
        <f t="shared" si="34"/>
        <v>0</v>
      </c>
      <c r="H98" s="90">
        <f t="shared" si="35"/>
        <v>0</v>
      </c>
      <c r="I98" s="2965"/>
      <c r="J98" s="91"/>
      <c r="K98" s="1390"/>
      <c r="L98" s="91"/>
      <c r="M98" s="91"/>
      <c r="N98" s="91"/>
      <c r="O98" s="91"/>
      <c r="P98" s="91"/>
      <c r="Q98" s="91"/>
      <c r="R98" s="91"/>
      <c r="S98" s="91"/>
      <c r="T98" s="91"/>
      <c r="U98" s="91"/>
      <c r="V98" s="91"/>
      <c r="W98" s="91"/>
      <c r="X98" s="91"/>
      <c r="Y98" s="91"/>
      <c r="Z98" s="91"/>
      <c r="AA98" s="91"/>
      <c r="AB98" s="91"/>
      <c r="AC98" s="87">
        <f t="shared" si="36"/>
        <v>0</v>
      </c>
      <c r="AD98" s="92"/>
      <c r="AE98" s="92"/>
      <c r="AF98" s="2969"/>
      <c r="AG98" s="92"/>
      <c r="AH98" s="92"/>
      <c r="AI98" s="92"/>
      <c r="AJ98" s="92"/>
      <c r="AK98" s="92"/>
      <c r="AL98" s="92"/>
      <c r="AM98" s="92"/>
      <c r="AN98" s="2969"/>
      <c r="AO98" s="92"/>
      <c r="AP98" s="92"/>
      <c r="AQ98" s="92"/>
      <c r="AR98" s="92"/>
      <c r="AS98" s="92"/>
      <c r="AT98" s="93"/>
      <c r="AU98" s="94"/>
      <c r="AV98" s="3195">
        <f t="shared" si="37"/>
        <v>0</v>
      </c>
      <c r="AW98" s="3195">
        <f t="shared" si="38"/>
        <v>0</v>
      </c>
      <c r="AX98" s="319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ht="14.25" customHeight="1">
      <c r="A99" s="84"/>
      <c r="B99" s="1387"/>
      <c r="C99" s="2963"/>
      <c r="D99" s="2964"/>
      <c r="E99" s="87">
        <f t="shared" si="33"/>
        <v>0</v>
      </c>
      <c r="F99" s="88"/>
      <c r="G99" s="89">
        <f t="shared" si="34"/>
        <v>0</v>
      </c>
      <c r="H99" s="90">
        <f t="shared" si="35"/>
        <v>0</v>
      </c>
      <c r="I99" s="2965"/>
      <c r="J99" s="91"/>
      <c r="K99" s="1390"/>
      <c r="L99" s="91"/>
      <c r="M99" s="91"/>
      <c r="N99" s="91"/>
      <c r="O99" s="91"/>
      <c r="P99" s="91"/>
      <c r="Q99" s="91"/>
      <c r="R99" s="91"/>
      <c r="S99" s="91"/>
      <c r="T99" s="91"/>
      <c r="U99" s="91"/>
      <c r="V99" s="91"/>
      <c r="W99" s="91"/>
      <c r="X99" s="91"/>
      <c r="Y99" s="91"/>
      <c r="Z99" s="91"/>
      <c r="AA99" s="91"/>
      <c r="AB99" s="91"/>
      <c r="AC99" s="87">
        <f t="shared" si="36"/>
        <v>0</v>
      </c>
      <c r="AD99" s="92"/>
      <c r="AE99" s="92"/>
      <c r="AF99" s="2969"/>
      <c r="AG99" s="92"/>
      <c r="AH99" s="92"/>
      <c r="AI99" s="92"/>
      <c r="AJ99" s="92"/>
      <c r="AK99" s="92"/>
      <c r="AL99" s="92"/>
      <c r="AM99" s="92"/>
      <c r="AN99" s="2969"/>
      <c r="AO99" s="92"/>
      <c r="AP99" s="92"/>
      <c r="AQ99" s="92"/>
      <c r="AR99" s="92"/>
      <c r="AS99" s="92"/>
      <c r="AT99" s="93"/>
      <c r="AU99" s="94"/>
      <c r="AV99" s="3195">
        <f t="shared" si="37"/>
        <v>0</v>
      </c>
      <c r="AW99" s="3195">
        <f t="shared" si="38"/>
        <v>0</v>
      </c>
      <c r="AX99" s="319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ht="14.25" customHeight="1">
      <c r="A100" s="84"/>
      <c r="B100" s="1387"/>
      <c r="C100" s="2963"/>
      <c r="D100" s="2964"/>
      <c r="E100" s="87">
        <f t="shared" si="33"/>
        <v>0</v>
      </c>
      <c r="F100" s="88"/>
      <c r="G100" s="89">
        <f t="shared" si="34"/>
        <v>0</v>
      </c>
      <c r="H100" s="90">
        <f t="shared" si="35"/>
        <v>0</v>
      </c>
      <c r="I100" s="2965"/>
      <c r="J100" s="91"/>
      <c r="K100" s="1390"/>
      <c r="L100" s="91"/>
      <c r="M100" s="91"/>
      <c r="N100" s="91"/>
      <c r="O100" s="91"/>
      <c r="P100" s="91"/>
      <c r="Q100" s="91"/>
      <c r="R100" s="91"/>
      <c r="S100" s="91"/>
      <c r="T100" s="91"/>
      <c r="U100" s="91"/>
      <c r="V100" s="91"/>
      <c r="W100" s="91"/>
      <c r="X100" s="91"/>
      <c r="Y100" s="91"/>
      <c r="Z100" s="91"/>
      <c r="AA100" s="91"/>
      <c r="AB100" s="91"/>
      <c r="AC100" s="87">
        <f t="shared" si="36"/>
        <v>0</v>
      </c>
      <c r="AD100" s="92"/>
      <c r="AE100" s="92"/>
      <c r="AF100" s="2969"/>
      <c r="AG100" s="92"/>
      <c r="AH100" s="92"/>
      <c r="AI100" s="92"/>
      <c r="AJ100" s="92"/>
      <c r="AK100" s="92"/>
      <c r="AL100" s="92"/>
      <c r="AM100" s="92"/>
      <c r="AN100" s="2969"/>
      <c r="AO100" s="92"/>
      <c r="AP100" s="92"/>
      <c r="AQ100" s="92"/>
      <c r="AR100" s="92"/>
      <c r="AS100" s="92"/>
      <c r="AT100" s="93"/>
      <c r="AU100" s="94"/>
      <c r="AV100" s="3195">
        <f t="shared" si="37"/>
        <v>0</v>
      </c>
      <c r="AW100" s="3195">
        <f t="shared" si="38"/>
        <v>0</v>
      </c>
      <c r="AX100" s="319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ht="14.25" customHeight="1">
      <c r="A101" s="84"/>
      <c r="B101" s="1387"/>
      <c r="C101" s="2963"/>
      <c r="D101" s="2964"/>
      <c r="E101" s="87">
        <f t="shared" si="33"/>
        <v>0</v>
      </c>
      <c r="F101" s="88"/>
      <c r="G101" s="89">
        <f t="shared" si="34"/>
        <v>0</v>
      </c>
      <c r="H101" s="90">
        <f t="shared" si="35"/>
        <v>0</v>
      </c>
      <c r="I101" s="2965"/>
      <c r="J101" s="91"/>
      <c r="K101" s="1390"/>
      <c r="L101" s="91"/>
      <c r="M101" s="91"/>
      <c r="N101" s="91"/>
      <c r="O101" s="91"/>
      <c r="P101" s="91"/>
      <c r="Q101" s="91"/>
      <c r="R101" s="91"/>
      <c r="S101" s="91"/>
      <c r="T101" s="91"/>
      <c r="U101" s="91"/>
      <c r="V101" s="91"/>
      <c r="W101" s="91"/>
      <c r="X101" s="91"/>
      <c r="Y101" s="91"/>
      <c r="Z101" s="91"/>
      <c r="AA101" s="91"/>
      <c r="AB101" s="91"/>
      <c r="AC101" s="87">
        <f t="shared" si="36"/>
        <v>0</v>
      </c>
      <c r="AD101" s="92"/>
      <c r="AE101" s="92"/>
      <c r="AF101" s="2969"/>
      <c r="AG101" s="92"/>
      <c r="AH101" s="92"/>
      <c r="AI101" s="92"/>
      <c r="AJ101" s="92"/>
      <c r="AK101" s="92"/>
      <c r="AL101" s="92"/>
      <c r="AM101" s="92"/>
      <c r="AN101" s="2969"/>
      <c r="AO101" s="92"/>
      <c r="AP101" s="92"/>
      <c r="AQ101" s="92"/>
      <c r="AR101" s="92"/>
      <c r="AS101" s="92"/>
      <c r="AT101" s="93"/>
      <c r="AU101" s="94"/>
      <c r="AV101" s="3195">
        <f t="shared" si="37"/>
        <v>0</v>
      </c>
      <c r="AW101" s="3195">
        <f t="shared" si="38"/>
        <v>0</v>
      </c>
      <c r="AX101" s="319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ht="14.25" customHeight="1">
      <c r="A102" s="84"/>
      <c r="B102" s="1387"/>
      <c r="C102" s="2963"/>
      <c r="D102" s="2964"/>
      <c r="E102" s="87">
        <f t="shared" si="33"/>
        <v>0</v>
      </c>
      <c r="F102" s="88"/>
      <c r="G102" s="89">
        <f t="shared" si="34"/>
        <v>0</v>
      </c>
      <c r="H102" s="90">
        <f t="shared" si="35"/>
        <v>0</v>
      </c>
      <c r="I102" s="2965"/>
      <c r="J102" s="91"/>
      <c r="K102" s="1390"/>
      <c r="L102" s="91"/>
      <c r="M102" s="91"/>
      <c r="N102" s="91"/>
      <c r="O102" s="91"/>
      <c r="P102" s="91"/>
      <c r="Q102" s="91"/>
      <c r="R102" s="91"/>
      <c r="S102" s="91"/>
      <c r="T102" s="91"/>
      <c r="U102" s="91"/>
      <c r="V102" s="91"/>
      <c r="W102" s="91"/>
      <c r="X102" s="91"/>
      <c r="Y102" s="91"/>
      <c r="Z102" s="91"/>
      <c r="AA102" s="91"/>
      <c r="AB102" s="91"/>
      <c r="AC102" s="87">
        <f t="shared" si="36"/>
        <v>0</v>
      </c>
      <c r="AD102" s="92"/>
      <c r="AE102" s="92"/>
      <c r="AF102" s="2969"/>
      <c r="AG102" s="92"/>
      <c r="AH102" s="92"/>
      <c r="AI102" s="92"/>
      <c r="AJ102" s="92"/>
      <c r="AK102" s="92"/>
      <c r="AL102" s="92"/>
      <c r="AM102" s="92"/>
      <c r="AN102" s="2969"/>
      <c r="AO102" s="92"/>
      <c r="AP102" s="92"/>
      <c r="AQ102" s="92"/>
      <c r="AR102" s="92"/>
      <c r="AS102" s="92"/>
      <c r="AT102" s="93"/>
      <c r="AU102" s="94"/>
      <c r="AV102" s="3195">
        <f t="shared" si="37"/>
        <v>0</v>
      </c>
      <c r="AW102" s="3195">
        <f t="shared" si="38"/>
        <v>0</v>
      </c>
      <c r="AX102" s="319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ht="14.25" customHeight="1">
      <c r="A103" s="84"/>
      <c r="B103" s="1387"/>
      <c r="C103" s="2963"/>
      <c r="D103" s="2964"/>
      <c r="E103" s="87">
        <f t="shared" si="33"/>
        <v>0</v>
      </c>
      <c r="F103" s="88"/>
      <c r="G103" s="89">
        <f t="shared" si="34"/>
        <v>0</v>
      </c>
      <c r="H103" s="90">
        <f t="shared" si="35"/>
        <v>0</v>
      </c>
      <c r="I103" s="2965"/>
      <c r="J103" s="91"/>
      <c r="K103" s="1390"/>
      <c r="L103" s="91"/>
      <c r="M103" s="91"/>
      <c r="N103" s="91"/>
      <c r="O103" s="91"/>
      <c r="P103" s="91"/>
      <c r="Q103" s="91"/>
      <c r="R103" s="91"/>
      <c r="S103" s="91"/>
      <c r="T103" s="91"/>
      <c r="U103" s="91"/>
      <c r="V103" s="91"/>
      <c r="W103" s="91"/>
      <c r="X103" s="91"/>
      <c r="Y103" s="91"/>
      <c r="Z103" s="91"/>
      <c r="AA103" s="91"/>
      <c r="AB103" s="91"/>
      <c r="AC103" s="87">
        <f t="shared" si="36"/>
        <v>0</v>
      </c>
      <c r="AD103" s="92"/>
      <c r="AE103" s="92"/>
      <c r="AF103" s="2969"/>
      <c r="AG103" s="92"/>
      <c r="AH103" s="92"/>
      <c r="AI103" s="92"/>
      <c r="AJ103" s="92"/>
      <c r="AK103" s="92"/>
      <c r="AL103" s="92"/>
      <c r="AM103" s="92"/>
      <c r="AN103" s="2969"/>
      <c r="AO103" s="92"/>
      <c r="AP103" s="92"/>
      <c r="AQ103" s="92"/>
      <c r="AR103" s="92"/>
      <c r="AS103" s="92"/>
      <c r="AT103" s="93"/>
      <c r="AU103" s="94"/>
      <c r="AV103" s="3195">
        <f t="shared" si="37"/>
        <v>0</v>
      </c>
      <c r="AW103" s="3195">
        <f t="shared" si="38"/>
        <v>0</v>
      </c>
      <c r="AX103" s="319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ht="14.25" customHeight="1">
      <c r="A104" s="84"/>
      <c r="B104" s="1387"/>
      <c r="C104" s="2963"/>
      <c r="D104" s="2964"/>
      <c r="E104" s="87">
        <f t="shared" si="33"/>
        <v>0</v>
      </c>
      <c r="F104" s="88"/>
      <c r="G104" s="89">
        <f t="shared" si="34"/>
        <v>0</v>
      </c>
      <c r="H104" s="90">
        <f t="shared" si="35"/>
        <v>0</v>
      </c>
      <c r="I104" s="2965"/>
      <c r="J104" s="91"/>
      <c r="K104" s="1390"/>
      <c r="L104" s="91"/>
      <c r="M104" s="91"/>
      <c r="N104" s="91"/>
      <c r="O104" s="91"/>
      <c r="P104" s="91"/>
      <c r="Q104" s="91"/>
      <c r="R104" s="91"/>
      <c r="S104" s="91"/>
      <c r="T104" s="91"/>
      <c r="U104" s="91"/>
      <c r="V104" s="91"/>
      <c r="W104" s="91"/>
      <c r="X104" s="91"/>
      <c r="Y104" s="91"/>
      <c r="Z104" s="91"/>
      <c r="AA104" s="91"/>
      <c r="AB104" s="91"/>
      <c r="AC104" s="87">
        <f t="shared" si="36"/>
        <v>0</v>
      </c>
      <c r="AD104" s="92"/>
      <c r="AE104" s="92"/>
      <c r="AF104" s="2969"/>
      <c r="AG104" s="92"/>
      <c r="AH104" s="92"/>
      <c r="AI104" s="92"/>
      <c r="AJ104" s="92"/>
      <c r="AK104" s="92"/>
      <c r="AL104" s="92"/>
      <c r="AM104" s="92"/>
      <c r="AN104" s="2969"/>
      <c r="AO104" s="92"/>
      <c r="AP104" s="92"/>
      <c r="AQ104" s="92"/>
      <c r="AR104" s="92"/>
      <c r="AS104" s="92"/>
      <c r="AT104" s="93"/>
      <c r="AU104" s="94"/>
      <c r="AV104" s="3195">
        <f t="shared" si="37"/>
        <v>0</v>
      </c>
      <c r="AW104" s="3195">
        <f t="shared" si="38"/>
        <v>0</v>
      </c>
      <c r="AX104" s="319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ht="14.25" customHeight="1">
      <c r="A105" s="84"/>
      <c r="B105" s="1387"/>
      <c r="C105" s="2963"/>
      <c r="D105" s="2964"/>
      <c r="E105" s="87">
        <f t="shared" si="33"/>
        <v>0</v>
      </c>
      <c r="F105" s="88"/>
      <c r="G105" s="89">
        <f t="shared" si="34"/>
        <v>0</v>
      </c>
      <c r="H105" s="90">
        <f t="shared" si="35"/>
        <v>0</v>
      </c>
      <c r="I105" s="2965"/>
      <c r="J105" s="91"/>
      <c r="K105" s="1390"/>
      <c r="L105" s="91"/>
      <c r="M105" s="91"/>
      <c r="N105" s="91"/>
      <c r="O105" s="91"/>
      <c r="P105" s="91"/>
      <c r="Q105" s="91"/>
      <c r="R105" s="91"/>
      <c r="S105" s="91"/>
      <c r="T105" s="91"/>
      <c r="U105" s="91"/>
      <c r="V105" s="91"/>
      <c r="W105" s="91"/>
      <c r="X105" s="91"/>
      <c r="Y105" s="91"/>
      <c r="Z105" s="91"/>
      <c r="AA105" s="91"/>
      <c r="AB105" s="91"/>
      <c r="AC105" s="87">
        <f t="shared" si="36"/>
        <v>0</v>
      </c>
      <c r="AD105" s="92"/>
      <c r="AE105" s="92"/>
      <c r="AF105" s="2969"/>
      <c r="AG105" s="92"/>
      <c r="AH105" s="92"/>
      <c r="AI105" s="92"/>
      <c r="AJ105" s="92"/>
      <c r="AK105" s="92"/>
      <c r="AL105" s="92"/>
      <c r="AM105" s="92"/>
      <c r="AN105" s="2969"/>
      <c r="AO105" s="92"/>
      <c r="AP105" s="92"/>
      <c r="AQ105" s="92"/>
      <c r="AR105" s="92"/>
      <c r="AS105" s="92"/>
      <c r="AT105" s="93"/>
      <c r="AU105" s="94"/>
      <c r="AV105" s="3195">
        <f t="shared" si="37"/>
        <v>0</v>
      </c>
      <c r="AW105" s="3195">
        <f t="shared" si="38"/>
        <v>0</v>
      </c>
      <c r="AX105" s="319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ht="14.25" customHeight="1">
      <c r="A106" s="84"/>
      <c r="B106" s="1387"/>
      <c r="C106" s="2963"/>
      <c r="D106" s="2964"/>
      <c r="E106" s="87">
        <f t="shared" si="33"/>
        <v>0</v>
      </c>
      <c r="F106" s="88"/>
      <c r="G106" s="89">
        <f t="shared" si="34"/>
        <v>0</v>
      </c>
      <c r="H106" s="90">
        <f t="shared" si="35"/>
        <v>0</v>
      </c>
      <c r="I106" s="2965"/>
      <c r="J106" s="91"/>
      <c r="K106" s="1390"/>
      <c r="L106" s="91"/>
      <c r="M106" s="91"/>
      <c r="N106" s="91"/>
      <c r="O106" s="91"/>
      <c r="P106" s="91"/>
      <c r="Q106" s="91"/>
      <c r="R106" s="91"/>
      <c r="S106" s="91"/>
      <c r="T106" s="91"/>
      <c r="U106" s="91"/>
      <c r="V106" s="91"/>
      <c r="W106" s="91"/>
      <c r="X106" s="91"/>
      <c r="Y106" s="91"/>
      <c r="Z106" s="91"/>
      <c r="AA106" s="91"/>
      <c r="AB106" s="91"/>
      <c r="AC106" s="87">
        <f t="shared" si="36"/>
        <v>0</v>
      </c>
      <c r="AD106" s="92"/>
      <c r="AE106" s="92"/>
      <c r="AF106" s="2969"/>
      <c r="AG106" s="92"/>
      <c r="AH106" s="92"/>
      <c r="AI106" s="92"/>
      <c r="AJ106" s="92"/>
      <c r="AK106" s="92"/>
      <c r="AL106" s="92"/>
      <c r="AM106" s="92"/>
      <c r="AN106" s="2969"/>
      <c r="AO106" s="92"/>
      <c r="AP106" s="92"/>
      <c r="AQ106" s="92"/>
      <c r="AR106" s="92"/>
      <c r="AS106" s="92"/>
      <c r="AT106" s="93"/>
      <c r="AU106" s="94"/>
      <c r="AV106" s="3195">
        <f t="shared" si="37"/>
        <v>0</v>
      </c>
      <c r="AW106" s="3195">
        <f t="shared" si="38"/>
        <v>0</v>
      </c>
      <c r="AX106" s="319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ht="14.25" customHeight="1">
      <c r="A107" s="84"/>
      <c r="B107" s="1387"/>
      <c r="C107" s="2963"/>
      <c r="D107" s="2964"/>
      <c r="E107" s="87">
        <f t="shared" si="33"/>
        <v>0</v>
      </c>
      <c r="F107" s="88"/>
      <c r="G107" s="89">
        <f t="shared" si="34"/>
        <v>0</v>
      </c>
      <c r="H107" s="90">
        <f t="shared" si="35"/>
        <v>0</v>
      </c>
      <c r="I107" s="2965"/>
      <c r="J107" s="91"/>
      <c r="K107" s="1390"/>
      <c r="L107" s="91"/>
      <c r="M107" s="91"/>
      <c r="N107" s="91"/>
      <c r="O107" s="91"/>
      <c r="P107" s="91"/>
      <c r="Q107" s="91"/>
      <c r="R107" s="91"/>
      <c r="S107" s="91"/>
      <c r="T107" s="91"/>
      <c r="U107" s="91"/>
      <c r="V107" s="91"/>
      <c r="W107" s="91"/>
      <c r="X107" s="91"/>
      <c r="Y107" s="91"/>
      <c r="Z107" s="91"/>
      <c r="AA107" s="91"/>
      <c r="AB107" s="91"/>
      <c r="AC107" s="87">
        <f t="shared" si="36"/>
        <v>0</v>
      </c>
      <c r="AD107" s="92"/>
      <c r="AE107" s="92"/>
      <c r="AF107" s="2969"/>
      <c r="AG107" s="92"/>
      <c r="AH107" s="92"/>
      <c r="AI107" s="92"/>
      <c r="AJ107" s="92"/>
      <c r="AK107" s="92"/>
      <c r="AL107" s="92"/>
      <c r="AM107" s="92"/>
      <c r="AN107" s="2969"/>
      <c r="AO107" s="92"/>
      <c r="AP107" s="92"/>
      <c r="AQ107" s="92"/>
      <c r="AR107" s="92"/>
      <c r="AS107" s="92"/>
      <c r="AT107" s="93"/>
      <c r="AU107" s="94"/>
      <c r="AV107" s="3195">
        <f t="shared" si="37"/>
        <v>0</v>
      </c>
      <c r="AW107" s="3195">
        <f t="shared" si="38"/>
        <v>0</v>
      </c>
      <c r="AX107" s="319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ht="14.25" customHeight="1">
      <c r="A108" s="84"/>
      <c r="B108" s="1387"/>
      <c r="C108" s="2963"/>
      <c r="D108" s="2964"/>
      <c r="E108" s="87">
        <f t="shared" si="33"/>
        <v>0</v>
      </c>
      <c r="F108" s="88"/>
      <c r="G108" s="89">
        <f t="shared" si="34"/>
        <v>0</v>
      </c>
      <c r="H108" s="90">
        <f t="shared" si="35"/>
        <v>0</v>
      </c>
      <c r="I108" s="2965"/>
      <c r="J108" s="91"/>
      <c r="K108" s="1390"/>
      <c r="L108" s="91"/>
      <c r="M108" s="91"/>
      <c r="N108" s="91"/>
      <c r="O108" s="91"/>
      <c r="P108" s="91"/>
      <c r="Q108" s="91"/>
      <c r="R108" s="91"/>
      <c r="S108" s="91"/>
      <c r="T108" s="91"/>
      <c r="U108" s="91"/>
      <c r="V108" s="91"/>
      <c r="W108" s="91"/>
      <c r="X108" s="91"/>
      <c r="Y108" s="91"/>
      <c r="Z108" s="91"/>
      <c r="AA108" s="91"/>
      <c r="AB108" s="91"/>
      <c r="AC108" s="87">
        <f t="shared" si="36"/>
        <v>0</v>
      </c>
      <c r="AD108" s="92"/>
      <c r="AE108" s="92"/>
      <c r="AF108" s="2969"/>
      <c r="AG108" s="92"/>
      <c r="AH108" s="92"/>
      <c r="AI108" s="92"/>
      <c r="AJ108" s="92"/>
      <c r="AK108" s="92"/>
      <c r="AL108" s="92"/>
      <c r="AM108" s="92"/>
      <c r="AN108" s="2969"/>
      <c r="AO108" s="92"/>
      <c r="AP108" s="92"/>
      <c r="AQ108" s="92"/>
      <c r="AR108" s="92"/>
      <c r="AS108" s="92"/>
      <c r="AT108" s="93"/>
      <c r="AU108" s="94"/>
      <c r="AV108" s="3195">
        <f t="shared" si="37"/>
        <v>0</v>
      </c>
      <c r="AW108" s="3195">
        <f t="shared" si="38"/>
        <v>0</v>
      </c>
      <c r="AX108" s="319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ht="14.25" customHeight="1">
      <c r="A109" s="84"/>
      <c r="B109" s="1387"/>
      <c r="C109" s="2963"/>
      <c r="D109" s="2964"/>
      <c r="E109" s="87">
        <f t="shared" si="33"/>
        <v>0</v>
      </c>
      <c r="F109" s="88"/>
      <c r="G109" s="89">
        <f t="shared" si="34"/>
        <v>0</v>
      </c>
      <c r="H109" s="90">
        <f t="shared" si="35"/>
        <v>0</v>
      </c>
      <c r="I109" s="2965"/>
      <c r="J109" s="91"/>
      <c r="K109" s="1390"/>
      <c r="L109" s="91"/>
      <c r="M109" s="91"/>
      <c r="N109" s="91"/>
      <c r="O109" s="91"/>
      <c r="P109" s="91"/>
      <c r="Q109" s="91"/>
      <c r="R109" s="91"/>
      <c r="S109" s="91"/>
      <c r="T109" s="91"/>
      <c r="U109" s="91"/>
      <c r="V109" s="91"/>
      <c r="W109" s="91"/>
      <c r="X109" s="91"/>
      <c r="Y109" s="91"/>
      <c r="Z109" s="91"/>
      <c r="AA109" s="91"/>
      <c r="AB109" s="91"/>
      <c r="AC109" s="87">
        <f t="shared" si="36"/>
        <v>0</v>
      </c>
      <c r="AD109" s="92"/>
      <c r="AE109" s="92"/>
      <c r="AF109" s="2969"/>
      <c r="AG109" s="92"/>
      <c r="AH109" s="92"/>
      <c r="AI109" s="92"/>
      <c r="AJ109" s="92"/>
      <c r="AK109" s="92"/>
      <c r="AL109" s="92"/>
      <c r="AM109" s="92"/>
      <c r="AN109" s="2969"/>
      <c r="AO109" s="92"/>
      <c r="AP109" s="92"/>
      <c r="AQ109" s="92"/>
      <c r="AR109" s="92"/>
      <c r="AS109" s="92"/>
      <c r="AT109" s="93"/>
      <c r="AU109" s="94"/>
      <c r="AV109" s="3195">
        <f t="shared" si="37"/>
        <v>0</v>
      </c>
      <c r="AW109" s="3195">
        <f t="shared" si="38"/>
        <v>0</v>
      </c>
      <c r="AX109" s="319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ht="14.25" customHeight="1">
      <c r="A110" s="84"/>
      <c r="B110" s="1387"/>
      <c r="C110" s="2963"/>
      <c r="D110" s="2964"/>
      <c r="E110" s="87">
        <f t="shared" si="33"/>
        <v>0</v>
      </c>
      <c r="F110" s="88"/>
      <c r="G110" s="89">
        <f t="shared" ref="G110:G141" si="62">H110+AC110+AT110</f>
        <v>0</v>
      </c>
      <c r="H110" s="90">
        <f t="shared" ref="H110:H141" si="63">SUMIF(I$12:AB$12,"总值",I110:AB110)</f>
        <v>0</v>
      </c>
      <c r="I110" s="2965"/>
      <c r="J110" s="91"/>
      <c r="K110" s="1390"/>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2969"/>
      <c r="AG110" s="92"/>
      <c r="AH110" s="92"/>
      <c r="AI110" s="92"/>
      <c r="AJ110" s="92"/>
      <c r="AK110" s="92"/>
      <c r="AL110" s="92"/>
      <c r="AM110" s="92"/>
      <c r="AN110" s="2969"/>
      <c r="AO110" s="92"/>
      <c r="AP110" s="92"/>
      <c r="AQ110" s="92"/>
      <c r="AR110" s="92"/>
      <c r="AS110" s="92"/>
      <c r="AT110" s="93"/>
      <c r="AU110" s="94"/>
      <c r="AV110" s="3195">
        <f t="shared" si="37"/>
        <v>0</v>
      </c>
      <c r="AW110" s="3195">
        <f t="shared" si="38"/>
        <v>0</v>
      </c>
      <c r="AX110" s="319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ht="14.25" customHeight="1">
      <c r="A111" s="84"/>
      <c r="B111" s="1387"/>
      <c r="C111" s="2963"/>
      <c r="D111" s="2964"/>
      <c r="E111" s="87">
        <f t="shared" si="33"/>
        <v>0</v>
      </c>
      <c r="F111" s="88"/>
      <c r="G111" s="89">
        <f t="shared" si="62"/>
        <v>0</v>
      </c>
      <c r="H111" s="90">
        <f t="shared" si="63"/>
        <v>0</v>
      </c>
      <c r="I111" s="2965"/>
      <c r="J111" s="91"/>
      <c r="K111" s="1390"/>
      <c r="L111" s="91"/>
      <c r="M111" s="91"/>
      <c r="N111" s="91"/>
      <c r="O111" s="91"/>
      <c r="P111" s="91"/>
      <c r="Q111" s="91"/>
      <c r="R111" s="91"/>
      <c r="S111" s="91"/>
      <c r="T111" s="91"/>
      <c r="U111" s="91"/>
      <c r="V111" s="91"/>
      <c r="W111" s="91"/>
      <c r="X111" s="91"/>
      <c r="Y111" s="91"/>
      <c r="Z111" s="91"/>
      <c r="AA111" s="91"/>
      <c r="AB111" s="91"/>
      <c r="AC111" s="87">
        <f t="shared" si="64"/>
        <v>0</v>
      </c>
      <c r="AD111" s="92"/>
      <c r="AE111" s="92"/>
      <c r="AF111" s="2969"/>
      <c r="AG111" s="92"/>
      <c r="AH111" s="92"/>
      <c r="AI111" s="92"/>
      <c r="AJ111" s="92"/>
      <c r="AK111" s="92"/>
      <c r="AL111" s="92"/>
      <c r="AM111" s="92"/>
      <c r="AN111" s="2969"/>
      <c r="AO111" s="92"/>
      <c r="AP111" s="92"/>
      <c r="AQ111" s="92"/>
      <c r="AR111" s="92"/>
      <c r="AS111" s="92"/>
      <c r="AT111" s="93"/>
      <c r="AU111" s="94"/>
      <c r="AV111" s="3195">
        <f t="shared" si="37"/>
        <v>0</v>
      </c>
      <c r="AW111" s="3195">
        <f t="shared" si="38"/>
        <v>0</v>
      </c>
      <c r="AX111" s="319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ht="14.25" customHeight="1">
      <c r="A112" s="84"/>
      <c r="B112" s="1387"/>
      <c r="C112" s="2963"/>
      <c r="D112" s="2964"/>
      <c r="E112" s="87">
        <f t="shared" si="33"/>
        <v>0</v>
      </c>
      <c r="F112" s="88"/>
      <c r="G112" s="89">
        <f t="shared" si="62"/>
        <v>0</v>
      </c>
      <c r="H112" s="90">
        <f t="shared" si="63"/>
        <v>0</v>
      </c>
      <c r="I112" s="2965"/>
      <c r="J112" s="91"/>
      <c r="K112" s="1390"/>
      <c r="L112" s="91"/>
      <c r="M112" s="91"/>
      <c r="N112" s="91"/>
      <c r="O112" s="91"/>
      <c r="P112" s="91"/>
      <c r="Q112" s="91"/>
      <c r="R112" s="91"/>
      <c r="S112" s="91"/>
      <c r="T112" s="91"/>
      <c r="U112" s="91"/>
      <c r="V112" s="91"/>
      <c r="W112" s="91"/>
      <c r="X112" s="91"/>
      <c r="Y112" s="91"/>
      <c r="Z112" s="91"/>
      <c r="AA112" s="91"/>
      <c r="AB112" s="91"/>
      <c r="AC112" s="87">
        <f t="shared" si="64"/>
        <v>0</v>
      </c>
      <c r="AD112" s="92"/>
      <c r="AE112" s="92"/>
      <c r="AF112" s="2969"/>
      <c r="AG112" s="92"/>
      <c r="AH112" s="92"/>
      <c r="AI112" s="92"/>
      <c r="AJ112" s="92"/>
      <c r="AK112" s="92"/>
      <c r="AL112" s="92"/>
      <c r="AM112" s="92"/>
      <c r="AN112" s="2969"/>
      <c r="AO112" s="92"/>
      <c r="AP112" s="92"/>
      <c r="AQ112" s="92"/>
      <c r="AR112" s="92"/>
      <c r="AS112" s="92"/>
      <c r="AT112" s="93"/>
      <c r="AU112" s="94"/>
      <c r="AV112" s="3195">
        <f t="shared" si="37"/>
        <v>0</v>
      </c>
      <c r="AW112" s="3195">
        <f t="shared" si="38"/>
        <v>0</v>
      </c>
      <c r="AX112" s="319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4.25" customHeight="1">
      <c r="A113" s="84"/>
      <c r="B113" s="1387"/>
      <c r="C113" s="2963"/>
      <c r="D113" s="2964"/>
      <c r="E113" s="87">
        <f t="shared" ref="E113:E144" si="87">IF($C$3="是",ROUND($A$3*G113/$B$3,2),ROUND($A$3*(G113-AT113)/$B$3,2))</f>
        <v>0</v>
      </c>
      <c r="F113" s="88"/>
      <c r="G113" s="89">
        <f t="shared" si="62"/>
        <v>0</v>
      </c>
      <c r="H113" s="90">
        <f t="shared" si="63"/>
        <v>0</v>
      </c>
      <c r="I113" s="2965"/>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2969"/>
      <c r="AG113" s="92"/>
      <c r="AH113" s="92"/>
      <c r="AI113" s="92"/>
      <c r="AJ113" s="92"/>
      <c r="AK113" s="92"/>
      <c r="AL113" s="92"/>
      <c r="AM113" s="92"/>
      <c r="AN113" s="2969"/>
      <c r="AO113" s="92"/>
      <c r="AP113" s="92"/>
      <c r="AQ113" s="92"/>
      <c r="AR113" s="92"/>
      <c r="AS113" s="92"/>
      <c r="AT113" s="93"/>
      <c r="AU113" s="94"/>
      <c r="AV113" s="3195">
        <f t="shared" ref="AV113:AV144" si="88">A113</f>
        <v>0</v>
      </c>
      <c r="AW113" s="3195">
        <f t="shared" ref="AW113:AW144" si="89">B113</f>
        <v>0</v>
      </c>
      <c r="AX113" s="319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4.25" customHeight="1">
      <c r="A114" s="84"/>
      <c r="B114" s="1387"/>
      <c r="C114" s="2963"/>
      <c r="D114" s="2964"/>
      <c r="E114" s="87">
        <f t="shared" si="87"/>
        <v>0</v>
      </c>
      <c r="F114" s="88"/>
      <c r="G114" s="89">
        <f t="shared" si="62"/>
        <v>0</v>
      </c>
      <c r="H114" s="90">
        <f t="shared" si="63"/>
        <v>0</v>
      </c>
      <c r="I114" s="2965"/>
      <c r="J114" s="91"/>
      <c r="K114" s="1390"/>
      <c r="L114" s="91"/>
      <c r="M114" s="91"/>
      <c r="N114" s="91"/>
      <c r="O114" s="91"/>
      <c r="P114" s="91"/>
      <c r="Q114" s="91"/>
      <c r="R114" s="91"/>
      <c r="S114" s="91"/>
      <c r="T114" s="91"/>
      <c r="U114" s="91"/>
      <c r="V114" s="91"/>
      <c r="W114" s="91"/>
      <c r="X114" s="91"/>
      <c r="Y114" s="91"/>
      <c r="Z114" s="91"/>
      <c r="AA114" s="91"/>
      <c r="AB114" s="91"/>
      <c r="AC114" s="87">
        <f t="shared" si="64"/>
        <v>0</v>
      </c>
      <c r="AD114" s="92"/>
      <c r="AE114" s="92"/>
      <c r="AF114" s="2969"/>
      <c r="AG114" s="92"/>
      <c r="AH114" s="92"/>
      <c r="AI114" s="92"/>
      <c r="AJ114" s="92"/>
      <c r="AK114" s="92"/>
      <c r="AL114" s="92"/>
      <c r="AM114" s="92"/>
      <c r="AN114" s="2969"/>
      <c r="AO114" s="92"/>
      <c r="AP114" s="92"/>
      <c r="AQ114" s="92"/>
      <c r="AR114" s="92"/>
      <c r="AS114" s="92"/>
      <c r="AT114" s="93"/>
      <c r="AU114" s="94"/>
      <c r="AV114" s="3195">
        <f t="shared" si="88"/>
        <v>0</v>
      </c>
      <c r="AW114" s="3195">
        <f t="shared" si="89"/>
        <v>0</v>
      </c>
      <c r="AX114" s="319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4.25" customHeight="1">
      <c r="A115" s="84"/>
      <c r="B115" s="1387"/>
      <c r="C115" s="2963"/>
      <c r="D115" s="2964"/>
      <c r="E115" s="87">
        <f t="shared" si="87"/>
        <v>0</v>
      </c>
      <c r="F115" s="88"/>
      <c r="G115" s="89">
        <f t="shared" si="62"/>
        <v>0</v>
      </c>
      <c r="H115" s="90">
        <f t="shared" si="63"/>
        <v>0</v>
      </c>
      <c r="I115" s="2965"/>
      <c r="J115" s="91"/>
      <c r="K115" s="1390"/>
      <c r="L115" s="91"/>
      <c r="M115" s="91"/>
      <c r="N115" s="91"/>
      <c r="O115" s="91"/>
      <c r="P115" s="91"/>
      <c r="Q115" s="91"/>
      <c r="R115" s="91"/>
      <c r="S115" s="91"/>
      <c r="T115" s="91"/>
      <c r="U115" s="91"/>
      <c r="V115" s="91"/>
      <c r="W115" s="91"/>
      <c r="X115" s="91"/>
      <c r="Y115" s="91"/>
      <c r="Z115" s="91"/>
      <c r="AA115" s="91"/>
      <c r="AB115" s="91"/>
      <c r="AC115" s="87">
        <f t="shared" si="64"/>
        <v>0</v>
      </c>
      <c r="AD115" s="92"/>
      <c r="AE115" s="92"/>
      <c r="AF115" s="2969"/>
      <c r="AG115" s="92"/>
      <c r="AH115" s="92"/>
      <c r="AI115" s="92"/>
      <c r="AJ115" s="92"/>
      <c r="AK115" s="92"/>
      <c r="AL115" s="92"/>
      <c r="AM115" s="92"/>
      <c r="AN115" s="2969"/>
      <c r="AO115" s="92"/>
      <c r="AP115" s="92"/>
      <c r="AQ115" s="92"/>
      <c r="AR115" s="92"/>
      <c r="AS115" s="92"/>
      <c r="AT115" s="93"/>
      <c r="AU115" s="94"/>
      <c r="AV115" s="3195">
        <f t="shared" si="88"/>
        <v>0</v>
      </c>
      <c r="AW115" s="3195">
        <f t="shared" si="89"/>
        <v>0</v>
      </c>
      <c r="AX115" s="319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4.25" customHeight="1">
      <c r="A116" s="84"/>
      <c r="B116" s="1387"/>
      <c r="C116" s="2963"/>
      <c r="D116" s="2964"/>
      <c r="E116" s="87">
        <f t="shared" si="87"/>
        <v>0</v>
      </c>
      <c r="F116" s="88"/>
      <c r="G116" s="89">
        <f t="shared" si="62"/>
        <v>0</v>
      </c>
      <c r="H116" s="90">
        <f t="shared" si="63"/>
        <v>0</v>
      </c>
      <c r="I116" s="2965"/>
      <c r="J116" s="91"/>
      <c r="K116" s="1390"/>
      <c r="L116" s="91"/>
      <c r="M116" s="91"/>
      <c r="N116" s="91"/>
      <c r="O116" s="91"/>
      <c r="P116" s="91"/>
      <c r="Q116" s="91"/>
      <c r="R116" s="91"/>
      <c r="S116" s="91"/>
      <c r="T116" s="91"/>
      <c r="U116" s="91"/>
      <c r="V116" s="91"/>
      <c r="W116" s="91"/>
      <c r="X116" s="91"/>
      <c r="Y116" s="91"/>
      <c r="Z116" s="91"/>
      <c r="AA116" s="91"/>
      <c r="AB116" s="91"/>
      <c r="AC116" s="87">
        <f t="shared" si="64"/>
        <v>0</v>
      </c>
      <c r="AD116" s="92"/>
      <c r="AE116" s="92"/>
      <c r="AF116" s="2969"/>
      <c r="AG116" s="92"/>
      <c r="AH116" s="92"/>
      <c r="AI116" s="92"/>
      <c r="AJ116" s="92"/>
      <c r="AK116" s="92"/>
      <c r="AL116" s="92"/>
      <c r="AM116" s="92"/>
      <c r="AN116" s="2969"/>
      <c r="AO116" s="92"/>
      <c r="AP116" s="92"/>
      <c r="AQ116" s="92"/>
      <c r="AR116" s="92"/>
      <c r="AS116" s="92"/>
      <c r="AT116" s="93"/>
      <c r="AU116" s="94"/>
      <c r="AV116" s="3195">
        <f t="shared" si="88"/>
        <v>0</v>
      </c>
      <c r="AW116" s="3195">
        <f t="shared" si="89"/>
        <v>0</v>
      </c>
      <c r="AX116" s="319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4.25" customHeight="1">
      <c r="A117" s="84"/>
      <c r="B117" s="1387"/>
      <c r="C117" s="2963"/>
      <c r="D117" s="2964"/>
      <c r="E117" s="87">
        <f t="shared" si="87"/>
        <v>0</v>
      </c>
      <c r="F117" s="88"/>
      <c r="G117" s="89">
        <f t="shared" si="62"/>
        <v>0</v>
      </c>
      <c r="H117" s="90">
        <f t="shared" si="63"/>
        <v>0</v>
      </c>
      <c r="I117" s="2965"/>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2969"/>
      <c r="AG117" s="92"/>
      <c r="AH117" s="92"/>
      <c r="AI117" s="92"/>
      <c r="AJ117" s="92"/>
      <c r="AK117" s="92"/>
      <c r="AL117" s="92"/>
      <c r="AM117" s="92"/>
      <c r="AN117" s="2969"/>
      <c r="AO117" s="92"/>
      <c r="AP117" s="92"/>
      <c r="AQ117" s="92"/>
      <c r="AR117" s="92"/>
      <c r="AS117" s="92"/>
      <c r="AT117" s="93"/>
      <c r="AU117" s="94"/>
      <c r="AV117" s="3195">
        <f t="shared" si="88"/>
        <v>0</v>
      </c>
      <c r="AW117" s="3195">
        <f t="shared" si="89"/>
        <v>0</v>
      </c>
      <c r="AX117" s="319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28.5">
      <c r="A3" s="3309"/>
      <c r="B3" s="3309"/>
      <c r="C3" s="3309"/>
      <c r="D3" s="3310"/>
      <c r="E3" s="33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60"/>
  <sheetViews>
    <sheetView topLeftCell="A34" zoomScale="70" zoomScaleNormal="70" workbookViewId="0">
      <selection activeCell="O58" sqref="O58"/>
    </sheetView>
  </sheetViews>
  <sheetFormatPr defaultRowHeight="13.5"/>
  <cols>
    <col min="1" max="1" width="5" customWidth="1"/>
    <col min="2" max="2" width="10.75" customWidth="1"/>
    <col min="7" max="7" width="10.5" bestFit="1" customWidth="1"/>
    <col min="12" max="12" width="9" style="3215"/>
  </cols>
  <sheetData>
    <row r="4" spans="1:12">
      <c r="A4" s="3311" t="s">
        <v>3244</v>
      </c>
      <c r="B4" s="3311" t="s">
        <v>3243</v>
      </c>
      <c r="C4" s="3311" t="s">
        <v>3186</v>
      </c>
      <c r="D4" s="3311"/>
      <c r="E4" s="3311"/>
      <c r="F4" s="3311"/>
      <c r="G4" s="3311"/>
      <c r="H4" s="3311"/>
      <c r="I4" s="3311"/>
      <c r="J4" s="3311"/>
      <c r="K4" s="3311"/>
    </row>
    <row r="5" spans="1:12">
      <c r="A5" s="3311"/>
      <c r="B5" s="3311"/>
      <c r="C5" s="3311" t="s">
        <v>3245</v>
      </c>
      <c r="D5" s="3311" t="s">
        <v>3247</v>
      </c>
      <c r="E5" s="3311"/>
      <c r="F5" s="3311"/>
      <c r="G5" s="3311"/>
      <c r="H5" s="3311" t="s">
        <v>3248</v>
      </c>
      <c r="I5" s="3311"/>
      <c r="J5" s="3311"/>
      <c r="K5" s="3311"/>
    </row>
    <row r="6" spans="1:12">
      <c r="A6" s="3311"/>
      <c r="B6" s="3311"/>
      <c r="C6" s="3311"/>
      <c r="D6" s="3217" t="s">
        <v>3246</v>
      </c>
      <c r="E6" s="3217" t="s">
        <v>3187</v>
      </c>
      <c r="F6" s="3217" t="s">
        <v>3241</v>
      </c>
      <c r="G6" s="3217" t="s">
        <v>3240</v>
      </c>
      <c r="H6" s="3217" t="s">
        <v>3246</v>
      </c>
      <c r="I6" s="3217" t="s">
        <v>3249</v>
      </c>
      <c r="J6" s="3217" t="s">
        <v>3253</v>
      </c>
      <c r="K6" s="3217" t="s">
        <v>3239</v>
      </c>
      <c r="L6" s="3216" t="s">
        <v>3197</v>
      </c>
    </row>
    <row r="7" spans="1:12">
      <c r="A7" s="3219">
        <v>1</v>
      </c>
      <c r="B7" s="3220" t="s">
        <v>3185</v>
      </c>
      <c r="C7" s="3219">
        <f>H7+D7</f>
        <v>7226.18</v>
      </c>
      <c r="D7" s="3219">
        <f>SUM(E7:G7)</f>
        <v>5630.51</v>
      </c>
      <c r="E7" s="3219">
        <v>5630.51</v>
      </c>
      <c r="F7" s="3219"/>
      <c r="G7" s="3219"/>
      <c r="H7" s="3219">
        <f>SUM(I7:K7)</f>
        <v>1595.67</v>
      </c>
      <c r="I7" s="3219">
        <v>1595.67</v>
      </c>
      <c r="J7" s="3219"/>
      <c r="K7" s="3219"/>
    </row>
    <row r="8" spans="1:12">
      <c r="A8" s="3219">
        <v>2</v>
      </c>
      <c r="B8" s="3220" t="s">
        <v>3188</v>
      </c>
      <c r="C8" s="3219">
        <f t="shared" ref="C8:C57" si="0">H8+D8</f>
        <v>5045.3900000000003</v>
      </c>
      <c r="D8" s="3219">
        <f t="shared" ref="D8:D57" si="1">SUM(E8:G8)</f>
        <v>3854.65</v>
      </c>
      <c r="E8" s="3219">
        <v>3854.65</v>
      </c>
      <c r="F8" s="3219"/>
      <c r="G8" s="3219"/>
      <c r="H8" s="3219">
        <f t="shared" ref="H8:H57" si="2">SUM(I8:K8)</f>
        <v>1190.74</v>
      </c>
      <c r="I8" s="3219">
        <v>1190.74</v>
      </c>
      <c r="J8" s="3219"/>
      <c r="K8" s="3219"/>
    </row>
    <row r="9" spans="1:12">
      <c r="A9" s="3219">
        <v>3</v>
      </c>
      <c r="B9" s="3220" t="s">
        <v>3189</v>
      </c>
      <c r="C9" s="3219">
        <f t="shared" si="0"/>
        <v>4984.7800000000007</v>
      </c>
      <c r="D9" s="3219">
        <f t="shared" si="1"/>
        <v>3854.65</v>
      </c>
      <c r="E9" s="3219">
        <v>3854.65</v>
      </c>
      <c r="F9" s="3219"/>
      <c r="G9" s="3219"/>
      <c r="H9" s="3219">
        <f t="shared" si="2"/>
        <v>1130.1300000000001</v>
      </c>
      <c r="I9" s="3219">
        <v>1130.1300000000001</v>
      </c>
      <c r="J9" s="3219"/>
      <c r="K9" s="3219"/>
    </row>
    <row r="10" spans="1:12">
      <c r="A10" s="3219">
        <v>4</v>
      </c>
      <c r="B10" s="3220" t="s">
        <v>3190</v>
      </c>
      <c r="C10" s="3219">
        <f t="shared" si="0"/>
        <v>7227.1</v>
      </c>
      <c r="D10" s="3219">
        <f t="shared" si="1"/>
        <v>5630.51</v>
      </c>
      <c r="E10" s="3219">
        <v>5630.51</v>
      </c>
      <c r="F10" s="3219"/>
      <c r="G10" s="3219"/>
      <c r="H10" s="3219">
        <f t="shared" si="2"/>
        <v>1596.59</v>
      </c>
      <c r="I10" s="3219">
        <v>1596.59</v>
      </c>
      <c r="J10" s="3219"/>
      <c r="K10" s="3219"/>
    </row>
    <row r="11" spans="1:12">
      <c r="A11" s="3219">
        <v>5</v>
      </c>
      <c r="B11" s="3220" t="s">
        <v>3191</v>
      </c>
      <c r="C11" s="3219">
        <f t="shared" si="0"/>
        <v>12233.029999999999</v>
      </c>
      <c r="D11" s="3219">
        <f t="shared" si="1"/>
        <v>10453.16</v>
      </c>
      <c r="E11" s="3219">
        <v>10453.16</v>
      </c>
      <c r="F11" s="3219"/>
      <c r="G11" s="3219"/>
      <c r="H11" s="3219">
        <f t="shared" si="2"/>
        <v>1779.87</v>
      </c>
      <c r="I11" s="3219">
        <v>1779.87</v>
      </c>
      <c r="J11" s="3219"/>
      <c r="K11" s="3219"/>
    </row>
    <row r="12" spans="1:12">
      <c r="A12" s="3219">
        <v>6</v>
      </c>
      <c r="B12" s="3220" t="s">
        <v>3192</v>
      </c>
      <c r="C12" s="3219">
        <f t="shared" si="0"/>
        <v>6678.85</v>
      </c>
      <c r="D12" s="3219">
        <f t="shared" si="1"/>
        <v>5551.85</v>
      </c>
      <c r="E12" s="3219">
        <v>5551.85</v>
      </c>
      <c r="F12" s="3219"/>
      <c r="G12" s="3219"/>
      <c r="H12" s="3219">
        <f t="shared" si="2"/>
        <v>1127</v>
      </c>
      <c r="I12" s="3219">
        <v>1127</v>
      </c>
      <c r="J12" s="3219"/>
      <c r="K12" s="3219"/>
    </row>
    <row r="13" spans="1:12">
      <c r="A13" s="3219">
        <v>7</v>
      </c>
      <c r="B13" s="3220" t="s">
        <v>3193</v>
      </c>
      <c r="C13" s="3219">
        <f t="shared" si="0"/>
        <v>6754.53</v>
      </c>
      <c r="D13" s="3219">
        <f t="shared" si="1"/>
        <v>5554.82</v>
      </c>
      <c r="E13" s="3219">
        <v>5554.82</v>
      </c>
      <c r="F13" s="3219"/>
      <c r="G13" s="3219"/>
      <c r="H13" s="3219">
        <f t="shared" si="2"/>
        <v>1199.71</v>
      </c>
      <c r="I13" s="3219">
        <v>1199.71</v>
      </c>
      <c r="J13" s="3219"/>
      <c r="K13" s="3219"/>
    </row>
    <row r="14" spans="1:12">
      <c r="A14" s="3219">
        <v>8</v>
      </c>
      <c r="B14" s="3220" t="s">
        <v>3194</v>
      </c>
      <c r="C14" s="3219">
        <f t="shared" si="0"/>
        <v>12034.06</v>
      </c>
      <c r="D14" s="3219">
        <f t="shared" si="1"/>
        <v>10270.299999999999</v>
      </c>
      <c r="E14" s="3219">
        <v>10270.299999999999</v>
      </c>
      <c r="F14" s="3219"/>
      <c r="G14" s="3219"/>
      <c r="H14" s="3219">
        <f t="shared" si="2"/>
        <v>1763.76</v>
      </c>
      <c r="I14" s="3219">
        <v>1748.62</v>
      </c>
      <c r="J14" s="3219">
        <v>15.14</v>
      </c>
      <c r="K14" s="3219"/>
    </row>
    <row r="15" spans="1:12">
      <c r="A15" s="3219">
        <v>9</v>
      </c>
      <c r="B15" s="3220" t="s">
        <v>3195</v>
      </c>
      <c r="C15" s="3219">
        <f t="shared" si="0"/>
        <v>10946.43</v>
      </c>
      <c r="D15" s="3219">
        <f t="shared" si="1"/>
        <v>9436.25</v>
      </c>
      <c r="E15" s="3219">
        <v>9436.25</v>
      </c>
      <c r="F15" s="3219"/>
      <c r="G15" s="3219"/>
      <c r="H15" s="3219">
        <f t="shared" si="2"/>
        <v>1510.18</v>
      </c>
      <c r="I15" s="3219">
        <v>1495.04</v>
      </c>
      <c r="J15" s="3219">
        <v>15.14</v>
      </c>
      <c r="K15" s="3219"/>
    </row>
    <row r="16" spans="1:12">
      <c r="A16" s="3219">
        <v>10</v>
      </c>
      <c r="B16" s="3220" t="s">
        <v>3196</v>
      </c>
      <c r="C16" s="3219">
        <f t="shared" si="0"/>
        <v>6751.92</v>
      </c>
      <c r="D16" s="3219">
        <f t="shared" si="1"/>
        <v>5554.32</v>
      </c>
      <c r="E16" s="3219">
        <v>5554.32</v>
      </c>
      <c r="F16" s="3219"/>
      <c r="G16" s="3219"/>
      <c r="H16" s="3219">
        <f t="shared" si="2"/>
        <v>1197.5999999999999</v>
      </c>
      <c r="I16" s="3219">
        <v>1197.5999999999999</v>
      </c>
      <c r="J16" s="3219"/>
      <c r="K16" s="3219"/>
      <c r="L16" s="3215">
        <v>14.5</v>
      </c>
    </row>
    <row r="17" spans="1:12">
      <c r="A17" s="3219">
        <v>11</v>
      </c>
      <c r="B17" s="3220" t="s">
        <v>3198</v>
      </c>
      <c r="C17" s="3219">
        <f t="shared" si="0"/>
        <v>6621.9599999999991</v>
      </c>
      <c r="D17" s="3219">
        <f t="shared" si="1"/>
        <v>5551.86</v>
      </c>
      <c r="E17" s="3219">
        <v>5551.86</v>
      </c>
      <c r="F17" s="3219"/>
      <c r="G17" s="3219"/>
      <c r="H17" s="3219">
        <f t="shared" si="2"/>
        <v>1070.0999999999999</v>
      </c>
      <c r="I17" s="3219">
        <v>1070.0999999999999</v>
      </c>
      <c r="J17" s="3219"/>
      <c r="K17" s="3219"/>
    </row>
    <row r="18" spans="1:12">
      <c r="A18" s="3219">
        <v>12</v>
      </c>
      <c r="B18" s="3220" t="s">
        <v>3199</v>
      </c>
      <c r="C18" s="3219">
        <f t="shared" si="0"/>
        <v>11580.58</v>
      </c>
      <c r="D18" s="3219">
        <f t="shared" si="1"/>
        <v>10468.11</v>
      </c>
      <c r="E18" s="3219">
        <v>10468.11</v>
      </c>
      <c r="F18" s="3219"/>
      <c r="G18" s="3219"/>
      <c r="H18" s="3219">
        <f t="shared" si="2"/>
        <v>1112.47</v>
      </c>
      <c r="I18" s="3219">
        <v>1112.47</v>
      </c>
      <c r="J18" s="3219"/>
      <c r="K18" s="3219"/>
    </row>
    <row r="19" spans="1:12">
      <c r="A19" s="3219">
        <v>13</v>
      </c>
      <c r="B19" s="3220" t="s">
        <v>3200</v>
      </c>
      <c r="C19" s="3219">
        <f t="shared" si="0"/>
        <v>9136.9700000000012</v>
      </c>
      <c r="D19" s="3219">
        <f t="shared" si="1"/>
        <v>8020.13</v>
      </c>
      <c r="E19" s="3219">
        <v>8020.13</v>
      </c>
      <c r="F19" s="3219"/>
      <c r="G19" s="3219"/>
      <c r="H19" s="3219">
        <f t="shared" si="2"/>
        <v>1116.8400000000001</v>
      </c>
      <c r="I19" s="3219">
        <v>1054.17</v>
      </c>
      <c r="J19" s="3219">
        <v>62.67</v>
      </c>
      <c r="K19" s="3219"/>
    </row>
    <row r="20" spans="1:12">
      <c r="A20" s="3219">
        <v>14</v>
      </c>
      <c r="B20" s="3220" t="s">
        <v>3201</v>
      </c>
      <c r="C20" s="3219">
        <f t="shared" si="0"/>
        <v>7587.04</v>
      </c>
      <c r="D20" s="3219">
        <f t="shared" si="1"/>
        <v>6183.13</v>
      </c>
      <c r="E20" s="3219">
        <v>6183.13</v>
      </c>
      <c r="F20" s="3219"/>
      <c r="G20" s="3219"/>
      <c r="H20" s="3219">
        <f t="shared" si="2"/>
        <v>1403.91</v>
      </c>
      <c r="I20" s="3219">
        <v>1403.91</v>
      </c>
      <c r="J20" s="3219"/>
      <c r="K20" s="3219"/>
    </row>
    <row r="21" spans="1:12">
      <c r="A21" s="3219">
        <v>15</v>
      </c>
      <c r="B21" s="3220" t="s">
        <v>3202</v>
      </c>
      <c r="C21" s="3219">
        <f t="shared" si="0"/>
        <v>6127.79</v>
      </c>
      <c r="D21" s="3219">
        <f t="shared" si="1"/>
        <v>4940.17</v>
      </c>
      <c r="E21" s="3219">
        <v>4940.17</v>
      </c>
      <c r="F21" s="3219"/>
      <c r="G21" s="3219"/>
      <c r="H21" s="3219">
        <f t="shared" si="2"/>
        <v>1187.6199999999999</v>
      </c>
      <c r="I21" s="3219">
        <v>1187.6199999999999</v>
      </c>
      <c r="J21" s="3219"/>
      <c r="K21" s="3219"/>
    </row>
    <row r="22" spans="1:12">
      <c r="A22" s="3219">
        <v>16</v>
      </c>
      <c r="B22" s="3220" t="s">
        <v>3203</v>
      </c>
      <c r="C22" s="3219">
        <f t="shared" si="0"/>
        <v>9347.92</v>
      </c>
      <c r="D22" s="3219">
        <f t="shared" si="1"/>
        <v>7635.98</v>
      </c>
      <c r="E22" s="3219">
        <v>7635.98</v>
      </c>
      <c r="F22" s="3219"/>
      <c r="G22" s="3219"/>
      <c r="H22" s="3219">
        <f t="shared" si="2"/>
        <v>1711.94</v>
      </c>
      <c r="I22" s="3219">
        <v>1090.3</v>
      </c>
      <c r="J22" s="3221">
        <f>531.59+49+41.05</f>
        <v>621.64</v>
      </c>
      <c r="K22" s="3219"/>
    </row>
    <row r="23" spans="1:12">
      <c r="A23" s="3219">
        <v>17</v>
      </c>
      <c r="B23" s="3220" t="s">
        <v>3204</v>
      </c>
      <c r="C23" s="3219">
        <f t="shared" si="0"/>
        <v>2333.02</v>
      </c>
      <c r="D23" s="3219">
        <f t="shared" si="1"/>
        <v>0</v>
      </c>
      <c r="E23" s="3219"/>
      <c r="F23" s="3219"/>
      <c r="G23" s="3219"/>
      <c r="H23" s="3219">
        <f t="shared" si="2"/>
        <v>2333.02</v>
      </c>
      <c r="I23" s="3219"/>
      <c r="J23" s="3221">
        <v>2333.02</v>
      </c>
      <c r="K23" s="3219"/>
    </row>
    <row r="24" spans="1:12">
      <c r="A24" s="3219">
        <v>18</v>
      </c>
      <c r="B24" s="3220" t="s">
        <v>3205</v>
      </c>
      <c r="C24" s="3219">
        <f t="shared" si="0"/>
        <v>2450.33</v>
      </c>
      <c r="D24" s="3219">
        <f t="shared" si="1"/>
        <v>0</v>
      </c>
      <c r="E24" s="3219"/>
      <c r="F24" s="3219"/>
      <c r="G24" s="3219"/>
      <c r="H24" s="3219">
        <f t="shared" si="2"/>
        <v>2450.33</v>
      </c>
      <c r="I24" s="3219"/>
      <c r="J24" s="3221">
        <f>2450.33-K24</f>
        <v>2307.15</v>
      </c>
      <c r="K24" s="3221">
        <v>143.18</v>
      </c>
    </row>
    <row r="25" spans="1:12">
      <c r="A25" s="3219">
        <v>19</v>
      </c>
      <c r="B25" s="3220" t="s">
        <v>3206</v>
      </c>
      <c r="C25" s="3219">
        <f t="shared" si="0"/>
        <v>1535.16</v>
      </c>
      <c r="D25" s="3219">
        <f t="shared" si="1"/>
        <v>0</v>
      </c>
      <c r="E25" s="3219"/>
      <c r="F25" s="3219"/>
      <c r="G25" s="3219"/>
      <c r="H25" s="3219">
        <f t="shared" si="2"/>
        <v>1535.16</v>
      </c>
      <c r="I25" s="3219">
        <v>384.16</v>
      </c>
      <c r="J25" s="3221">
        <v>1004</v>
      </c>
      <c r="K25" s="3219">
        <v>147</v>
      </c>
    </row>
    <row r="26" spans="1:12">
      <c r="A26" s="3219">
        <v>20</v>
      </c>
      <c r="B26" s="3220" t="s">
        <v>3207</v>
      </c>
      <c r="C26" s="3219">
        <f t="shared" si="0"/>
        <v>10</v>
      </c>
      <c r="D26" s="3219">
        <f t="shared" si="1"/>
        <v>0</v>
      </c>
      <c r="E26" s="3219"/>
      <c r="F26" s="3219"/>
      <c r="G26" s="3219"/>
      <c r="H26" s="3219">
        <f t="shared" si="2"/>
        <v>10</v>
      </c>
      <c r="I26" s="3219">
        <v>10</v>
      </c>
      <c r="J26" s="3221"/>
      <c r="K26" s="3219"/>
    </row>
    <row r="27" spans="1:12">
      <c r="A27" s="3219">
        <v>21</v>
      </c>
      <c r="B27" s="3220" t="s">
        <v>3208</v>
      </c>
      <c r="C27" s="3219">
        <f t="shared" si="0"/>
        <v>17525.82</v>
      </c>
      <c r="D27" s="3219">
        <f t="shared" si="1"/>
        <v>15137.099999999999</v>
      </c>
      <c r="E27" s="3219"/>
      <c r="F27" s="3219"/>
      <c r="G27" s="3219">
        <f>38494.17-23357.07</f>
        <v>15137.099999999999</v>
      </c>
      <c r="H27" s="3219">
        <f t="shared" si="2"/>
        <v>2388.7200000000003</v>
      </c>
      <c r="I27" s="3221">
        <f>26.81+572.7+1185.88</f>
        <v>1785.39</v>
      </c>
      <c r="J27" s="3219">
        <f>36.66+10+35.67+521</f>
        <v>603.33000000000004</v>
      </c>
      <c r="K27" s="3219"/>
      <c r="L27" s="3215">
        <f>24.78+26.82+24.8+25.62+24.49+24.8+24.8+24.49+24.42+24.42+23357.07</f>
        <v>23606.51</v>
      </c>
    </row>
    <row r="28" spans="1:12">
      <c r="A28" s="3222">
        <v>22</v>
      </c>
      <c r="B28" s="3223" t="s">
        <v>3209</v>
      </c>
      <c r="C28" s="3222">
        <f t="shared" si="0"/>
        <v>9033.83</v>
      </c>
      <c r="D28" s="3222">
        <f t="shared" si="1"/>
        <v>7879.79</v>
      </c>
      <c r="E28" s="3222">
        <v>7879.79</v>
      </c>
      <c r="F28" s="3222"/>
      <c r="G28" s="3222"/>
      <c r="H28" s="3222">
        <f t="shared" si="2"/>
        <v>1154.04</v>
      </c>
      <c r="I28" s="3222">
        <v>1154.04</v>
      </c>
      <c r="J28" s="3222"/>
      <c r="K28" s="3222"/>
    </row>
    <row r="29" spans="1:12">
      <c r="A29" s="3222">
        <v>23</v>
      </c>
      <c r="B29" s="3223" t="s">
        <v>3210</v>
      </c>
      <c r="C29" s="3222">
        <f t="shared" si="0"/>
        <v>6122.25</v>
      </c>
      <c r="D29" s="3222">
        <f t="shared" si="1"/>
        <v>4946.07</v>
      </c>
      <c r="E29" s="3222">
        <v>4946.07</v>
      </c>
      <c r="F29" s="3222"/>
      <c r="G29" s="3222"/>
      <c r="H29" s="3222">
        <f t="shared" si="2"/>
        <v>1176.18</v>
      </c>
      <c r="I29" s="3222">
        <v>1176.18</v>
      </c>
      <c r="J29" s="3222"/>
      <c r="K29" s="3222"/>
    </row>
    <row r="30" spans="1:12">
      <c r="A30" s="3222">
        <v>24</v>
      </c>
      <c r="B30" s="3223" t="s">
        <v>3211</v>
      </c>
      <c r="C30" s="3222">
        <f t="shared" si="0"/>
        <v>7640.3799999999992</v>
      </c>
      <c r="D30" s="3222">
        <f t="shared" si="1"/>
        <v>6189.03</v>
      </c>
      <c r="E30" s="3222">
        <v>6189.03</v>
      </c>
      <c r="F30" s="3222"/>
      <c r="G30" s="3222"/>
      <c r="H30" s="3222">
        <f t="shared" si="2"/>
        <v>1451.35</v>
      </c>
      <c r="I30" s="3222">
        <v>1451.35</v>
      </c>
      <c r="J30" s="3222"/>
      <c r="K30" s="3222"/>
    </row>
    <row r="31" spans="1:12">
      <c r="A31" s="3222">
        <v>25</v>
      </c>
      <c r="B31" s="3223" t="s">
        <v>3212</v>
      </c>
      <c r="C31" s="3222">
        <f t="shared" si="0"/>
        <v>12226.96</v>
      </c>
      <c r="D31" s="3222">
        <f t="shared" si="1"/>
        <v>10459.06</v>
      </c>
      <c r="E31" s="3222">
        <v>10459.06</v>
      </c>
      <c r="F31" s="3222"/>
      <c r="G31" s="3222"/>
      <c r="H31" s="3222">
        <f t="shared" si="2"/>
        <v>1767.8999999999999</v>
      </c>
      <c r="I31" s="3222">
        <v>1711.06</v>
      </c>
      <c r="J31" s="3222">
        <f>46.84+10</f>
        <v>56.84</v>
      </c>
      <c r="K31" s="3222"/>
    </row>
    <row r="32" spans="1:12">
      <c r="A32" s="3222">
        <v>26</v>
      </c>
      <c r="B32" s="3223" t="s">
        <v>3213</v>
      </c>
      <c r="C32" s="3222">
        <f t="shared" si="0"/>
        <v>5035.6499999999996</v>
      </c>
      <c r="D32" s="3222">
        <f t="shared" si="1"/>
        <v>3859.47</v>
      </c>
      <c r="E32" s="3222">
        <v>3859.47</v>
      </c>
      <c r="F32" s="3222"/>
      <c r="G32" s="3222"/>
      <c r="H32" s="3222">
        <f t="shared" si="2"/>
        <v>1176.18</v>
      </c>
      <c r="I32" s="3222">
        <v>1176.18</v>
      </c>
      <c r="J32" s="3222"/>
      <c r="K32" s="3222"/>
    </row>
    <row r="33" spans="1:12">
      <c r="A33" s="3222">
        <v>27</v>
      </c>
      <c r="B33" s="3223" t="s">
        <v>3214</v>
      </c>
      <c r="C33" s="3222">
        <f t="shared" si="0"/>
        <v>5579.4900000000007</v>
      </c>
      <c r="D33" s="3222">
        <f t="shared" si="1"/>
        <v>4403.3100000000004</v>
      </c>
      <c r="E33" s="3222">
        <v>4403.3100000000004</v>
      </c>
      <c r="F33" s="3222"/>
      <c r="G33" s="3222"/>
      <c r="H33" s="3222">
        <f t="shared" si="2"/>
        <v>1176.18</v>
      </c>
      <c r="I33" s="3222">
        <v>1176.18</v>
      </c>
      <c r="J33" s="3222"/>
      <c r="K33" s="3222"/>
    </row>
    <row r="34" spans="1:12">
      <c r="A34" s="3222">
        <v>28</v>
      </c>
      <c r="B34" s="3223" t="s">
        <v>3215</v>
      </c>
      <c r="C34" s="3222">
        <f t="shared" si="0"/>
        <v>7986.9699999999993</v>
      </c>
      <c r="D34" s="3222">
        <f t="shared" si="1"/>
        <v>7197.36</v>
      </c>
      <c r="E34" s="3222">
        <v>7015.53</v>
      </c>
      <c r="F34" s="3222">
        <v>181.83</v>
      </c>
      <c r="G34" s="3222"/>
      <c r="H34" s="3222">
        <f t="shared" si="2"/>
        <v>789.61</v>
      </c>
      <c r="I34" s="3222">
        <v>789.61</v>
      </c>
      <c r="J34" s="3222"/>
      <c r="K34" s="3222"/>
    </row>
    <row r="35" spans="1:12">
      <c r="A35" s="3222">
        <v>29</v>
      </c>
      <c r="B35" s="3223" t="s">
        <v>3216</v>
      </c>
      <c r="C35" s="3222">
        <f t="shared" si="0"/>
        <v>4234.0499999999993</v>
      </c>
      <c r="D35" s="3222">
        <f t="shared" si="1"/>
        <v>3479.2299999999996</v>
      </c>
      <c r="E35" s="3222">
        <v>3258.99</v>
      </c>
      <c r="F35" s="3222">
        <v>220.24</v>
      </c>
      <c r="G35" s="3222"/>
      <c r="H35" s="3222">
        <f t="shared" si="2"/>
        <v>754.82</v>
      </c>
      <c r="I35" s="3222">
        <v>754.82</v>
      </c>
      <c r="J35" s="3222"/>
      <c r="K35" s="3222"/>
    </row>
    <row r="36" spans="1:12">
      <c r="A36" s="3222">
        <v>30</v>
      </c>
      <c r="B36" s="3223" t="s">
        <v>3217</v>
      </c>
      <c r="C36" s="3222">
        <f t="shared" si="0"/>
        <v>6830.17</v>
      </c>
      <c r="D36" s="3222">
        <f t="shared" si="1"/>
        <v>5378.82</v>
      </c>
      <c r="E36" s="3222">
        <v>5378.82</v>
      </c>
      <c r="F36" s="3222"/>
      <c r="G36" s="3222"/>
      <c r="H36" s="3222">
        <f t="shared" si="2"/>
        <v>1451.35</v>
      </c>
      <c r="I36" s="3222">
        <v>1451.35</v>
      </c>
      <c r="J36" s="3222"/>
      <c r="K36" s="3222"/>
    </row>
    <row r="37" spans="1:12">
      <c r="A37" s="3222">
        <v>31</v>
      </c>
      <c r="B37" s="3223" t="s">
        <v>3218</v>
      </c>
      <c r="C37" s="3222">
        <f t="shared" si="0"/>
        <v>12226.96</v>
      </c>
      <c r="D37" s="3222">
        <f t="shared" si="1"/>
        <v>10459.06</v>
      </c>
      <c r="E37" s="3222">
        <v>10459.06</v>
      </c>
      <c r="F37" s="3222"/>
      <c r="G37" s="3222"/>
      <c r="H37" s="3222">
        <f t="shared" si="2"/>
        <v>1767.9</v>
      </c>
      <c r="I37" s="3222">
        <v>1725.02</v>
      </c>
      <c r="J37" s="3222">
        <v>42.88</v>
      </c>
      <c r="K37" s="3222"/>
    </row>
    <row r="38" spans="1:12">
      <c r="A38" s="3222">
        <v>32</v>
      </c>
      <c r="B38" s="3223" t="s">
        <v>3219</v>
      </c>
      <c r="C38" s="3222">
        <f t="shared" si="0"/>
        <v>15016.099999999999</v>
      </c>
      <c r="D38" s="3222">
        <f t="shared" si="1"/>
        <v>13133.14</v>
      </c>
      <c r="E38" s="3222">
        <v>13133.14</v>
      </c>
      <c r="F38" s="3222"/>
      <c r="G38" s="3222"/>
      <c r="H38" s="3222">
        <f t="shared" si="2"/>
        <v>1882.96</v>
      </c>
      <c r="I38" s="3222">
        <v>1482.96</v>
      </c>
      <c r="J38" s="3222">
        <v>400</v>
      </c>
      <c r="K38" s="3222"/>
    </row>
    <row r="39" spans="1:12">
      <c r="A39" s="3222">
        <v>33</v>
      </c>
      <c r="B39" s="3223" t="s">
        <v>3220</v>
      </c>
      <c r="C39" s="3222">
        <f t="shared" si="0"/>
        <v>14851.72</v>
      </c>
      <c r="D39" s="3222">
        <f t="shared" si="1"/>
        <v>12972.23</v>
      </c>
      <c r="E39" s="3222">
        <v>12972.23</v>
      </c>
      <c r="F39" s="3222"/>
      <c r="G39" s="3222"/>
      <c r="H39" s="3222">
        <f t="shared" si="2"/>
        <v>1879.49</v>
      </c>
      <c r="I39" s="3222">
        <v>1479.49</v>
      </c>
      <c r="J39" s="3222">
        <v>400</v>
      </c>
      <c r="K39" s="3222"/>
    </row>
    <row r="40" spans="1:12">
      <c r="A40" s="3222">
        <v>34</v>
      </c>
      <c r="B40" s="3223" t="s">
        <v>3221</v>
      </c>
      <c r="C40" s="3222">
        <f t="shared" si="0"/>
        <v>11912</v>
      </c>
      <c r="D40" s="3222">
        <f t="shared" si="1"/>
        <v>10406.879999999999</v>
      </c>
      <c r="E40" s="3222">
        <v>10406.879999999999</v>
      </c>
      <c r="F40" s="3222"/>
      <c r="G40" s="3222"/>
      <c r="H40" s="3222">
        <f t="shared" si="2"/>
        <v>1505.12</v>
      </c>
      <c r="I40" s="3222">
        <v>1305.1199999999999</v>
      </c>
      <c r="J40" s="3222">
        <v>200</v>
      </c>
      <c r="K40" s="3222"/>
    </row>
    <row r="41" spans="1:12">
      <c r="A41" s="3222">
        <v>35</v>
      </c>
      <c r="B41" s="3223" t="s">
        <v>3222</v>
      </c>
      <c r="C41" s="3222">
        <f t="shared" si="0"/>
        <v>616.34</v>
      </c>
      <c r="D41" s="3222">
        <f t="shared" si="1"/>
        <v>0</v>
      </c>
      <c r="E41" s="3222"/>
      <c r="F41" s="3222"/>
      <c r="G41" s="3222"/>
      <c r="H41" s="3222">
        <f t="shared" si="2"/>
        <v>616.34</v>
      </c>
      <c r="I41" s="3222"/>
      <c r="J41" s="3224">
        <v>616.34</v>
      </c>
      <c r="K41" s="3222"/>
    </row>
    <row r="42" spans="1:12">
      <c r="A42" s="3222">
        <v>36</v>
      </c>
      <c r="B42" s="3223" t="s">
        <v>3223</v>
      </c>
      <c r="C42" s="3222">
        <f t="shared" si="0"/>
        <v>375.54</v>
      </c>
      <c r="D42" s="3222">
        <f t="shared" si="1"/>
        <v>0</v>
      </c>
      <c r="E42" s="3222"/>
      <c r="F42" s="3222"/>
      <c r="G42" s="3222"/>
      <c r="H42" s="3222">
        <f t="shared" si="2"/>
        <v>375.54</v>
      </c>
      <c r="I42" s="3222"/>
      <c r="J42" s="3224">
        <v>375.54</v>
      </c>
      <c r="K42" s="3222"/>
    </row>
    <row r="43" spans="1:12">
      <c r="A43" s="3222">
        <v>37</v>
      </c>
      <c r="B43" s="3223" t="s">
        <v>3224</v>
      </c>
      <c r="C43" s="3222">
        <f t="shared" si="0"/>
        <v>447.06</v>
      </c>
      <c r="D43" s="3222">
        <f t="shared" si="1"/>
        <v>0</v>
      </c>
      <c r="E43" s="3222"/>
      <c r="F43" s="3222"/>
      <c r="G43" s="3222"/>
      <c r="H43" s="3222">
        <f t="shared" si="2"/>
        <v>447.06</v>
      </c>
      <c r="I43" s="3222"/>
      <c r="J43" s="3224">
        <v>447.06</v>
      </c>
      <c r="K43" s="3222"/>
    </row>
    <row r="44" spans="1:12">
      <c r="A44" s="3222">
        <v>38</v>
      </c>
      <c r="B44" s="3223" t="s">
        <v>3225</v>
      </c>
      <c r="C44" s="3222">
        <f t="shared" si="0"/>
        <v>46264.99</v>
      </c>
      <c r="D44" s="3222">
        <f t="shared" si="1"/>
        <v>45359.03</v>
      </c>
      <c r="E44" s="3222"/>
      <c r="F44" s="3222"/>
      <c r="G44" s="3222">
        <v>45359.03</v>
      </c>
      <c r="H44" s="3222">
        <f t="shared" si="2"/>
        <v>905.96</v>
      </c>
      <c r="I44" s="3222">
        <v>334.44</v>
      </c>
      <c r="J44" s="3222">
        <f>190.15+188.61+192.76</f>
        <v>571.52</v>
      </c>
      <c r="K44" s="3222"/>
      <c r="L44" s="3215">
        <f>23.81+23.81</f>
        <v>47.62</v>
      </c>
    </row>
    <row r="45" spans="1:12">
      <c r="A45" s="3222">
        <v>39</v>
      </c>
      <c r="B45" s="3223" t="s">
        <v>3226</v>
      </c>
      <c r="C45" s="3222">
        <f t="shared" si="0"/>
        <v>10</v>
      </c>
      <c r="D45" s="3222">
        <f t="shared" si="1"/>
        <v>0</v>
      </c>
      <c r="E45" s="3222"/>
      <c r="F45" s="3222"/>
      <c r="G45" s="3222"/>
      <c r="H45" s="3222">
        <f t="shared" si="2"/>
        <v>10</v>
      </c>
      <c r="I45" s="3222">
        <v>10</v>
      </c>
      <c r="J45" s="3224"/>
      <c r="K45" s="3222"/>
    </row>
    <row r="46" spans="1:12">
      <c r="A46" s="3225">
        <v>40</v>
      </c>
      <c r="B46" s="3226" t="s">
        <v>3227</v>
      </c>
      <c r="C46" s="3225">
        <f t="shared" si="0"/>
        <v>7521.35</v>
      </c>
      <c r="D46" s="3225">
        <f t="shared" si="1"/>
        <v>6730.29</v>
      </c>
      <c r="E46" s="3225">
        <v>6549.91</v>
      </c>
      <c r="F46" s="3225">
        <v>180.38</v>
      </c>
      <c r="G46" s="3225"/>
      <c r="H46" s="3225">
        <f t="shared" si="2"/>
        <v>791.06</v>
      </c>
      <c r="I46" s="3225">
        <v>791.06</v>
      </c>
      <c r="J46" s="3225"/>
      <c r="K46" s="3225"/>
    </row>
    <row r="47" spans="1:12">
      <c r="A47" s="3225">
        <v>41</v>
      </c>
      <c r="B47" s="3226" t="s">
        <v>3228</v>
      </c>
      <c r="C47" s="3225">
        <f t="shared" si="0"/>
        <v>7521.35</v>
      </c>
      <c r="D47" s="3225">
        <f t="shared" si="1"/>
        <v>6730.29</v>
      </c>
      <c r="E47" s="3225">
        <v>6549.91</v>
      </c>
      <c r="F47" s="3225">
        <v>180.38</v>
      </c>
      <c r="G47" s="3225"/>
      <c r="H47" s="3225">
        <f t="shared" si="2"/>
        <v>791.06</v>
      </c>
      <c r="I47" s="3225">
        <v>791.06</v>
      </c>
      <c r="J47" s="3225"/>
      <c r="K47" s="3225"/>
    </row>
    <row r="48" spans="1:12">
      <c r="A48" s="3225">
        <v>42</v>
      </c>
      <c r="B48" s="3226" t="s">
        <v>3229</v>
      </c>
      <c r="C48" s="3225">
        <f t="shared" si="0"/>
        <v>9769.36</v>
      </c>
      <c r="D48" s="3225">
        <f t="shared" si="1"/>
        <v>8550.84</v>
      </c>
      <c r="E48" s="3225">
        <v>8171.85</v>
      </c>
      <c r="F48" s="3225">
        <v>378.99</v>
      </c>
      <c r="G48" s="3225"/>
      <c r="H48" s="3225">
        <f t="shared" si="2"/>
        <v>1218.52</v>
      </c>
      <c r="I48" s="3225">
        <v>1218.52</v>
      </c>
      <c r="J48" s="3225"/>
      <c r="K48" s="3225"/>
    </row>
    <row r="49" spans="1:15">
      <c r="A49" s="3225">
        <v>43</v>
      </c>
      <c r="B49" s="3226" t="s">
        <v>3230</v>
      </c>
      <c r="C49" s="3225">
        <f t="shared" si="0"/>
        <v>7983.73</v>
      </c>
      <c r="D49" s="3225">
        <f t="shared" si="1"/>
        <v>7194.12</v>
      </c>
      <c r="E49" s="3225">
        <v>7012.29</v>
      </c>
      <c r="F49" s="3225">
        <v>181.83</v>
      </c>
      <c r="G49" s="3225"/>
      <c r="H49" s="3225">
        <f t="shared" si="2"/>
        <v>789.61</v>
      </c>
      <c r="I49" s="3225">
        <v>789.61</v>
      </c>
      <c r="J49" s="3225"/>
      <c r="K49" s="3225"/>
    </row>
    <row r="50" spans="1:15">
      <c r="A50" s="3225">
        <v>44</v>
      </c>
      <c r="B50" s="3226" t="s">
        <v>3231</v>
      </c>
      <c r="C50" s="3225">
        <f t="shared" si="0"/>
        <v>7977.7599999999993</v>
      </c>
      <c r="D50" s="3225">
        <f t="shared" si="1"/>
        <v>7194.15</v>
      </c>
      <c r="E50" s="3225">
        <v>7012.32</v>
      </c>
      <c r="F50" s="3225">
        <v>181.83</v>
      </c>
      <c r="G50" s="3225"/>
      <c r="H50" s="3225">
        <f t="shared" si="2"/>
        <v>783.61</v>
      </c>
      <c r="I50" s="3225">
        <v>783.61</v>
      </c>
      <c r="J50" s="3225"/>
      <c r="K50" s="3225"/>
    </row>
    <row r="51" spans="1:15">
      <c r="A51" s="3225">
        <v>45</v>
      </c>
      <c r="B51" s="3226" t="s">
        <v>3232</v>
      </c>
      <c r="C51" s="3225">
        <f t="shared" si="0"/>
        <v>7498.85</v>
      </c>
      <c r="D51" s="3225">
        <f t="shared" si="1"/>
        <v>6303.97</v>
      </c>
      <c r="E51" s="3225">
        <v>5925.34</v>
      </c>
      <c r="F51" s="3225">
        <v>378.63</v>
      </c>
      <c r="G51" s="3225"/>
      <c r="H51" s="3225">
        <f t="shared" si="2"/>
        <v>1194.8800000000001</v>
      </c>
      <c r="I51" s="3225">
        <v>1194.8800000000001</v>
      </c>
      <c r="J51" s="3225"/>
      <c r="K51" s="3225"/>
    </row>
    <row r="52" spans="1:15">
      <c r="A52" s="3225">
        <v>46</v>
      </c>
      <c r="B52" s="3226" t="s">
        <v>3233</v>
      </c>
      <c r="C52" s="3225">
        <f t="shared" si="0"/>
        <v>7978.1799999999994</v>
      </c>
      <c r="D52" s="3225">
        <f t="shared" si="1"/>
        <v>7194.57</v>
      </c>
      <c r="E52" s="3225">
        <v>7012.74</v>
      </c>
      <c r="F52" s="3225">
        <v>181.83</v>
      </c>
      <c r="G52" s="3225"/>
      <c r="H52" s="3225">
        <f t="shared" si="2"/>
        <v>783.61</v>
      </c>
      <c r="I52" s="3225">
        <v>783.61</v>
      </c>
      <c r="J52" s="3225"/>
      <c r="K52" s="3225"/>
    </row>
    <row r="53" spans="1:15">
      <c r="A53" s="3225">
        <v>47</v>
      </c>
      <c r="B53" s="3226" t="s">
        <v>3234</v>
      </c>
      <c r="C53" s="3225">
        <f t="shared" si="0"/>
        <v>12682.17</v>
      </c>
      <c r="D53" s="3225">
        <f t="shared" si="1"/>
        <v>11317.2</v>
      </c>
      <c r="E53" s="3225">
        <v>11135.37</v>
      </c>
      <c r="F53" s="3225">
        <v>181.83</v>
      </c>
      <c r="G53" s="3225"/>
      <c r="H53" s="3225">
        <f t="shared" si="2"/>
        <v>1364.97</v>
      </c>
      <c r="I53" s="3225">
        <v>1364.97</v>
      </c>
      <c r="J53" s="3225"/>
      <c r="K53" s="3225"/>
    </row>
    <row r="54" spans="1:15">
      <c r="A54" s="3225">
        <v>48</v>
      </c>
      <c r="B54" s="3226" t="s">
        <v>3235</v>
      </c>
      <c r="C54" s="3225">
        <f t="shared" si="0"/>
        <v>7988.18</v>
      </c>
      <c r="D54" s="3225">
        <f t="shared" si="1"/>
        <v>7205.7</v>
      </c>
      <c r="E54" s="3225">
        <v>7012.74</v>
      </c>
      <c r="F54" s="3225">
        <v>192.96</v>
      </c>
      <c r="G54" s="3225"/>
      <c r="H54" s="3225">
        <f t="shared" si="2"/>
        <v>782.48</v>
      </c>
      <c r="I54" s="3225">
        <v>782.48</v>
      </c>
      <c r="J54" s="3225"/>
      <c r="K54" s="3225"/>
    </row>
    <row r="55" spans="1:15">
      <c r="A55" s="3225">
        <v>49</v>
      </c>
      <c r="B55" s="3226" t="s">
        <v>3236</v>
      </c>
      <c r="C55" s="3225">
        <f t="shared" si="0"/>
        <v>1643.5</v>
      </c>
      <c r="D55" s="3225">
        <f t="shared" si="1"/>
        <v>0</v>
      </c>
      <c r="E55" s="3225"/>
      <c r="F55" s="3225"/>
      <c r="G55" s="3225"/>
      <c r="H55" s="3225">
        <f t="shared" si="2"/>
        <v>1643.5</v>
      </c>
      <c r="I55" s="3225"/>
      <c r="J55" s="3227">
        <v>1643.5</v>
      </c>
      <c r="K55" s="3225"/>
    </row>
    <row r="56" spans="1:15">
      <c r="A56" s="3225">
        <v>50</v>
      </c>
      <c r="B56" s="3226" t="s">
        <v>3237</v>
      </c>
      <c r="C56" s="3225">
        <f t="shared" si="0"/>
        <v>22160.620000000003</v>
      </c>
      <c r="D56" s="3225">
        <f t="shared" si="1"/>
        <v>21394.13</v>
      </c>
      <c r="E56" s="3225"/>
      <c r="F56" s="3225"/>
      <c r="G56" s="3225">
        <v>21394.13</v>
      </c>
      <c r="H56" s="3225">
        <f t="shared" si="2"/>
        <v>766.49</v>
      </c>
      <c r="I56" s="3225">
        <v>284.76</v>
      </c>
      <c r="J56" s="3225">
        <f>187.46+177.32+84.5+10+22.45</f>
        <v>481.72999999999996</v>
      </c>
      <c r="K56" s="3225"/>
    </row>
    <row r="57" spans="1:15">
      <c r="A57" s="3225">
        <v>51</v>
      </c>
      <c r="B57" s="3226" t="s">
        <v>3238</v>
      </c>
      <c r="C57" s="3225">
        <f t="shared" si="0"/>
        <v>20</v>
      </c>
      <c r="D57" s="3225">
        <f t="shared" si="1"/>
        <v>0</v>
      </c>
      <c r="E57" s="3225"/>
      <c r="F57" s="3225"/>
      <c r="G57" s="3225"/>
      <c r="H57" s="3225">
        <f t="shared" si="2"/>
        <v>20</v>
      </c>
      <c r="I57" s="3225">
        <v>20</v>
      </c>
      <c r="J57" s="3227"/>
      <c r="K57" s="3225"/>
    </row>
    <row r="58" spans="1:15">
      <c r="A58" s="3311" t="s">
        <v>3242</v>
      </c>
      <c r="B58" s="3311"/>
      <c r="C58" s="3218">
        <f>SUM(C7:C57)</f>
        <v>421294.36999999976</v>
      </c>
      <c r="D58" s="3218">
        <f t="shared" ref="D58:J58" si="3">SUM(D7:D57)</f>
        <v>359665.24000000005</v>
      </c>
      <c r="E58" s="3218">
        <f t="shared" si="3"/>
        <v>275334.25</v>
      </c>
      <c r="F58" s="3218">
        <f t="shared" si="3"/>
        <v>2440.73</v>
      </c>
      <c r="G58" s="3218">
        <f t="shared" si="3"/>
        <v>81890.259999999995</v>
      </c>
      <c r="H58" s="3218">
        <f t="shared" si="3"/>
        <v>61629.12999999999</v>
      </c>
      <c r="I58" s="3218">
        <f>SUM(I7:I57)</f>
        <v>49141.45</v>
      </c>
      <c r="J58" s="3218">
        <f>SUM(J7:J57)</f>
        <v>12197.5</v>
      </c>
      <c r="K58" s="3218">
        <f>SUM(K7:K57)</f>
        <v>290.18</v>
      </c>
      <c r="L58">
        <f>SUM(L7:L57)</f>
        <v>23668.629999999997</v>
      </c>
      <c r="O58">
        <f>444963-L58</f>
        <v>421294.37</v>
      </c>
    </row>
    <row r="59" spans="1:15">
      <c r="B59" s="3196"/>
    </row>
    <row r="60" spans="1:15">
      <c r="B60" s="3196"/>
    </row>
  </sheetData>
  <mergeCells count="7">
    <mergeCell ref="A4:A6"/>
    <mergeCell ref="B4:B6"/>
    <mergeCell ref="A58:B58"/>
    <mergeCell ref="D5:G5"/>
    <mergeCell ref="C5:C6"/>
    <mergeCell ref="C4:K4"/>
    <mergeCell ref="H5:K5"/>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G20" sqref="G20:G21"/>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21" t="s">
        <v>203</v>
      </c>
      <c r="B2" s="3321"/>
      <c r="C2" s="3321"/>
      <c r="D2" s="1957" t="s">
        <v>204</v>
      </c>
      <c r="E2" s="106" t="s">
        <v>205</v>
      </c>
      <c r="F2" s="1966"/>
      <c r="G2" s="1192"/>
      <c r="H2" s="1193"/>
      <c r="I2" s="1194" t="s">
        <v>857</v>
      </c>
      <c r="J2" s="1966"/>
      <c r="K2" s="1966"/>
      <c r="L2" s="1966"/>
    </row>
    <row r="3" spans="1:16" ht="15.75" thickBot="1">
      <c r="A3" s="3322" t="s">
        <v>206</v>
      </c>
      <c r="B3" s="3322"/>
      <c r="C3" s="3322"/>
      <c r="D3" s="107">
        <f>'数据-基础表'!AY6</f>
        <v>142581.63</v>
      </c>
      <c r="E3" s="107">
        <f>'数据-基础表'!AZ5</f>
        <v>421294.36999999976</v>
      </c>
      <c r="F3" s="1966"/>
      <c r="G3" s="278" t="s">
        <v>858</v>
      </c>
      <c r="H3" s="273" t="s">
        <v>859</v>
      </c>
      <c r="I3" s="1958">
        <f>ROUND('数据-基础表'!B3/'数据-基础表'!A3,2)</f>
        <v>2.95</v>
      </c>
      <c r="J3" s="1966"/>
      <c r="K3" s="1966"/>
      <c r="L3" s="1966"/>
    </row>
    <row r="4" spans="1:16" ht="15">
      <c r="A4" s="3323"/>
      <c r="B4" s="3324"/>
      <c r="C4" s="3325"/>
      <c r="D4" s="108" t="s">
        <v>204</v>
      </c>
      <c r="E4" s="109" t="s">
        <v>205</v>
      </c>
      <c r="F4" s="1966"/>
      <c r="G4" s="1195"/>
      <c r="H4" s="273" t="s">
        <v>860</v>
      </c>
      <c r="I4" s="1958">
        <f>ROUND(SUMIF('数据-基础表'!I9:AS9,"地上",'数据-基础表'!I5:AS5)/'数据-基础表'!A3,2)</f>
        <v>2</v>
      </c>
      <c r="J4" s="1966"/>
      <c r="K4" s="1966"/>
      <c r="L4" s="1966"/>
    </row>
    <row r="5" spans="1:16">
      <c r="A5" s="110" t="s">
        <v>207</v>
      </c>
      <c r="B5" s="3326" t="s">
        <v>230</v>
      </c>
      <c r="C5" s="3326"/>
      <c r="D5" s="111">
        <f>ROUND($D$3*E5/$E$3,2)</f>
        <v>93183.32</v>
      </c>
      <c r="E5" s="112">
        <f>SUMIF('数据-基础表'!$11:$11,"住宅",'数据-基础表'!$5:$5)</f>
        <v>275334.25</v>
      </c>
      <c r="F5" s="1966"/>
      <c r="G5" s="278" t="s">
        <v>861</v>
      </c>
      <c r="H5" s="273" t="s">
        <v>859</v>
      </c>
      <c r="I5" s="1958">
        <f>ROUND(E31/D31,2)</f>
        <v>2.95</v>
      </c>
      <c r="J5" s="1966"/>
      <c r="K5" s="1966"/>
      <c r="L5" s="1966"/>
    </row>
    <row r="6" spans="1:16" ht="15" thickBot="1">
      <c r="A6" s="113"/>
      <c r="B6" s="3326" t="s">
        <v>208</v>
      </c>
      <c r="C6" s="3326"/>
      <c r="D6" s="111">
        <f>ROUND($D$3*E6/$E$3,2)</f>
        <v>49398.31</v>
      </c>
      <c r="E6" s="112">
        <f>E3-E5</f>
        <v>145960.11999999976</v>
      </c>
      <c r="F6" s="1966"/>
      <c r="G6" s="1195"/>
      <c r="H6" s="273" t="s">
        <v>860</v>
      </c>
      <c r="I6" s="1958">
        <f>ROUND(F31/D31,2)</f>
        <v>2</v>
      </c>
      <c r="J6" s="1966"/>
      <c r="K6" s="1966"/>
      <c r="L6" s="1966"/>
    </row>
    <row r="7" spans="1:16" ht="15">
      <c r="A7" s="3318"/>
      <c r="B7" s="3319"/>
      <c r="C7" s="3320"/>
      <c r="D7" s="108" t="s">
        <v>204</v>
      </c>
      <c r="E7" s="114" t="s">
        <v>231</v>
      </c>
      <c r="F7" s="1966"/>
      <c r="G7" s="1150" t="s">
        <v>1645</v>
      </c>
      <c r="H7" s="1151"/>
      <c r="I7" s="1828"/>
      <c r="J7" s="1966"/>
      <c r="K7" s="1966"/>
      <c r="L7" s="1966"/>
    </row>
    <row r="8" spans="1:16">
      <c r="A8" s="110" t="s">
        <v>209</v>
      </c>
      <c r="B8" s="115" t="s">
        <v>210</v>
      </c>
      <c r="C8" s="111" t="s">
        <v>211</v>
      </c>
      <c r="D8" s="111">
        <f t="shared" ref="D8:D15" si="0">ROUND($D$3*E8/$E$3,2)</f>
        <v>93183.32</v>
      </c>
      <c r="E8" s="116">
        <f>SUMIF('数据-基础表'!BB10:BK10,"地上",'数据-基础表'!BB5:BK5)</f>
        <v>275334.25</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2326</v>
      </c>
      <c r="D11" s="111">
        <f t="shared" si="0"/>
        <v>49.75</v>
      </c>
      <c r="E11" s="116">
        <f>SUMPRODUCT(('数据-基础表'!BB10:BK10="地下")*('数据-基础表'!BB11:BK11="办公")*('数据-基础表'!BB5:BK5))+'数据-基础表'!AJ5</f>
        <v>147</v>
      </c>
      <c r="F11" s="1966"/>
      <c r="G11" s="1968"/>
      <c r="H11" s="1968"/>
      <c r="I11" s="1966"/>
      <c r="J11" s="1966"/>
      <c r="K11" s="1966"/>
      <c r="L11" s="1966"/>
    </row>
    <row r="12" spans="1:16">
      <c r="A12" s="117"/>
      <c r="B12" s="118"/>
      <c r="C12" s="111" t="s">
        <v>214</v>
      </c>
      <c r="D12" s="111">
        <f t="shared" si="0"/>
        <v>826.03</v>
      </c>
      <c r="E12" s="116">
        <f>SUMPRODUCT(('数据-基础表'!BB10:BK10="地下")*('数据-基础表'!BB11:BK11="仓储")*('数据-基础表'!BB5:BK5))</f>
        <v>2440.73</v>
      </c>
      <c r="F12" s="1966"/>
      <c r="G12" s="1968"/>
      <c r="H12" s="1968"/>
      <c r="I12" s="1966"/>
      <c r="J12" s="1966"/>
      <c r="K12" s="1966"/>
      <c r="L12" s="1966"/>
    </row>
    <row r="13" spans="1:16">
      <c r="A13" s="117"/>
      <c r="B13" s="118"/>
      <c r="C13" s="2313" t="s">
        <v>2333</v>
      </c>
      <c r="D13" s="111">
        <f t="shared" si="0"/>
        <v>27714.7</v>
      </c>
      <c r="E13" s="116">
        <f>SUMPRODUCT(('数据-基础表'!BB10:BK10="地下")*('数据-基础表'!BB11:BK11="车库")*('数据-基础表'!BB5:BK5))</f>
        <v>81890.259999999995</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121773.8</v>
      </c>
      <c r="E16" s="120">
        <f>SUM(E8:E15)</f>
        <v>359812.24</v>
      </c>
      <c r="F16" s="1966"/>
      <c r="G16" s="1968"/>
      <c r="H16" s="966" t="s">
        <v>219</v>
      </c>
      <c r="I16" s="967"/>
      <c r="J16" s="1966"/>
      <c r="K16" s="3312" t="s">
        <v>2565</v>
      </c>
      <c r="L16" s="3313"/>
      <c r="M16" s="3313"/>
      <c r="N16" s="3313"/>
      <c r="O16" s="3313"/>
      <c r="P16" s="3314"/>
    </row>
    <row r="17" spans="1:19" ht="15">
      <c r="A17" s="121" t="s">
        <v>216</v>
      </c>
      <c r="B17" s="122" t="s">
        <v>217</v>
      </c>
      <c r="C17" s="2280" t="s">
        <v>2312</v>
      </c>
      <c r="D17" s="108" t="s">
        <v>204</v>
      </c>
      <c r="E17" s="124" t="s">
        <v>205</v>
      </c>
      <c r="F17" s="125"/>
      <c r="G17" s="1360"/>
      <c r="H17" s="968" t="s">
        <v>218</v>
      </c>
      <c r="I17" s="969" t="s">
        <v>2311</v>
      </c>
      <c r="J17" s="1966"/>
      <c r="K17" s="3315" t="s">
        <v>2566</v>
      </c>
      <c r="L17" s="3316"/>
      <c r="M17" s="3317"/>
      <c r="N17" s="3315" t="s">
        <v>2567</v>
      </c>
      <c r="O17" s="3316"/>
      <c r="P17" s="3317"/>
      <c r="R17" s="2281" t="s">
        <v>2310</v>
      </c>
      <c r="S17" s="144"/>
    </row>
    <row r="18" spans="1:19" ht="15">
      <c r="A18" s="117"/>
      <c r="B18" s="128"/>
      <c r="C18" s="129"/>
      <c r="D18" s="2603"/>
      <c r="E18" s="130" t="s">
        <v>220</v>
      </c>
      <c r="F18" s="131" t="s">
        <v>221</v>
      </c>
      <c r="G18" s="1361" t="s">
        <v>222</v>
      </c>
      <c r="H18" s="970" t="s">
        <v>223</v>
      </c>
      <c r="I18" s="971" t="s">
        <v>224</v>
      </c>
      <c r="J18" s="1966"/>
      <c r="K18" s="2566" t="s">
        <v>2568</v>
      </c>
      <c r="L18" s="2567" t="s">
        <v>2569</v>
      </c>
      <c r="M18" s="2568" t="s">
        <v>2570</v>
      </c>
      <c r="N18" s="2566" t="s">
        <v>2568</v>
      </c>
      <c r="O18" s="2567" t="s">
        <v>2569</v>
      </c>
      <c r="P18" s="2568" t="s">
        <v>2570</v>
      </c>
      <c r="R18" s="2282" t="s">
        <v>2308</v>
      </c>
      <c r="S18" s="2282" t="s">
        <v>2309</v>
      </c>
    </row>
    <row r="19" spans="1:19">
      <c r="A19" s="133"/>
      <c r="B19" s="115" t="s">
        <v>225</v>
      </c>
      <c r="C19" s="2972" t="s">
        <v>3015</v>
      </c>
      <c r="D19" s="111">
        <f t="shared" ref="D19:D26" si="1">ROUND($D$3*E19/$E$3,2)</f>
        <v>93183.32</v>
      </c>
      <c r="E19" s="134">
        <f t="shared" ref="E19:E26" si="2">SUM(F19:G19)</f>
        <v>275334.25</v>
      </c>
      <c r="F19" s="135">
        <f>'数据-基础表'!I5</f>
        <v>275334.25</v>
      </c>
      <c r="G19" s="1362"/>
      <c r="H19" s="972">
        <f>ROUND($D$3*I19/$E$3,2)</f>
        <v>16958.03</v>
      </c>
      <c r="I19" s="116">
        <f>IF($I$17="自定义",P19,M19)</f>
        <v>50106.9</v>
      </c>
      <c r="J19" s="1966"/>
      <c r="K19" s="2569">
        <f t="shared" ref="K19:K26" si="3">ROUND(E$28*E19/E$27,2)</f>
        <v>37619.22</v>
      </c>
      <c r="L19" s="273">
        <f t="shared" ref="L19:L26" si="4">ROUND(IF(COUNTIF(C19,"*住宅*")&gt;0,E$29*E19/E$32,0),2)</f>
        <v>12487.68</v>
      </c>
      <c r="M19" s="2570">
        <f>K19+L19</f>
        <v>50106.9</v>
      </c>
      <c r="N19" s="2571"/>
      <c r="O19" s="2572"/>
      <c r="P19" s="2573">
        <f>N19+O19</f>
        <v>0</v>
      </c>
      <c r="R19" s="273">
        <f t="shared" ref="R19:S26" si="5">D19+H19</f>
        <v>110141.35</v>
      </c>
      <c r="S19" s="2283">
        <f t="shared" si="5"/>
        <v>325441.15000000002</v>
      </c>
    </row>
    <row r="20" spans="1:19">
      <c r="A20" s="138"/>
      <c r="B20" s="115" t="s">
        <v>226</v>
      </c>
      <c r="C20" s="2972" t="s">
        <v>3016</v>
      </c>
      <c r="D20" s="111">
        <f t="shared" si="1"/>
        <v>826.03</v>
      </c>
      <c r="E20" s="134">
        <f t="shared" si="2"/>
        <v>2440.73</v>
      </c>
      <c r="F20" s="135"/>
      <c r="G20" s="1362">
        <f>'数据-基础表'!M5</f>
        <v>2440.73</v>
      </c>
      <c r="H20" s="972">
        <f t="shared" ref="H20:H26" si="6">ROUND($D$3*I20/$E$3,2)</f>
        <v>112.86</v>
      </c>
      <c r="I20" s="116">
        <f t="shared" ref="I20:I26" si="7">IF($I$17="自定义",P20,M20)</f>
        <v>333.48</v>
      </c>
      <c r="J20" s="1966"/>
      <c r="K20" s="2569">
        <f t="shared" si="3"/>
        <v>333.48</v>
      </c>
      <c r="L20" s="273">
        <f t="shared" si="4"/>
        <v>0</v>
      </c>
      <c r="M20" s="2570">
        <f t="shared" ref="M20:M26" si="8">K20+L20</f>
        <v>333.48</v>
      </c>
      <c r="N20" s="2571"/>
      <c r="O20" s="2572"/>
      <c r="P20" s="2573">
        <f t="shared" ref="P20:P26" si="9">N20+O20</f>
        <v>0</v>
      </c>
      <c r="R20" s="273">
        <f t="shared" si="5"/>
        <v>938.89</v>
      </c>
      <c r="S20" s="2283">
        <f t="shared" si="5"/>
        <v>2774.21</v>
      </c>
    </row>
    <row r="21" spans="1:19">
      <c r="A21" s="138"/>
      <c r="B21" s="115" t="s">
        <v>226</v>
      </c>
      <c r="C21" s="2972" t="s">
        <v>3017</v>
      </c>
      <c r="D21" s="111">
        <f t="shared" si="1"/>
        <v>27714.7</v>
      </c>
      <c r="E21" s="134">
        <f t="shared" si="2"/>
        <v>81890.259999999995</v>
      </c>
      <c r="F21" s="135"/>
      <c r="G21" s="1362">
        <f>'数据-基础表'!K5</f>
        <v>81890.259999999995</v>
      </c>
      <c r="H21" s="972">
        <f t="shared" si="6"/>
        <v>3786.69</v>
      </c>
      <c r="I21" s="116">
        <f t="shared" si="7"/>
        <v>11188.75</v>
      </c>
      <c r="J21" s="1966"/>
      <c r="K21" s="2569">
        <f t="shared" si="3"/>
        <v>11188.75</v>
      </c>
      <c r="L21" s="273">
        <f t="shared" si="4"/>
        <v>0</v>
      </c>
      <c r="M21" s="2570">
        <f t="shared" si="8"/>
        <v>11188.75</v>
      </c>
      <c r="N21" s="2571"/>
      <c r="O21" s="2572"/>
      <c r="P21" s="2573">
        <f t="shared" si="9"/>
        <v>0</v>
      </c>
      <c r="R21" s="273">
        <f t="shared" si="5"/>
        <v>31501.39</v>
      </c>
      <c r="S21" s="2283">
        <f t="shared" si="5"/>
        <v>93079.01</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3">
        <f t="shared" si="4"/>
        <v>0</v>
      </c>
      <c r="M22" s="2570">
        <f t="shared" si="8"/>
        <v>0</v>
      </c>
      <c r="N22" s="2571"/>
      <c r="O22" s="2572"/>
      <c r="P22" s="2573">
        <f t="shared" si="9"/>
        <v>0</v>
      </c>
      <c r="R22" s="273">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3">
        <f t="shared" si="4"/>
        <v>0</v>
      </c>
      <c r="M23" s="2570">
        <f t="shared" si="8"/>
        <v>0</v>
      </c>
      <c r="N23" s="2571"/>
      <c r="O23" s="2572"/>
      <c r="P23" s="2573">
        <f t="shared" si="9"/>
        <v>0</v>
      </c>
      <c r="R23" s="273">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3">
        <f t="shared" si="4"/>
        <v>0</v>
      </c>
      <c r="M24" s="2570">
        <f t="shared" si="8"/>
        <v>0</v>
      </c>
      <c r="N24" s="2571"/>
      <c r="O24" s="2572"/>
      <c r="P24" s="2573">
        <f t="shared" si="9"/>
        <v>0</v>
      </c>
      <c r="R24" s="273">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3">
        <f t="shared" si="4"/>
        <v>0</v>
      </c>
      <c r="M25" s="2570">
        <f t="shared" si="8"/>
        <v>0</v>
      </c>
      <c r="N25" s="2571"/>
      <c r="O25" s="2572"/>
      <c r="P25" s="2573">
        <f t="shared" si="9"/>
        <v>0</v>
      </c>
      <c r="R25" s="273">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8">
        <f t="shared" si="4"/>
        <v>0</v>
      </c>
      <c r="M26" s="146">
        <f t="shared" si="8"/>
        <v>0</v>
      </c>
      <c r="N26" s="2575"/>
      <c r="O26" s="2576"/>
      <c r="P26" s="2577">
        <f t="shared" si="9"/>
        <v>0</v>
      </c>
      <c r="R26" s="273">
        <f t="shared" si="5"/>
        <v>0</v>
      </c>
      <c r="S26" s="2283">
        <f t="shared" si="5"/>
        <v>0</v>
      </c>
    </row>
    <row r="27" spans="1:19" ht="15.75" thickBot="1">
      <c r="A27" s="138"/>
      <c r="B27" s="111"/>
      <c r="C27" s="127" t="s">
        <v>215</v>
      </c>
      <c r="D27" s="134">
        <f>SUM(D19:D26)</f>
        <v>121724.05</v>
      </c>
      <c r="E27" s="143">
        <f>IF(SUM(E19:E26)='数据-基础表'!BA5,SUM(E19:E26),IF(F27="地上面积有误","面积有误","地下面积有误"))</f>
        <v>359665.24</v>
      </c>
      <c r="F27" s="134">
        <f>IF(SUM(F19:F26)=E8,SUM(F19:F26),"地上面积有误")</f>
        <v>275334.25</v>
      </c>
      <c r="G27" s="112">
        <f>SUM(G19:G26)</f>
        <v>84330.989999999991</v>
      </c>
      <c r="H27" s="973">
        <f>SUM(H19:H26)</f>
        <v>20857.579999999998</v>
      </c>
      <c r="I27" s="974">
        <f>SUM(I19:I26)</f>
        <v>61629.130000000005</v>
      </c>
      <c r="J27" s="1966"/>
      <c r="K27" s="2578">
        <f>SUM(K19:K26)</f>
        <v>49141.450000000004</v>
      </c>
      <c r="L27" s="2579">
        <f>SUM(L19:L26)</f>
        <v>12487.68</v>
      </c>
      <c r="M27" s="2580">
        <f>SUM(M19:M26)</f>
        <v>61629.130000000005</v>
      </c>
      <c r="N27" s="2578">
        <f t="shared" ref="N27:O27" si="10">SUM(N19:N26)</f>
        <v>0</v>
      </c>
      <c r="O27" s="2579">
        <f t="shared" si="10"/>
        <v>0</v>
      </c>
      <c r="P27" s="2581">
        <f>SUM(P19:P26)</f>
        <v>0</v>
      </c>
      <c r="R27" s="2287">
        <f>IF(SUM(R19:R26)=$D$3,SUM(R19:R26),SUM(R19:R26)&amp;"误差"&amp;ROUND(SUM(R19:R26)-$D$3,2))</f>
        <v>142581.63</v>
      </c>
      <c r="S27" s="273">
        <f>IF(SUM(S19:S26)=$E$3,SUM(S19:S26),SUM(S19:S26)&amp;"误差"&amp;ROUND(SUM(S19:S26)-E3,2))</f>
        <v>421294.37000000005</v>
      </c>
    </row>
    <row r="28" spans="1:19">
      <c r="A28" s="138"/>
      <c r="B28" s="115" t="s">
        <v>227</v>
      </c>
      <c r="C28" s="136" t="s">
        <v>228</v>
      </c>
      <c r="D28" s="111">
        <f>ROUND($D$3*E28/$E$3,2)</f>
        <v>16631.29</v>
      </c>
      <c r="E28" s="134">
        <f>SUM(F28:G28)</f>
        <v>49141.45</v>
      </c>
      <c r="F28" s="144">
        <f>'数据-基础表'!BQ5+'数据-基础表'!BS5</f>
        <v>66.81</v>
      </c>
      <c r="G28" s="145">
        <f>'数据-基础表'!BR5+'数据-基础表'!BT5</f>
        <v>49074.64</v>
      </c>
      <c r="H28" s="1966"/>
      <c r="I28" s="1966"/>
      <c r="J28" s="1966"/>
      <c r="K28" s="1966"/>
      <c r="L28" s="1966"/>
    </row>
    <row r="29" spans="1:19">
      <c r="A29" s="138"/>
      <c r="B29" s="115" t="s">
        <v>227</v>
      </c>
      <c r="C29" s="2295" t="s">
        <v>2319</v>
      </c>
      <c r="D29" s="111">
        <f>ROUND($D$3*E29/$E$3,2)</f>
        <v>4226.29</v>
      </c>
      <c r="E29" s="134">
        <f>SUM(F29:G29)</f>
        <v>12487.68</v>
      </c>
      <c r="F29" s="144">
        <f>'数据-基础表'!BM5+'数据-基础表'!BO5</f>
        <v>9450.380000000001</v>
      </c>
      <c r="G29" s="146">
        <f>'数据-基础表'!BN5+'数据-基础表'!BP5</f>
        <v>3037.3</v>
      </c>
      <c r="H29" s="1966"/>
      <c r="I29" s="1966"/>
      <c r="J29" s="1966"/>
      <c r="K29" s="1966"/>
      <c r="L29" s="1966"/>
    </row>
    <row r="30" spans="1:19">
      <c r="A30" s="138"/>
      <c r="B30" s="111"/>
      <c r="C30" s="147" t="s">
        <v>215</v>
      </c>
      <c r="D30" s="134">
        <f>SUM(D28:D29)</f>
        <v>20857.580000000002</v>
      </c>
      <c r="E30" s="134">
        <f>SUM(E28:E29)</f>
        <v>61629.13</v>
      </c>
      <c r="F30" s="134">
        <f>SUM(F28:F29)</f>
        <v>9517.19</v>
      </c>
      <c r="G30" s="112">
        <f>SUM(G28:G29)</f>
        <v>52111.94</v>
      </c>
      <c r="H30" s="1966"/>
      <c r="I30" s="1966"/>
      <c r="J30" s="1966"/>
      <c r="K30" s="1966"/>
      <c r="L30" s="1966"/>
    </row>
    <row r="31" spans="1:19" ht="32.25" customHeight="1" thickBot="1">
      <c r="A31" s="1364"/>
      <c r="B31" s="1365" t="s">
        <v>229</v>
      </c>
      <c r="C31" s="2312" t="s">
        <v>2321</v>
      </c>
      <c r="D31" s="1366">
        <f>D27+D30</f>
        <v>142581.63</v>
      </c>
      <c r="E31" s="1366">
        <f>E27+E30</f>
        <v>421294.37</v>
      </c>
      <c r="F31" s="1367">
        <f>F27+F30</f>
        <v>284851.44</v>
      </c>
      <c r="G31" s="1368">
        <f>G27+G30</f>
        <v>136442.93</v>
      </c>
      <c r="H31" s="1966"/>
      <c r="I31" s="1966"/>
      <c r="J31" s="1966"/>
      <c r="K31" s="1966"/>
      <c r="L31" s="1966"/>
    </row>
    <row r="32" spans="1:19">
      <c r="A32" s="1966"/>
      <c r="B32" s="2324" t="s">
        <v>2320</v>
      </c>
      <c r="C32" s="2608"/>
      <c r="D32" s="1195"/>
      <c r="E32" s="1195">
        <f>SUMIF(C19:C26,"*住宅*",E19:E26)</f>
        <v>275334.25</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J20" sqref="J20"/>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43830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2826</v>
      </c>
      <c r="O5" s="163" t="s">
        <v>246</v>
      </c>
      <c r="P5" s="165" t="s">
        <v>247</v>
      </c>
      <c r="Q5" s="166" t="s">
        <v>248</v>
      </c>
      <c r="R5" s="167" t="s">
        <v>249</v>
      </c>
      <c r="S5" s="2582" t="s">
        <v>2571</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2322</v>
      </c>
      <c r="AI5" s="171" t="s">
        <v>2291</v>
      </c>
      <c r="AJ5" s="171" t="s">
        <v>258</v>
      </c>
      <c r="AK5" s="159" t="s">
        <v>259</v>
      </c>
      <c r="AL5" s="159" t="s">
        <v>260</v>
      </c>
      <c r="AM5" s="172"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3" t="s">
        <v>923</v>
      </c>
      <c r="D6" s="2290">
        <f>SUMIF(项目基本情况!D$15:I$15,C6,项目基本情况!D$18:I$18)</f>
        <v>70</v>
      </c>
      <c r="E6" s="2291">
        <f>IF(B6="","",SUMIF(项目基本情况!D$15:I$15,C6,项目基本情况!D$17:I$17))</f>
        <v>69313</v>
      </c>
      <c r="F6" s="174">
        <f>SUMIF(项目基本情况!D$15:I$15,C6,项目基本情况!D$19:I$19)</f>
        <v>69.81</v>
      </c>
      <c r="G6" s="175">
        <f>IF(ISERROR(ROUND(POWER(1+H6,D6-F6)*(POWER(1+H6,F6)-1)/(POWER(1+H6,D6)-1),3)),0,ROUND(POWER(1+H6,D6-F6)*(POWER(1+H6,F6)-1)/(POWER(1+H6,D6)-1),3))</f>
        <v>0.999</v>
      </c>
      <c r="H6" s="2973">
        <v>0.04</v>
      </c>
      <c r="I6" s="2973">
        <v>4.4999999999999998E-2</v>
      </c>
      <c r="J6" s="176">
        <v>8.5000000000000006E-2</v>
      </c>
      <c r="K6" s="179">
        <f>SUMIF('数据-汇总表'!C$19:C$33,'数据-取费表'!A6,'数据-汇总表'!E$19:E$33)</f>
        <v>275334.25</v>
      </c>
      <c r="L6" s="3193">
        <v>4500</v>
      </c>
      <c r="M6" s="177">
        <f t="shared" ref="M6:M14" si="0">ROUND(K6*L6/10000,0)</f>
        <v>123900</v>
      </c>
      <c r="N6" s="2974">
        <v>0</v>
      </c>
      <c r="O6" s="177">
        <f>IF($N$5="成新度","——",ROUND(M6*N6,0))</f>
        <v>0</v>
      </c>
      <c r="P6" s="178">
        <f>IF($N$5="成新度","——",M6-O6)</f>
        <v>123900</v>
      </c>
      <c r="Q6" s="2975">
        <v>0.3</v>
      </c>
      <c r="R6" s="179">
        <f>SUMIF('数据-汇总表'!C$19:C$33,A6,'数据-汇总表'!R$19:R$33)</f>
        <v>110141.35</v>
      </c>
      <c r="S6" s="132">
        <f>IF('数据-汇总表'!$I$17="按面积比例",SUMIF('数据-汇总表'!C$19:C$33,A6,'数据-汇总表'!K$19:K$33),SUMIF('数据-汇总表'!C$19:C$33,A6,'数据-汇总表'!N$19:N$33))</f>
        <v>37619.22</v>
      </c>
      <c r="T6" s="2216">
        <f>IF($T$4="按面积比例",IF(ISERROR(ROUND($M$14*S6/S$16,0)),"0",ROUND($M$14*S6/S$16,0)),"需自行计算录入")</f>
        <v>11285</v>
      </c>
      <c r="U6" s="180"/>
      <c r="V6" s="181"/>
      <c r="W6" s="181">
        <v>0.1</v>
      </c>
      <c r="X6" s="2303"/>
      <c r="Y6" s="182">
        <v>1</v>
      </c>
      <c r="Z6" s="183"/>
      <c r="AA6" s="176"/>
      <c r="AB6" s="176"/>
      <c r="AC6" s="2306"/>
      <c r="AD6" s="184"/>
      <c r="AE6" s="970">
        <f ca="1">IF(AN6="",0,SUMIF(INDIRECT("'"&amp;AN6&amp;"'"&amp;"!E:E"),$AE$5,INDIRECT("'"&amp;AN6&amp;"'"&amp;"!F:F")))</f>
        <v>0</v>
      </c>
      <c r="AF6" s="141"/>
      <c r="AG6" s="1207">
        <f>IF(AF6="",0,AE6-AF6)</f>
        <v>0</v>
      </c>
      <c r="AH6" s="141"/>
      <c r="AI6" s="187"/>
      <c r="AJ6" s="188"/>
      <c r="AK6" s="189"/>
      <c r="AL6" s="190"/>
      <c r="AM6" s="2986"/>
      <c r="AN6" s="2353"/>
      <c r="AO6" s="1982"/>
      <c r="AP6" s="1198">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仓储</v>
      </c>
      <c r="B7" s="2319" t="str">
        <f t="shared" ref="B7:B13" si="1">IF(A7=0,"","经营性")</f>
        <v>经营性</v>
      </c>
      <c r="C7" s="173" t="s">
        <v>3001</v>
      </c>
      <c r="D7" s="2290">
        <f>SUMIF(项目基本情况!D$15:I$15,C7,项目基本情况!D$18:I$18)</f>
        <v>50</v>
      </c>
      <c r="E7" s="2291">
        <f>IF(B7="","",SUMIF(项目基本情况!D$15:I$15,C7,项目基本情况!D$17:I$17))</f>
        <v>62008</v>
      </c>
      <c r="F7" s="174">
        <f>SUMIF(项目基本情况!D$15:I$15,C7,项目基本情况!D$19:I$19)</f>
        <v>49.8</v>
      </c>
      <c r="G7" s="175">
        <f t="shared" ref="G7:G11" si="2">IF(ISERROR(ROUND(POWER(1+H7,D7-F7)*(POWER(1+H7,F7)-1)/(POWER(1+H7,D7)-1),3)),0,ROUND(POWER(1+H7,D7-F7)*(POWER(1+H7,F7)-1)/(POWER(1+H7,D7)-1),3))</f>
        <v>0.999</v>
      </c>
      <c r="H7" s="2973">
        <v>4.4999999999999998E-2</v>
      </c>
      <c r="I7" s="2973">
        <v>0.05</v>
      </c>
      <c r="J7" s="176">
        <v>8.5000000000000006E-2</v>
      </c>
      <c r="K7" s="179">
        <f>SUMIF('数据-汇总表'!C$19:C$33,'数据-取费表'!A7,'数据-汇总表'!E$19:E$33)</f>
        <v>2440.73</v>
      </c>
      <c r="L7" s="3193">
        <v>3000</v>
      </c>
      <c r="M7" s="177">
        <f t="shared" si="0"/>
        <v>732</v>
      </c>
      <c r="N7" s="2974">
        <v>0</v>
      </c>
      <c r="O7" s="177">
        <f t="shared" ref="O7:O14" si="3">IF($N$5="成新度","——",ROUND(M7*N7,0))</f>
        <v>0</v>
      </c>
      <c r="P7" s="178">
        <f t="shared" ref="P7:P14" si="4">IF($N$5="成新度","——",M7-O7)</f>
        <v>732</v>
      </c>
      <c r="Q7" s="2975">
        <v>0.05</v>
      </c>
      <c r="R7" s="179">
        <f>SUMIF('数据-汇总表'!C$19:C$33,A7,'数据-汇总表'!R$19:R$33)</f>
        <v>938.89</v>
      </c>
      <c r="S7" s="132">
        <f>IF('数据-汇总表'!$I$17="按面积比例",SUMIF('数据-汇总表'!C$19:C$33,A7,'数据-汇总表'!K$19:K$33),SUMIF('数据-汇总表'!C$19:C$33,A7,'数据-汇总表'!N$19:N$33))</f>
        <v>333.48</v>
      </c>
      <c r="T7" s="2216">
        <f t="shared" ref="T7:T13" si="5">IF($T$4="按面积比例",IF(ISERROR(ROUND($M$14*S7/S$16,0)),"0",ROUND($M$14*S7/S$16,0)),"需自行计算录入")</f>
        <v>100</v>
      </c>
      <c r="U7" s="180">
        <v>1</v>
      </c>
      <c r="V7" s="181">
        <v>2.5000000000000001E-2</v>
      </c>
      <c r="W7" s="181">
        <v>0.1</v>
      </c>
      <c r="X7" s="2303"/>
      <c r="Y7" s="182">
        <v>1</v>
      </c>
      <c r="Z7" s="183"/>
      <c r="AA7" s="176"/>
      <c r="AB7" s="176"/>
      <c r="AC7" s="2306"/>
      <c r="AD7" s="184"/>
      <c r="AE7" s="970">
        <f t="shared" ref="AE7:AE13" ca="1" si="6">IF(AN7="",0,SUMIF(INDIRECT("'"&amp;AN7&amp;"'"&amp;"!E:E"),$AE$5,INDIRECT("'"&amp;AN7&amp;"'"&amp;"!F:F")))</f>
        <v>46.3</v>
      </c>
      <c r="AF7" s="141"/>
      <c r="AG7" s="1207">
        <f t="shared" ref="AG7:AG13" si="7">IF(AF7="",0,AE7-AF7)</f>
        <v>0</v>
      </c>
      <c r="AH7" s="141"/>
      <c r="AI7" s="187">
        <v>365</v>
      </c>
      <c r="AJ7" s="188"/>
      <c r="AK7" s="189">
        <v>1.4999999999999999E-2</v>
      </c>
      <c r="AL7" s="190">
        <v>2E-3</v>
      </c>
      <c r="AM7" s="2351">
        <v>0.02</v>
      </c>
      <c r="AN7" s="2353" t="s">
        <v>3146</v>
      </c>
      <c r="AO7" s="1982"/>
      <c r="AP7" s="1198">
        <f t="shared" ref="AP7:AP13" si="8">ROUND(1-1/(1+H7)^F7,3)</f>
        <v>0.88800000000000001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车库</v>
      </c>
      <c r="B8" s="2319" t="str">
        <f t="shared" si="1"/>
        <v>经营性</v>
      </c>
      <c r="C8" s="173" t="s">
        <v>3000</v>
      </c>
      <c r="D8" s="2290">
        <f>SUMIF(项目基本情况!D$15:I$15,C8,项目基本情况!D$18:I$18)</f>
        <v>50</v>
      </c>
      <c r="E8" s="2291">
        <f>IF(B8="","",SUMIF(项目基本情况!D$15:I$15,C8,项目基本情况!D$17:I$17))</f>
        <v>62008</v>
      </c>
      <c r="F8" s="174">
        <f>SUMIF(项目基本情况!D$15:I$15,C8,项目基本情况!D$19:I$19)</f>
        <v>49.8</v>
      </c>
      <c r="G8" s="175">
        <f t="shared" si="2"/>
        <v>0.999</v>
      </c>
      <c r="H8" s="2973">
        <v>4.4999999999999998E-2</v>
      </c>
      <c r="I8" s="2973">
        <v>0.05</v>
      </c>
      <c r="J8" s="176">
        <v>8.5000000000000006E-2</v>
      </c>
      <c r="K8" s="179">
        <f>SUMIF('数据-汇总表'!C$19:C$33,'数据-取费表'!A8,'数据-汇总表'!E$19:E$33)</f>
        <v>81890.259999999995</v>
      </c>
      <c r="L8" s="3193">
        <f>L7</f>
        <v>3000</v>
      </c>
      <c r="M8" s="177">
        <f>ROUND(K8*L8/10000,0)</f>
        <v>24567</v>
      </c>
      <c r="N8" s="2974">
        <v>0</v>
      </c>
      <c r="O8" s="177">
        <f t="shared" si="3"/>
        <v>0</v>
      </c>
      <c r="P8" s="178">
        <f t="shared" si="4"/>
        <v>24567</v>
      </c>
      <c r="Q8" s="2975">
        <v>0.05</v>
      </c>
      <c r="R8" s="179">
        <f>SUMIF('数据-汇总表'!C$19:C$33,A8,'数据-汇总表'!R$19:R$33)</f>
        <v>31501.39</v>
      </c>
      <c r="S8" s="132">
        <f>IF('数据-汇总表'!$I$17="按面积比例",SUMIF('数据-汇总表'!C$19:C$33,A8,'数据-汇总表'!K$19:K$33),SUMIF('数据-汇总表'!C$19:C$33,A8,'数据-汇总表'!N$19:N$33))</f>
        <v>11188.75</v>
      </c>
      <c r="T8" s="2216">
        <f t="shared" si="5"/>
        <v>3357</v>
      </c>
      <c r="U8" s="180"/>
      <c r="V8" s="181"/>
      <c r="W8" s="181">
        <v>0.1</v>
      </c>
      <c r="X8" s="2303"/>
      <c r="Y8" s="182">
        <v>1</v>
      </c>
      <c r="Z8" s="183"/>
      <c r="AA8" s="176"/>
      <c r="AB8" s="176"/>
      <c r="AC8" s="2306"/>
      <c r="AD8" s="184"/>
      <c r="AE8" s="970">
        <f t="shared" ca="1" si="6"/>
        <v>0</v>
      </c>
      <c r="AF8" s="141"/>
      <c r="AG8" s="1207">
        <f t="shared" si="7"/>
        <v>0</v>
      </c>
      <c r="AH8" s="141"/>
      <c r="AI8" s="187"/>
      <c r="AJ8" s="188"/>
      <c r="AK8" s="189"/>
      <c r="AL8" s="190"/>
      <c r="AM8" s="2351"/>
      <c r="AN8" s="2353"/>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2313</v>
      </c>
      <c r="B14" s="2288" t="s">
        <v>1679</v>
      </c>
      <c r="C14" s="2289" t="s">
        <v>2313</v>
      </c>
      <c r="D14" s="2290"/>
      <c r="E14" s="2291"/>
      <c r="F14" s="174"/>
      <c r="G14" s="175"/>
      <c r="H14" s="2292"/>
      <c r="I14" s="2292"/>
      <c r="J14" s="2292"/>
      <c r="K14" s="179">
        <f>SUMIF('数据-汇总表'!C$19:C$33,'数据-取费表'!A14,'数据-汇总表'!E$19:E$33)</f>
        <v>49141.45</v>
      </c>
      <c r="L14" s="193">
        <f>L7</f>
        <v>3000</v>
      </c>
      <c r="M14" s="177">
        <f t="shared" si="0"/>
        <v>14742</v>
      </c>
      <c r="N14" s="194">
        <v>0</v>
      </c>
      <c r="O14" s="177">
        <f t="shared" si="3"/>
        <v>0</v>
      </c>
      <c r="P14" s="178">
        <f t="shared" si="4"/>
        <v>14742</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2315</v>
      </c>
      <c r="B15" s="2288" t="s">
        <v>1679</v>
      </c>
      <c r="C15" s="2289" t="s">
        <v>2314</v>
      </c>
      <c r="D15" s="2290"/>
      <c r="E15" s="2291"/>
      <c r="F15" s="174"/>
      <c r="G15" s="175"/>
      <c r="H15" s="2292"/>
      <c r="I15" s="2292"/>
      <c r="J15" s="2292"/>
      <c r="K15" s="179">
        <f>SUMIF('数据-汇总表'!C$19:C$33,'数据-取费表'!A15,'数据-汇总表'!E$19:E$33)</f>
        <v>12487.68</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421294.37</v>
      </c>
      <c r="L16" s="206">
        <f>ROUND(M16*10000/SUM(K6:K14),0)</f>
        <v>4010</v>
      </c>
      <c r="M16" s="206">
        <f>SUM(M6:M14)</f>
        <v>163941</v>
      </c>
      <c r="N16" s="207">
        <f>ROUND(SUMPRODUCT(M6:M14,N6:N14)/M16,3)</f>
        <v>0</v>
      </c>
      <c r="O16" s="206">
        <f>SUM(O6:O14)</f>
        <v>0</v>
      </c>
      <c r="P16" s="206">
        <f>SUM(P6:P14)</f>
        <v>163941</v>
      </c>
      <c r="Q16" s="208">
        <f>ROUND(SUMPRODUCT(Q6:Q13,K6:K13)/SUMPRODUCT((Q6:Q13&gt;0)*(K6:K13)),2)</f>
        <v>0.24</v>
      </c>
      <c r="R16" s="2293">
        <f>SUM(R6:R13)</f>
        <v>142581.63</v>
      </c>
      <c r="S16" s="209">
        <f>SUM(S6:S13)</f>
        <v>49141.450000000004</v>
      </c>
      <c r="T16" s="210">
        <f>IF(SUMIF(T6:T13,"&lt;9E307")=M14,SUMIF(T6:T13,"&lt;9E307"),"有误，请检查")</f>
        <v>14742</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0.92400000000000004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1973"/>
      <c r="M18" s="1971"/>
      <c r="N18" s="1971"/>
      <c r="O18" s="1971"/>
      <c r="P18" s="1971"/>
      <c r="Q18" s="3183">
        <f>Q16/B20</f>
        <v>6.8571428571428575E-2</v>
      </c>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2335</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3.5</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2337</v>
      </c>
      <c r="B27" s="227"/>
      <c r="C27" s="2328" t="s">
        <v>2341</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8" t="s">
        <v>2338</v>
      </c>
      <c r="B28" s="229"/>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1" t="s">
        <v>2336</v>
      </c>
      <c r="B29" s="232"/>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4"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8" t="s">
        <v>274</v>
      </c>
      <c r="B31" s="230">
        <f>B30-B32</f>
        <v>20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5" t="s">
        <v>275</v>
      </c>
      <c r="B32" s="1372">
        <v>180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3192">
        <v>0.05</v>
      </c>
      <c r="C33" s="2326" t="s">
        <v>2888</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3191">
        <v>0.05</v>
      </c>
      <c r="C34" s="2326" t="s">
        <v>2889</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2890</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6" t="s">
        <v>2891</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3190">
        <v>0.02</v>
      </c>
      <c r="C37" s="2326" t="s">
        <v>2892</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3191">
        <v>0.02</v>
      </c>
      <c r="C38" s="2326" t="s">
        <v>2892</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6">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8">
        <v>0.05</v>
      </c>
      <c r="C42" s="3044">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39">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285</v>
      </c>
      <c r="B44" s="240">
        <v>0.05</v>
      </c>
      <c r="C44" s="2326" t="s">
        <v>2893</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286</v>
      </c>
      <c r="B45" s="238">
        <v>0.03</v>
      </c>
      <c r="C45" s="2328" t="s">
        <v>2894</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287</v>
      </c>
      <c r="B46" s="238">
        <v>0.02</v>
      </c>
      <c r="C46" s="2328" t="s">
        <v>2895</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288</v>
      </c>
      <c r="B47" s="242">
        <v>0</v>
      </c>
      <c r="C47" s="3020" t="s">
        <v>2896</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289</v>
      </c>
      <c r="B48" s="244">
        <v>0.03</v>
      </c>
      <c r="C48" s="3021" t="s">
        <v>2897</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290</v>
      </c>
      <c r="B49" s="238">
        <v>5.0000000000000001E-4</v>
      </c>
      <c r="C49" s="3021" t="s">
        <v>2898</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291</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293</v>
      </c>
      <c r="B52" s="248">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49" t="s">
        <v>1409</v>
      </c>
      <c r="C53" s="3022" t="s">
        <v>2899</v>
      </c>
      <c r="D53" s="3023" t="s">
        <v>2900</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5" t="s">
        <v>2901</v>
      </c>
      <c r="B54" s="186"/>
      <c r="C54" s="1976">
        <v>30</v>
      </c>
      <c r="D54" s="3024"/>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5" t="s">
        <v>2902</v>
      </c>
      <c r="B55" s="186"/>
      <c r="C55" s="1976">
        <v>24</v>
      </c>
      <c r="D55" s="3024"/>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5" t="s">
        <v>2903</v>
      </c>
      <c r="B56" s="186"/>
      <c r="C56" s="1976">
        <v>18</v>
      </c>
      <c r="D56" s="3024"/>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5" t="s">
        <v>2904</v>
      </c>
      <c r="B57" s="186"/>
      <c r="C57" s="1976">
        <v>12</v>
      </c>
      <c r="D57" s="3024"/>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5" t="s">
        <v>2905</v>
      </c>
      <c r="B58" s="186"/>
      <c r="C58" s="1976">
        <v>3</v>
      </c>
      <c r="D58" s="3024"/>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5" t="s">
        <v>2906</v>
      </c>
      <c r="B59" s="186">
        <v>1.5</v>
      </c>
      <c r="C59" s="1976">
        <v>1.5</v>
      </c>
      <c r="D59" s="3024"/>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5"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5"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5"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6" t="s">
        <v>2910</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27" t="s">
        <v>1663</v>
      </c>
      <c r="B1" s="3328"/>
      <c r="C1" s="3328"/>
      <c r="D1" s="3328"/>
      <c r="E1" s="3328"/>
      <c r="F1" s="3328"/>
      <c r="G1" s="3328"/>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67.5">
      <c r="A3" s="1221" t="s">
        <v>1666</v>
      </c>
      <c r="B3" s="1222" t="s">
        <v>1653</v>
      </c>
      <c r="C3" s="3229" t="s">
        <v>3254</v>
      </c>
      <c r="D3" s="1991"/>
      <c r="E3" s="1223" t="s">
        <v>1666</v>
      </c>
      <c r="F3" s="1224" t="s">
        <v>1654</v>
      </c>
      <c r="G3" s="3029" t="s">
        <v>2915</v>
      </c>
      <c r="H3" s="1990"/>
      <c r="I3" s="1990"/>
      <c r="J3" s="1990"/>
      <c r="K3" s="1990"/>
      <c r="L3" s="1990"/>
      <c r="M3" s="1990"/>
      <c r="N3" s="1990"/>
      <c r="O3" s="1990"/>
      <c r="P3" s="1990"/>
      <c r="Q3" s="1990"/>
      <c r="R3" s="1990"/>
    </row>
    <row r="4" spans="1:18" ht="40.5">
      <c r="A4" s="1223"/>
      <c r="B4" s="1225" t="s">
        <v>1667</v>
      </c>
      <c r="C4" s="3027"/>
      <c r="D4" s="1991"/>
      <c r="E4" s="1226"/>
      <c r="F4" s="1227" t="s">
        <v>1668</v>
      </c>
      <c r="G4" s="3028" t="s">
        <v>2912</v>
      </c>
      <c r="H4" s="1990"/>
      <c r="I4" s="1990"/>
      <c r="J4" s="1990"/>
      <c r="K4" s="1990"/>
      <c r="L4" s="1990"/>
      <c r="M4" s="1990"/>
      <c r="N4" s="1990"/>
      <c r="O4" s="1990"/>
      <c r="P4" s="1990"/>
      <c r="Q4" s="1990"/>
      <c r="R4" s="1990"/>
    </row>
    <row r="5" spans="1:18" ht="27">
      <c r="A5" s="1223"/>
      <c r="B5" s="1225" t="s">
        <v>1669</v>
      </c>
      <c r="C5" s="3027"/>
      <c r="D5" s="1991"/>
      <c r="E5" s="1226"/>
      <c r="F5" s="1225" t="s">
        <v>2545</v>
      </c>
      <c r="G5" s="3028" t="s">
        <v>2913</v>
      </c>
      <c r="H5" s="1990"/>
      <c r="I5" s="1990"/>
      <c r="J5" s="1990"/>
      <c r="K5" s="1990"/>
      <c r="L5" s="1990"/>
      <c r="M5" s="1990"/>
      <c r="N5" s="1990"/>
      <c r="O5" s="1990"/>
      <c r="P5" s="1990"/>
      <c r="Q5" s="1990"/>
      <c r="R5" s="1990"/>
    </row>
    <row r="6" spans="1:18" ht="121.5">
      <c r="A6" s="1223"/>
      <c r="B6" s="1225" t="s">
        <v>1655</v>
      </c>
      <c r="C6" s="3230" t="s">
        <v>3255</v>
      </c>
      <c r="D6" s="1991"/>
      <c r="E6" s="1226"/>
      <c r="F6" s="1225" t="s">
        <v>2546</v>
      </c>
      <c r="G6" s="3028" t="s">
        <v>2911</v>
      </c>
      <c r="H6" s="1990"/>
      <c r="I6" s="1990"/>
      <c r="J6" s="1990"/>
      <c r="K6" s="1990"/>
      <c r="L6" s="1990"/>
      <c r="M6" s="1990"/>
      <c r="N6" s="1990"/>
      <c r="O6" s="1990"/>
      <c r="P6" s="1990"/>
      <c r="Q6" s="1990"/>
      <c r="R6" s="1990"/>
    </row>
    <row r="7" spans="1:18" ht="108.75" thickBot="1">
      <c r="A7" s="1223"/>
      <c r="B7" s="1225" t="s">
        <v>2545</v>
      </c>
      <c r="C7" s="3230" t="s">
        <v>3259</v>
      </c>
      <c r="D7" s="1992"/>
      <c r="E7" s="1228"/>
      <c r="F7" s="1229" t="s">
        <v>1670</v>
      </c>
      <c r="G7" s="3030" t="s">
        <v>2914</v>
      </c>
      <c r="H7" s="1990"/>
      <c r="I7" s="1990"/>
      <c r="J7" s="1990"/>
      <c r="K7" s="1990"/>
      <c r="L7" s="1990"/>
      <c r="M7" s="1990"/>
      <c r="N7" s="1990"/>
      <c r="O7" s="1990"/>
      <c r="P7" s="1990"/>
      <c r="Q7" s="1990"/>
      <c r="R7" s="1990"/>
    </row>
    <row r="8" spans="1:18" ht="27">
      <c r="A8" s="1223"/>
      <c r="B8" s="1225" t="s">
        <v>2546</v>
      </c>
      <c r="C8" s="3230" t="s">
        <v>3258</v>
      </c>
      <c r="D8" s="1992"/>
      <c r="E8" s="1992"/>
      <c r="F8" s="1537"/>
      <c r="G8" s="1537"/>
      <c r="H8" s="1990"/>
      <c r="I8" s="1990"/>
      <c r="J8" s="1990"/>
      <c r="K8" s="1990"/>
      <c r="L8" s="1990"/>
      <c r="M8" s="1990"/>
      <c r="N8" s="1990"/>
      <c r="O8" s="1990"/>
      <c r="P8" s="1990"/>
      <c r="Q8" s="1990"/>
      <c r="R8" s="1990"/>
    </row>
    <row r="9" spans="1:18" ht="81">
      <c r="A9" s="1223"/>
      <c r="B9" s="1225" t="s">
        <v>1656</v>
      </c>
      <c r="C9" s="3231" t="s">
        <v>3256</v>
      </c>
      <c r="D9" s="1991"/>
      <c r="E9" s="1992"/>
      <c r="F9" s="1537"/>
      <c r="G9" s="1537"/>
      <c r="H9" s="1990"/>
      <c r="I9" s="1990"/>
      <c r="J9" s="1990"/>
      <c r="K9" s="1990"/>
      <c r="L9" s="1990"/>
      <c r="M9" s="1990"/>
      <c r="N9" s="1990"/>
      <c r="O9" s="1990"/>
      <c r="P9" s="1990"/>
      <c r="Q9" s="1990"/>
      <c r="R9" s="1990"/>
    </row>
    <row r="10" spans="1:18" s="1998" customFormat="1" ht="14.25" thickBot="1">
      <c r="A10" s="1230"/>
      <c r="B10" s="1231" t="s">
        <v>1671</v>
      </c>
      <c r="C10" s="3232" t="s">
        <v>3257</v>
      </c>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67.5">
      <c r="A15" s="2549" t="s">
        <v>1657</v>
      </c>
      <c r="B15" s="1236" t="s">
        <v>1653</v>
      </c>
      <c r="C15" s="1237" t="str">
        <f>C3</f>
        <v>估价对象位于北京市顺义区北小营镇顺义新城，周边有水色时光花园、永利小区等住宅社区，居住社区成熟度一般</v>
      </c>
      <c r="D15" s="1991"/>
      <c r="E15" s="2546" t="s">
        <v>1658</v>
      </c>
      <c r="F15" s="1236" t="s">
        <v>1673</v>
      </c>
      <c r="G15" s="1238" t="str">
        <f>G3</f>
        <v>估价对象位于XX开发区，园区建设成熟度XX，产业集聚程度XX</v>
      </c>
    </row>
    <row r="16" spans="1:18" ht="40.5">
      <c r="A16" s="2550"/>
      <c r="B16" s="1239" t="s">
        <v>1667</v>
      </c>
      <c r="C16" s="1240">
        <f>C4</f>
        <v>0</v>
      </c>
      <c r="D16" s="1991"/>
      <c r="E16" s="2547"/>
      <c r="F16" s="1241" t="s">
        <v>1668</v>
      </c>
      <c r="G16" s="1003" t="str">
        <f>G4</f>
        <v>估价对象周边道路状况、公共交通通达情况、停车便捷程度，综合评价交通便捷度较好</v>
      </c>
    </row>
    <row r="17" spans="1:7" ht="14.25">
      <c r="A17" s="2550"/>
      <c r="B17" s="1239" t="s">
        <v>1669</v>
      </c>
      <c r="C17" s="1240">
        <f>C5</f>
        <v>0</v>
      </c>
      <c r="D17" s="1992"/>
      <c r="E17" s="2547"/>
      <c r="F17" s="1241" t="s">
        <v>1674</v>
      </c>
      <c r="G17" s="2747"/>
    </row>
    <row r="18" spans="1:7" ht="121.5">
      <c r="A18" s="2550"/>
      <c r="B18" s="1241" t="s">
        <v>1655</v>
      </c>
      <c r="C18" s="1003" t="str">
        <f>C6</f>
        <v>估价对象紧邻城市主干道——昌金路，临近城市主干道——顺密路。估价对象周边有顺16路、顺27路、顺32路、顺37路等多条公交线路通过，距离地铁15号线（俸伯站）约9公里，综合评价交通便捷度一般</v>
      </c>
      <c r="D18" s="1992"/>
      <c r="E18" s="2547"/>
      <c r="F18" s="1241" t="s">
        <v>1670</v>
      </c>
      <c r="G18" s="1003" t="str">
        <f>G7</f>
        <v>该园区内是否有污染型企业，绿化情况，卫生条件，整体环境状况判断</v>
      </c>
    </row>
    <row r="19" spans="1:7" ht="27">
      <c r="A19" s="2550"/>
      <c r="B19" s="1241" t="s">
        <v>1659</v>
      </c>
      <c r="C19" s="2747"/>
      <c r="D19" s="1991"/>
      <c r="E19" s="2547"/>
      <c r="F19" s="1225" t="s">
        <v>2545</v>
      </c>
      <c r="G19" s="1003" t="str">
        <f>G5</f>
        <v>估价对象所在区域公共配套设施齐备情况</v>
      </c>
    </row>
    <row r="20" spans="1:7" ht="81">
      <c r="A20" s="2550"/>
      <c r="B20" s="1241" t="s">
        <v>1660</v>
      </c>
      <c r="C20" s="1240" t="str">
        <f>C9</f>
        <v>估价对象周边有箭杆河、民悦广场、凤阳广场、顺义奥林匹克水上公园等自然景观；有北小营镇政府等人文设施，综合考虑自然环境与人文环境一般</v>
      </c>
      <c r="D20" s="1992"/>
      <c r="E20" s="2547"/>
      <c r="F20" s="1225" t="s">
        <v>2546</v>
      </c>
      <c r="G20" s="1003" t="str">
        <f>G6</f>
        <v>估价对象所在区域基础设施水平</v>
      </c>
    </row>
    <row r="21" spans="1:7" ht="108">
      <c r="A21" s="2550"/>
      <c r="B21" s="1225" t="s">
        <v>2545</v>
      </c>
      <c r="C21" s="1003" t="str">
        <f>C7</f>
        <v>估价对象所在区域有银行（北京顺义银座村镇银行(北小营支行)等），学校（北京顺义第十三中学等），无大型购物场所、医院、餐饮等公共配套设施，综合确定公共配套设施齐备度一般</v>
      </c>
      <c r="D21" s="1991"/>
      <c r="E21" s="2547"/>
      <c r="F21" s="1241" t="s">
        <v>1661</v>
      </c>
      <c r="G21" s="3031"/>
    </row>
    <row r="22" spans="1:7" ht="27">
      <c r="A22" s="2550"/>
      <c r="B22" s="1225" t="s">
        <v>2546</v>
      </c>
      <c r="C22" s="1003" t="str">
        <f>C8</f>
        <v>估价对象所在区域基础设施水平为六通</v>
      </c>
      <c r="D22" s="1991"/>
      <c r="E22" s="2547"/>
      <c r="F22" s="1241" t="s">
        <v>1671</v>
      </c>
      <c r="G22" s="2747"/>
    </row>
    <row r="23" spans="1:7" ht="15" thickBot="1">
      <c r="A23" s="2550"/>
      <c r="B23" s="1241" t="s">
        <v>1661</v>
      </c>
      <c r="C23" s="3031"/>
      <c r="E23" s="2548"/>
      <c r="F23" s="1242" t="s">
        <v>1675</v>
      </c>
      <c r="G23" s="3032"/>
    </row>
    <row r="24" spans="1:7" ht="14.25" thickBot="1">
      <c r="A24" s="2551"/>
      <c r="B24" s="1242" t="s">
        <v>1662</v>
      </c>
      <c r="C24" s="1243" t="str">
        <f>C10</f>
        <v>次干道</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B14" sqref="B14"/>
    </sheetView>
  </sheetViews>
  <sheetFormatPr defaultColWidth="14.625" defaultRowHeight="13.5"/>
  <cols>
    <col min="1" max="1" width="24.375" customWidth="1"/>
  </cols>
  <sheetData>
    <row r="1" spans="1:9" ht="16.5">
      <c r="A1" s="2991" t="s">
        <v>2842</v>
      </c>
      <c r="B1" s="2991">
        <f>SUM(B14:B23)</f>
        <v>421294.36999999976</v>
      </c>
      <c r="C1" s="2992"/>
      <c r="D1" s="2992"/>
      <c r="E1" s="2992"/>
      <c r="F1" s="2992"/>
    </row>
    <row r="2" spans="1:9" ht="16.5">
      <c r="A2" s="2991" t="s">
        <v>2843</v>
      </c>
      <c r="B2" s="2991">
        <f>SUM(C14:C23)</f>
        <v>142581.63</v>
      </c>
      <c r="C2" s="2992"/>
      <c r="D2" s="2992"/>
      <c r="E2" s="2992"/>
      <c r="F2" s="2992"/>
    </row>
    <row r="3" spans="1:9" ht="16.5">
      <c r="A3" s="2991" t="s">
        <v>2844</v>
      </c>
      <c r="B3" s="2993">
        <f>项目基本情况!D3</f>
        <v>43830</v>
      </c>
      <c r="C3" s="2992"/>
      <c r="D3" s="2992"/>
      <c r="E3" s="2992"/>
      <c r="F3" s="2992"/>
    </row>
    <row r="4" spans="1:9" ht="33">
      <c r="A4" s="2991" t="s">
        <v>2845</v>
      </c>
      <c r="B4" s="2991" t="s">
        <v>2846</v>
      </c>
      <c r="C4" s="2991" t="s">
        <v>2847</v>
      </c>
      <c r="D4" s="2991" t="s">
        <v>2848</v>
      </c>
      <c r="E4" s="2992"/>
      <c r="F4" s="2992"/>
    </row>
    <row r="5" spans="1:9" ht="16.5">
      <c r="A5" s="2991" t="s">
        <v>2849</v>
      </c>
      <c r="B5" s="2991">
        <f ca="1">SUM(D14:D23)</f>
        <v>437065</v>
      </c>
      <c r="C5" s="2991">
        <f ca="1">ROUND(B5*10000/$B$1,0)</f>
        <v>10374</v>
      </c>
      <c r="D5" s="2991">
        <f ca="1">ROUND(B5*10000/$B$2,0)</f>
        <v>30654</v>
      </c>
      <c r="E5" s="2992"/>
      <c r="F5" s="2992"/>
    </row>
    <row r="6" spans="1:9" ht="16.5">
      <c r="A6" s="2991" t="s">
        <v>2850</v>
      </c>
      <c r="B6" s="2991">
        <f ca="1">SUM(G14:G23)</f>
        <v>432111</v>
      </c>
      <c r="C6" s="2991">
        <f t="shared" ref="C6:C8" ca="1" si="0">ROUND(B6*10000/$B$1,0)</f>
        <v>10257</v>
      </c>
      <c r="D6" s="2991">
        <f t="shared" ref="D6:D8" ca="1" si="1">ROUND(B6*10000/$B$2,0)</f>
        <v>30306</v>
      </c>
      <c r="E6" s="2992"/>
      <c r="F6" s="2992"/>
    </row>
    <row r="7" spans="1:9" ht="16.5">
      <c r="A7" s="2991" t="s">
        <v>2851</v>
      </c>
      <c r="B7" s="2991">
        <f>SUM(H14:H23)</f>
        <v>0</v>
      </c>
      <c r="C7" s="2991">
        <f t="shared" si="0"/>
        <v>0</v>
      </c>
      <c r="D7" s="2991">
        <f t="shared" si="1"/>
        <v>0</v>
      </c>
      <c r="E7" s="2992"/>
      <c r="F7" s="2992"/>
    </row>
    <row r="8" spans="1:9" ht="16.5">
      <c r="A8" s="2991" t="s">
        <v>2852</v>
      </c>
      <c r="B8" s="2991">
        <f>SUM(I14:I23)</f>
        <v>0</v>
      </c>
      <c r="C8" s="2991">
        <f t="shared" si="0"/>
        <v>0</v>
      </c>
      <c r="D8" s="2991">
        <f t="shared" si="1"/>
        <v>0</v>
      </c>
      <c r="E8" s="2992"/>
      <c r="F8" s="2992"/>
    </row>
    <row r="9" spans="1:9" ht="16.5">
      <c r="A9" s="2991" t="s">
        <v>2853</v>
      </c>
      <c r="B9" s="2994"/>
      <c r="C9" s="2992"/>
      <c r="D9" s="2992"/>
      <c r="E9" s="2992"/>
      <c r="F9" s="2992"/>
    </row>
    <row r="10" spans="1:9" ht="16.5">
      <c r="A10" s="2991" t="s">
        <v>2854</v>
      </c>
      <c r="B10" s="2994"/>
      <c r="C10" s="2992"/>
      <c r="D10" s="2992"/>
      <c r="E10" s="2992"/>
      <c r="F10" s="2992"/>
    </row>
    <row r="11" spans="1:9" ht="16.5">
      <c r="A11" s="2991" t="s">
        <v>2871</v>
      </c>
      <c r="B11" s="2994"/>
      <c r="C11" s="2992"/>
      <c r="D11" s="2992"/>
      <c r="E11" s="2992"/>
      <c r="F11" s="2992"/>
    </row>
    <row r="12" spans="1:9" ht="16.5">
      <c r="A12" s="2992"/>
      <c r="B12" s="2992"/>
      <c r="C12" s="2992"/>
      <c r="D12" s="2992"/>
      <c r="E12" s="2992"/>
      <c r="F12" s="2992"/>
    </row>
    <row r="13" spans="1:9" ht="33">
      <c r="A13" s="2997" t="s">
        <v>2870</v>
      </c>
      <c r="B13" s="2995" t="s">
        <v>2842</v>
      </c>
      <c r="C13" s="2995" t="s">
        <v>2843</v>
      </c>
      <c r="D13" s="2995" t="s">
        <v>2855</v>
      </c>
      <c r="E13" s="2991" t="s">
        <v>2869</v>
      </c>
      <c r="F13" s="2991" t="s">
        <v>2848</v>
      </c>
      <c r="G13" s="2995" t="s">
        <v>2856</v>
      </c>
      <c r="H13" s="2995" t="s">
        <v>2857</v>
      </c>
      <c r="I13" s="2995" t="s">
        <v>2858</v>
      </c>
    </row>
    <row r="14" spans="1:9" ht="16.5">
      <c r="A14" s="2998" t="s">
        <v>2868</v>
      </c>
      <c r="B14" s="2995">
        <f>结果表!L38</f>
        <v>421294.36999999976</v>
      </c>
      <c r="C14" s="2995">
        <f>结果表!K38</f>
        <v>142581.63</v>
      </c>
      <c r="D14" s="2995">
        <f ca="1">结果表!C42</f>
        <v>437065</v>
      </c>
      <c r="E14" s="2995">
        <f ca="1">ROUND(D14*10000/B14,0)</f>
        <v>10374</v>
      </c>
      <c r="F14" s="2995">
        <f ca="1">ROUND(D14*10000/C14,0)</f>
        <v>30654</v>
      </c>
      <c r="G14" s="2995">
        <f ca="1">结果表!C44</f>
        <v>432111</v>
      </c>
      <c r="H14" s="2995" t="str">
        <f>结果表!C45</f>
        <v>——</v>
      </c>
      <c r="I14" s="2995" t="str">
        <f>结果表!C46</f>
        <v>——</v>
      </c>
    </row>
    <row r="15" spans="1:9" ht="16.5">
      <c r="A15" s="2998" t="s">
        <v>2859</v>
      </c>
      <c r="B15" s="2999"/>
      <c r="C15" s="2999"/>
      <c r="D15" s="2999"/>
      <c r="E15" s="2995" t="e">
        <f t="shared" ref="E15:E23" si="2">ROUND(D15*10000/B15,0)</f>
        <v>#DIV/0!</v>
      </c>
      <c r="F15" s="2995" t="e">
        <f t="shared" ref="F15:F23" si="3">ROUND(D15*10000/C15,0)</f>
        <v>#DIV/0!</v>
      </c>
      <c r="G15" s="2996"/>
      <c r="H15" s="2996"/>
      <c r="I15" s="2999"/>
    </row>
    <row r="16" spans="1:9" ht="16.5">
      <c r="A16" s="2998" t="s">
        <v>2860</v>
      </c>
      <c r="B16" s="2999"/>
      <c r="C16" s="2999"/>
      <c r="D16" s="2999"/>
      <c r="E16" s="2995" t="e">
        <f t="shared" si="2"/>
        <v>#DIV/0!</v>
      </c>
      <c r="F16" s="2995" t="e">
        <f t="shared" si="3"/>
        <v>#DIV/0!</v>
      </c>
      <c r="G16" s="2996"/>
      <c r="H16" s="2996"/>
      <c r="I16" s="2999"/>
    </row>
    <row r="17" spans="1:9" ht="16.5">
      <c r="A17" s="2998" t="s">
        <v>2861</v>
      </c>
      <c r="B17" s="2999"/>
      <c r="C17" s="2999"/>
      <c r="D17" s="2999"/>
      <c r="E17" s="2995" t="e">
        <f t="shared" si="2"/>
        <v>#DIV/0!</v>
      </c>
      <c r="F17" s="2995" t="e">
        <f t="shared" si="3"/>
        <v>#DIV/0!</v>
      </c>
      <c r="G17" s="2996"/>
      <c r="H17" s="2996"/>
      <c r="I17" s="2999"/>
    </row>
    <row r="18" spans="1:9" ht="16.5">
      <c r="A18" s="2998" t="s">
        <v>2862</v>
      </c>
      <c r="B18" s="2999"/>
      <c r="C18" s="2999"/>
      <c r="D18" s="2999"/>
      <c r="E18" s="2995" t="e">
        <f t="shared" si="2"/>
        <v>#DIV/0!</v>
      </c>
      <c r="F18" s="2995" t="e">
        <f t="shared" si="3"/>
        <v>#DIV/0!</v>
      </c>
      <c r="G18" s="2999"/>
      <c r="H18" s="2999"/>
      <c r="I18" s="2999"/>
    </row>
    <row r="19" spans="1:9" ht="16.5">
      <c r="A19" s="2998" t="s">
        <v>2863</v>
      </c>
      <c r="B19" s="2999"/>
      <c r="C19" s="2999"/>
      <c r="D19" s="2999"/>
      <c r="E19" s="2995" t="e">
        <f t="shared" si="2"/>
        <v>#DIV/0!</v>
      </c>
      <c r="F19" s="2995" t="e">
        <f t="shared" si="3"/>
        <v>#DIV/0!</v>
      </c>
      <c r="G19" s="2999"/>
      <c r="H19" s="2999"/>
      <c r="I19" s="2999"/>
    </row>
    <row r="20" spans="1:9" ht="16.5">
      <c r="A20" s="2998" t="s">
        <v>2864</v>
      </c>
      <c r="B20" s="2999"/>
      <c r="C20" s="2999"/>
      <c r="D20" s="2999"/>
      <c r="E20" s="2995" t="e">
        <f t="shared" si="2"/>
        <v>#DIV/0!</v>
      </c>
      <c r="F20" s="2995" t="e">
        <f t="shared" si="3"/>
        <v>#DIV/0!</v>
      </c>
      <c r="G20" s="2999"/>
      <c r="H20" s="2999"/>
      <c r="I20" s="2999"/>
    </row>
    <row r="21" spans="1:9" ht="16.5">
      <c r="A21" s="2998" t="s">
        <v>2865</v>
      </c>
      <c r="B21" s="2999"/>
      <c r="C21" s="2999"/>
      <c r="D21" s="2999"/>
      <c r="E21" s="2995" t="e">
        <f t="shared" si="2"/>
        <v>#DIV/0!</v>
      </c>
      <c r="F21" s="2995" t="e">
        <f t="shared" si="3"/>
        <v>#DIV/0!</v>
      </c>
      <c r="G21" s="2999"/>
      <c r="H21" s="2999"/>
      <c r="I21" s="2999"/>
    </row>
    <row r="22" spans="1:9" ht="16.5">
      <c r="A22" s="2998" t="s">
        <v>2866</v>
      </c>
      <c r="B22" s="2999"/>
      <c r="C22" s="2999"/>
      <c r="D22" s="2999"/>
      <c r="E22" s="2995" t="e">
        <f t="shared" si="2"/>
        <v>#DIV/0!</v>
      </c>
      <c r="F22" s="2995" t="e">
        <f t="shared" si="3"/>
        <v>#DIV/0!</v>
      </c>
      <c r="G22" s="2999"/>
      <c r="H22" s="2999"/>
      <c r="I22" s="2999"/>
    </row>
    <row r="23" spans="1:9" ht="16.5">
      <c r="A23" s="2998" t="s">
        <v>2867</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Normal="100" zoomScaleSheetLayoutView="100" zoomScalePageLayoutView="80" workbookViewId="0">
      <selection activeCell="H31" sqref="H3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2054</v>
      </c>
      <c r="B1" s="1759"/>
      <c r="C1" s="1787" t="s">
        <v>2055</v>
      </c>
      <c r="D1" s="1788"/>
      <c r="E1" s="1787" t="s">
        <v>2056</v>
      </c>
      <c r="F1" s="1789" t="s">
        <v>3157</v>
      </c>
      <c r="G1" s="309"/>
      <c r="H1" s="309"/>
      <c r="I1" s="309"/>
      <c r="J1" s="2011"/>
      <c r="K1" s="2011"/>
      <c r="L1" s="2011"/>
      <c r="M1" s="2011"/>
      <c r="N1" s="2011"/>
      <c r="O1" s="2011"/>
      <c r="P1" s="2011"/>
      <c r="Q1" s="2011"/>
      <c r="R1" s="2011"/>
      <c r="S1" s="2011"/>
      <c r="T1" s="2011"/>
      <c r="U1" s="2011"/>
      <c r="V1" s="2011"/>
    </row>
    <row r="2" spans="1:22" ht="21.75" customHeight="1" thickBot="1">
      <c r="A2" s="3365" t="str">
        <f>项目基本情况!K2</f>
        <v>北京市顺义区北小营镇顺义新城第30街区30-01-02地块R2二类居住用地出让国有建设用地使用权</v>
      </c>
      <c r="B2" s="3366"/>
      <c r="C2" s="3367"/>
      <c r="D2" s="3367"/>
      <c r="E2" s="3367"/>
      <c r="F2" s="3367"/>
      <c r="G2" s="3366"/>
      <c r="H2" s="3366"/>
      <c r="I2" s="3368"/>
      <c r="J2" s="2012"/>
      <c r="K2" s="2011"/>
      <c r="L2" s="2011"/>
      <c r="M2" s="2011"/>
      <c r="N2" s="2011"/>
      <c r="O2" s="2011"/>
      <c r="P2" s="2011"/>
      <c r="Q2" s="2011"/>
      <c r="R2" s="2011"/>
      <c r="S2" s="2011"/>
      <c r="T2" s="2011"/>
      <c r="U2" s="2011"/>
      <c r="V2" s="2011"/>
    </row>
    <row r="3" spans="1:22" ht="14.25">
      <c r="A3" s="3358" t="s">
        <v>298</v>
      </c>
      <c r="B3" s="3359"/>
      <c r="C3" s="3359"/>
      <c r="D3" s="3359"/>
      <c r="E3" s="3359"/>
      <c r="F3" s="3359"/>
      <c r="G3" s="3359"/>
      <c r="H3" s="3359"/>
      <c r="I3" s="3359"/>
      <c r="J3" s="2012"/>
      <c r="K3" s="2011"/>
      <c r="L3" s="2011"/>
      <c r="M3" s="2011"/>
      <c r="N3" s="2011"/>
      <c r="O3" s="2011"/>
      <c r="P3" s="2011"/>
      <c r="Q3" s="2011"/>
      <c r="R3" s="2011"/>
      <c r="S3" s="2011"/>
      <c r="T3" s="2011"/>
      <c r="U3" s="2011"/>
      <c r="V3" s="2011"/>
    </row>
    <row r="4" spans="1:22" ht="14.25">
      <c r="A4" s="256" t="s">
        <v>299</v>
      </c>
      <c r="B4" s="257" t="s">
        <v>300</v>
      </c>
      <c r="C4" s="258" t="s">
        <v>3126</v>
      </c>
      <c r="D4" s="258" t="s">
        <v>3127</v>
      </c>
      <c r="E4" s="3330" t="s">
        <v>301</v>
      </c>
      <c r="F4" s="3331"/>
      <c r="G4" s="3331"/>
      <c r="H4" s="3331"/>
      <c r="I4" s="3360"/>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29" t="s">
        <v>302</v>
      </c>
      <c r="B5" s="3355">
        <v>25</v>
      </c>
      <c r="C5" s="3353"/>
      <c r="D5" s="3357"/>
      <c r="E5" s="259" t="s">
        <v>303</v>
      </c>
      <c r="F5" s="260"/>
      <c r="G5" s="260"/>
      <c r="H5" s="260"/>
      <c r="I5" s="261"/>
      <c r="J5" s="2012"/>
      <c r="K5" s="2011"/>
      <c r="L5" s="2011"/>
      <c r="M5" s="2011"/>
      <c r="N5" s="2011"/>
      <c r="O5" s="2011"/>
      <c r="P5" s="2011"/>
      <c r="Q5" s="2011"/>
      <c r="R5" s="2011"/>
      <c r="S5" s="2011"/>
      <c r="T5" s="2011"/>
      <c r="U5" s="2011"/>
      <c r="V5" s="2011"/>
    </row>
    <row r="6" spans="1:22" ht="14.25">
      <c r="A6" s="3329"/>
      <c r="B6" s="3355"/>
      <c r="C6" s="3356"/>
      <c r="D6" s="3357"/>
      <c r="E6" s="259" t="s">
        <v>304</v>
      </c>
      <c r="F6" s="260"/>
      <c r="G6" s="260"/>
      <c r="H6" s="260"/>
      <c r="I6" s="261"/>
      <c r="J6" s="2012"/>
      <c r="K6" s="2011"/>
      <c r="L6" s="2011"/>
      <c r="M6" s="2011"/>
      <c r="N6" s="2011"/>
      <c r="O6" s="2011"/>
      <c r="P6" s="2011"/>
      <c r="Q6" s="2011"/>
      <c r="R6" s="2011"/>
      <c r="S6" s="2011"/>
      <c r="T6" s="2011"/>
      <c r="U6" s="2011"/>
      <c r="V6" s="2011"/>
    </row>
    <row r="7" spans="1:22" ht="14.25">
      <c r="A7" s="3329"/>
      <c r="B7" s="3355"/>
      <c r="C7" s="3354"/>
      <c r="D7" s="3357"/>
      <c r="E7" s="259" t="s">
        <v>305</v>
      </c>
      <c r="F7" s="260"/>
      <c r="G7" s="260"/>
      <c r="H7" s="260"/>
      <c r="I7" s="261"/>
      <c r="J7" s="2012"/>
      <c r="K7" s="2011"/>
      <c r="L7" s="2011"/>
      <c r="M7" s="2011"/>
      <c r="N7" s="2011"/>
      <c r="O7" s="2011"/>
      <c r="P7" s="2011"/>
      <c r="Q7" s="2011"/>
      <c r="R7" s="2011"/>
      <c r="S7" s="2011"/>
      <c r="T7" s="2011"/>
      <c r="U7" s="2011"/>
      <c r="V7" s="2011"/>
    </row>
    <row r="8" spans="1:22" ht="14.25">
      <c r="A8" s="3329" t="s">
        <v>306</v>
      </c>
      <c r="B8" s="3355">
        <v>15</v>
      </c>
      <c r="C8" s="3353"/>
      <c r="D8" s="3357"/>
      <c r="E8" s="259" t="s">
        <v>307</v>
      </c>
      <c r="F8" s="260"/>
      <c r="G8" s="260"/>
      <c r="H8" s="260"/>
      <c r="I8" s="261"/>
      <c r="J8" s="2012"/>
      <c r="K8" s="2011"/>
      <c r="L8" s="2011"/>
      <c r="M8" s="2011"/>
      <c r="N8" s="2011"/>
      <c r="O8" s="2011"/>
      <c r="P8" s="2011"/>
      <c r="Q8" s="2011"/>
      <c r="R8" s="2011"/>
      <c r="S8" s="2011"/>
      <c r="T8" s="2011"/>
      <c r="U8" s="2011"/>
      <c r="V8" s="2011"/>
    </row>
    <row r="9" spans="1:22" ht="14.25">
      <c r="A9" s="3329"/>
      <c r="B9" s="3355"/>
      <c r="C9" s="3354"/>
      <c r="D9" s="3357"/>
      <c r="E9" s="259" t="s">
        <v>308</v>
      </c>
      <c r="F9" s="260"/>
      <c r="G9" s="260"/>
      <c r="H9" s="260"/>
      <c r="I9" s="261"/>
      <c r="J9" s="2012"/>
      <c r="K9" s="2011"/>
      <c r="L9" s="2011"/>
      <c r="M9" s="2011"/>
      <c r="N9" s="2011"/>
      <c r="O9" s="2011"/>
      <c r="P9" s="2011"/>
      <c r="Q9" s="2011"/>
      <c r="R9" s="2011"/>
      <c r="S9" s="2011"/>
      <c r="T9" s="2011"/>
      <c r="U9" s="2011"/>
      <c r="V9" s="2011"/>
    </row>
    <row r="10" spans="1:22" ht="14.25">
      <c r="A10" s="3329" t="s">
        <v>309</v>
      </c>
      <c r="B10" s="3355">
        <v>15</v>
      </c>
      <c r="C10" s="3353"/>
      <c r="D10" s="3357"/>
      <c r="E10" s="259" t="s">
        <v>310</v>
      </c>
      <c r="F10" s="260"/>
      <c r="G10" s="260"/>
      <c r="H10" s="260"/>
      <c r="I10" s="261"/>
      <c r="J10" s="2012"/>
      <c r="K10" s="2011"/>
      <c r="L10" s="2011"/>
      <c r="M10" s="2011"/>
      <c r="N10" s="2011"/>
      <c r="O10" s="2011"/>
      <c r="P10" s="2011"/>
      <c r="Q10" s="2011"/>
      <c r="R10" s="2011"/>
      <c r="S10" s="2011"/>
      <c r="T10" s="2011"/>
      <c r="U10" s="2011"/>
      <c r="V10" s="2011"/>
    </row>
    <row r="11" spans="1:22" ht="14.25">
      <c r="A11" s="3329"/>
      <c r="B11" s="3355"/>
      <c r="C11" s="3354"/>
      <c r="D11" s="3357"/>
      <c r="E11" s="259" t="s">
        <v>311</v>
      </c>
      <c r="F11" s="260"/>
      <c r="G11" s="260"/>
      <c r="H11" s="260"/>
      <c r="I11" s="261"/>
      <c r="J11" s="2012"/>
      <c r="K11" s="2011"/>
      <c r="L11" s="2011"/>
      <c r="M11" s="2011"/>
      <c r="N11" s="2011"/>
      <c r="O11" s="2011"/>
      <c r="P11" s="2011"/>
      <c r="Q11" s="2011"/>
      <c r="R11" s="2011"/>
      <c r="S11" s="2011"/>
      <c r="T11" s="2011"/>
      <c r="U11" s="2011"/>
      <c r="V11" s="2011"/>
    </row>
    <row r="12" spans="1:22" ht="14.25">
      <c r="A12" s="3329" t="s">
        <v>312</v>
      </c>
      <c r="B12" s="3355">
        <v>15</v>
      </c>
      <c r="C12" s="3353"/>
      <c r="D12" s="3357"/>
      <c r="E12" s="259" t="s">
        <v>313</v>
      </c>
      <c r="F12" s="260"/>
      <c r="G12" s="260"/>
      <c r="H12" s="260"/>
      <c r="I12" s="261"/>
      <c r="J12" s="2012"/>
      <c r="K12" s="2011"/>
      <c r="L12" s="2011"/>
      <c r="M12" s="2011"/>
      <c r="N12" s="2011"/>
      <c r="O12" s="2011"/>
      <c r="P12" s="2011"/>
      <c r="Q12" s="2011"/>
      <c r="R12" s="2011"/>
      <c r="S12" s="2011"/>
      <c r="T12" s="2011"/>
      <c r="U12" s="2011"/>
      <c r="V12" s="2011"/>
    </row>
    <row r="13" spans="1:22" ht="14.25">
      <c r="A13" s="3329"/>
      <c r="B13" s="3355"/>
      <c r="C13" s="3354"/>
      <c r="D13" s="3357"/>
      <c r="E13" s="259" t="s">
        <v>314</v>
      </c>
      <c r="F13" s="260"/>
      <c r="G13" s="260"/>
      <c r="H13" s="260"/>
      <c r="I13" s="261"/>
      <c r="J13" s="2012"/>
      <c r="K13" s="2011"/>
      <c r="L13" s="2011"/>
      <c r="M13" s="2011"/>
      <c r="N13" s="2011"/>
      <c r="O13" s="2011"/>
      <c r="P13" s="2011"/>
      <c r="Q13" s="2011"/>
      <c r="R13" s="2011"/>
      <c r="S13" s="2011"/>
      <c r="T13" s="2011"/>
      <c r="U13" s="2011"/>
      <c r="V13" s="2011"/>
    </row>
    <row r="14" spans="1:22" ht="14.25">
      <c r="A14" s="3329" t="s">
        <v>315</v>
      </c>
      <c r="B14" s="3355">
        <v>30</v>
      </c>
      <c r="C14" s="3353">
        <v>5</v>
      </c>
      <c r="D14" s="3357">
        <v>5</v>
      </c>
      <c r="E14" s="259" t="s">
        <v>316</v>
      </c>
      <c r="F14" s="260"/>
      <c r="G14" s="260"/>
      <c r="H14" s="260"/>
      <c r="I14" s="261"/>
      <c r="J14" s="2012"/>
      <c r="K14" s="2011"/>
      <c r="L14" s="2011"/>
      <c r="M14" s="2011"/>
      <c r="N14" s="2011"/>
      <c r="O14" s="2011"/>
      <c r="P14" s="2011"/>
      <c r="Q14" s="2011"/>
      <c r="R14" s="2011"/>
      <c r="S14" s="2011"/>
      <c r="T14" s="2011"/>
      <c r="U14" s="2011"/>
      <c r="V14" s="2011"/>
    </row>
    <row r="15" spans="1:22" ht="14.25">
      <c r="A15" s="3329"/>
      <c r="B15" s="3355"/>
      <c r="C15" s="3356"/>
      <c r="D15" s="3357"/>
      <c r="E15" s="259" t="s">
        <v>317</v>
      </c>
      <c r="F15" s="260"/>
      <c r="G15" s="260"/>
      <c r="H15" s="260"/>
      <c r="I15" s="261"/>
      <c r="J15" s="2012"/>
      <c r="K15" s="2011"/>
      <c r="L15" s="2011"/>
      <c r="M15" s="2011"/>
      <c r="N15" s="2011"/>
      <c r="O15" s="2011"/>
      <c r="P15" s="2011"/>
      <c r="Q15" s="2011"/>
      <c r="R15" s="2011"/>
      <c r="S15" s="2011"/>
      <c r="T15" s="2011"/>
      <c r="U15" s="2011"/>
      <c r="V15" s="2011"/>
    </row>
    <row r="16" spans="1:22" ht="14.25">
      <c r="A16" s="3329"/>
      <c r="B16" s="3355"/>
      <c r="C16" s="3354"/>
      <c r="D16" s="3357"/>
      <c r="E16" s="259" t="s">
        <v>318</v>
      </c>
      <c r="F16" s="260"/>
      <c r="G16" s="260"/>
      <c r="H16" s="260"/>
      <c r="I16" s="261"/>
      <c r="J16" s="2012"/>
      <c r="K16" s="2011"/>
      <c r="L16" s="2011"/>
      <c r="M16" s="2011"/>
      <c r="N16" s="2011"/>
      <c r="O16" s="2011"/>
      <c r="P16" s="2011"/>
      <c r="Q16" s="2011"/>
      <c r="R16" s="2011"/>
      <c r="S16" s="2011"/>
      <c r="T16" s="2011"/>
      <c r="U16" s="2011"/>
      <c r="V16" s="2011"/>
    </row>
    <row r="17" spans="1:26" ht="15">
      <c r="A17" s="262" t="s">
        <v>319</v>
      </c>
      <c r="B17" s="144"/>
      <c r="C17" s="263">
        <f>SUM(C5:C16)</f>
        <v>5</v>
      </c>
      <c r="D17" s="263">
        <f>SUM(D5:D16)</f>
        <v>5</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320</v>
      </c>
      <c r="B18" s="105"/>
      <c r="C18" s="265">
        <f>ROUND(C17/SUM(C17:D17),2)</f>
        <v>0.5</v>
      </c>
      <c r="D18" s="265">
        <f>1-C18</f>
        <v>0.5</v>
      </c>
      <c r="E18" s="309"/>
      <c r="F18" s="309"/>
      <c r="G18" s="309"/>
      <c r="H18" s="309"/>
      <c r="I18" s="309"/>
      <c r="J18" s="2011"/>
      <c r="K18" s="2011"/>
      <c r="L18" s="2011"/>
      <c r="M18" s="2011"/>
      <c r="N18" s="2011"/>
      <c r="O18" s="2011"/>
      <c r="P18" s="2011"/>
      <c r="Q18" s="2011"/>
      <c r="R18" s="2011"/>
      <c r="S18" s="2011"/>
      <c r="T18" s="2011"/>
      <c r="U18" s="2011"/>
      <c r="V18" s="2011"/>
    </row>
    <row r="19" spans="1:26" ht="15">
      <c r="A19" s="266" t="s">
        <v>321</v>
      </c>
      <c r="B19" s="267" t="s">
        <v>322</v>
      </c>
      <c r="C19" s="268">
        <f ca="1">SUMIF(INDIRECT("'"&amp;C4&amp;"'"&amp;"!A:A"),结果表!B19,INDIRECT("'"&amp;C4&amp;"'"&amp;"!B:B"))</f>
        <v>437262</v>
      </c>
      <c r="D19" s="269">
        <f ca="1">SUMIF(INDIRECT("'"&amp;D4&amp;"'"&amp;"!A:A"),结果表!B19,INDIRECT("'"&amp;D4&amp;"'"&amp;"!B:B"))</f>
        <v>436868</v>
      </c>
      <c r="E19" s="266" t="s">
        <v>323</v>
      </c>
      <c r="F19" s="267" t="s">
        <v>322</v>
      </c>
      <c r="G19" s="270">
        <f ca="1">ROUND(C19*$C$18+D19*$D$18,0)</f>
        <v>437065</v>
      </c>
      <c r="H19" s="271" t="s">
        <v>324</v>
      </c>
      <c r="I19" s="309"/>
      <c r="J19" s="2011"/>
      <c r="K19" s="2011"/>
      <c r="L19" s="2011"/>
      <c r="M19" s="2011"/>
      <c r="N19" s="2011"/>
      <c r="O19" s="2011"/>
      <c r="P19" s="2011"/>
      <c r="Q19" s="2011"/>
      <c r="R19" s="2011"/>
      <c r="S19" s="2011"/>
      <c r="T19" s="2011"/>
      <c r="U19" s="2011"/>
      <c r="V19" s="2011"/>
    </row>
    <row r="20" spans="1:26" ht="15">
      <c r="A20" s="272"/>
      <c r="B20" s="273" t="s">
        <v>325</v>
      </c>
      <c r="C20" s="274">
        <f ca="1">SUMIF(INDIRECT("'"&amp;C4&amp;"'"&amp;"!A:A"),结果表!B20,INDIRECT("'"&amp;C4&amp;"'"&amp;"!B:B"))</f>
        <v>10379</v>
      </c>
      <c r="D20" s="275">
        <f ca="1">SUMIF(INDIRECT("'"&amp;D4&amp;"'"&amp;"!A:A"),结果表!B20,INDIRECT("'"&amp;D4&amp;"'"&amp;"!B:B"))</f>
        <v>10370</v>
      </c>
      <c r="E20" s="272"/>
      <c r="F20" s="273" t="s">
        <v>325</v>
      </c>
      <c r="G20" s="276">
        <f ca="1">ROUND(C20*$C$18+D20*$D$18,0)</f>
        <v>10375</v>
      </c>
      <c r="H20" s="277" t="s">
        <v>326</v>
      </c>
      <c r="I20" s="309"/>
      <c r="J20" s="2011"/>
      <c r="K20" s="3184">
        <f ca="1">G19*10000/'数据-汇总表'!F31</f>
        <v>15343.612094781756</v>
      </c>
      <c r="L20" s="2011"/>
      <c r="M20" s="2011"/>
      <c r="N20" s="2011"/>
      <c r="O20" s="2011"/>
      <c r="P20" s="2011"/>
      <c r="Q20" s="2011"/>
      <c r="R20" s="2011"/>
      <c r="S20" s="2011"/>
      <c r="T20" s="2011"/>
      <c r="U20" s="2011"/>
      <c r="V20" s="2011"/>
    </row>
    <row r="21" spans="1:26" ht="15" customHeight="1">
      <c r="A21" s="272"/>
      <c r="B21" s="278" t="s">
        <v>327</v>
      </c>
      <c r="C21" s="279">
        <f ca="1">SUMIF(INDIRECT("'"&amp;C4&amp;"'"&amp;"!A:A"),结果表!B21,INDIRECT("'"&amp;C4&amp;"'"&amp;"!B:B"))</f>
        <v>30667</v>
      </c>
      <c r="D21" s="151">
        <f ca="1">SUMIF(INDIRECT("'"&amp;D4&amp;"'"&amp;"!A:A"),结果表!B21,INDIRECT("'"&amp;D4&amp;"'"&amp;"!B:B"))</f>
        <v>30640</v>
      </c>
      <c r="E21" s="272"/>
      <c r="F21" s="278" t="s">
        <v>327</v>
      </c>
      <c r="G21" s="280">
        <f ca="1">ROUND(C21*$C$18+D21*$D$18,0)</f>
        <v>30654</v>
      </c>
      <c r="H21" s="1245" t="s">
        <v>326</v>
      </c>
      <c r="I21" s="309"/>
      <c r="J21" s="2011"/>
      <c r="K21" s="2011"/>
      <c r="L21" s="2011"/>
      <c r="M21" s="2011"/>
      <c r="N21" s="2011"/>
      <c r="O21" s="2011"/>
      <c r="P21" s="2011"/>
      <c r="Q21" s="2011"/>
      <c r="R21" s="2011"/>
      <c r="S21" s="2011"/>
      <c r="T21" s="2011"/>
      <c r="U21" s="2011"/>
      <c r="V21" s="2011"/>
    </row>
    <row r="22" spans="1:26" ht="15.75" thickBot="1">
      <c r="A22" s="126" t="s">
        <v>328</v>
      </c>
      <c r="B22" s="1246"/>
      <c r="C22" s="1247"/>
      <c r="D22" s="281">
        <f ca="1">IF(C19&lt;D19,D19/C19-1,C19/D19-1)</f>
        <v>9.0187425034571334E-4</v>
      </c>
      <c r="E22" s="282"/>
      <c r="F22" s="283"/>
      <c r="G22" s="284">
        <f ca="1">ROUND(G19/('数据-汇总表'!D3/666.67),0)</f>
        <v>2044</v>
      </c>
      <c r="H22" s="285" t="s">
        <v>329</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35" t="s">
        <v>330</v>
      </c>
      <c r="B24" s="267" t="s">
        <v>322</v>
      </c>
      <c r="C24" s="286">
        <f>IF(B30=0,0,D30)</f>
        <v>0</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336"/>
      <c r="B25" s="1315" t="s">
        <v>331</v>
      </c>
      <c r="C25" s="288">
        <f>IF(B30=0,0,C30)</f>
        <v>0</v>
      </c>
      <c r="D25" s="289"/>
      <c r="E25" s="309"/>
      <c r="F25" s="309"/>
      <c r="G25" s="309"/>
      <c r="H25" s="309"/>
      <c r="I25" s="309"/>
      <c r="J25" s="2011"/>
      <c r="K25" s="1249" t="str">
        <f ca="1">项目基本情况!B16&amp;"国有建设用地使用权价格："&amp;O38&amp;"万元"</f>
        <v>出让国有建设用地使用权价格：437065万元</v>
      </c>
      <c r="L25" s="1250"/>
      <c r="M25" s="1250"/>
      <c r="N25" s="1250"/>
      <c r="O25" s="1251"/>
      <c r="P25" s="2011"/>
      <c r="Q25" s="2011"/>
      <c r="R25" s="2011"/>
      <c r="S25" s="2011"/>
      <c r="T25" s="2011"/>
      <c r="U25" s="2011"/>
      <c r="V25" s="2011"/>
    </row>
    <row r="26" spans="1:26" s="1248" customFormat="1" ht="18">
      <c r="A26" s="291" t="s">
        <v>332</v>
      </c>
      <c r="B26" s="292" t="s">
        <v>333</v>
      </c>
      <c r="C26" s="292" t="s">
        <v>334</v>
      </c>
      <c r="D26" s="293" t="s">
        <v>335</v>
      </c>
      <c r="E26" s="309"/>
      <c r="F26" s="309"/>
      <c r="G26" s="309"/>
      <c r="H26" s="309"/>
      <c r="I26" s="309"/>
      <c r="J26" s="2011"/>
      <c r="K26" s="1252" t="str">
        <f ca="1">"大写金额：人民币"&amp;NUMBERSTRING(INT(O38*10000),2)&amp;"元整"</f>
        <v>大写金额：人民币肆拾叁亿柒仟零陆拾伍万元整</v>
      </c>
      <c r="L26" s="1246"/>
      <c r="M26" s="1246"/>
      <c r="N26" s="1246"/>
      <c r="O26" s="1245"/>
      <c r="P26" s="2011"/>
      <c r="Q26" s="2011"/>
      <c r="R26" s="2011"/>
      <c r="S26" s="2011"/>
      <c r="T26" s="2011"/>
      <c r="U26" s="2011"/>
      <c r="V26" s="2011"/>
      <c r="W26" s="290"/>
      <c r="X26" s="290"/>
      <c r="Y26" s="290"/>
      <c r="Z26" s="290"/>
    </row>
    <row r="27" spans="1:26" ht="18">
      <c r="A27" s="291"/>
      <c r="B27" s="292"/>
      <c r="C27" s="292"/>
      <c r="D27" s="293"/>
      <c r="E27" s="309"/>
      <c r="F27" s="309"/>
      <c r="G27" s="309"/>
      <c r="H27" s="309"/>
      <c r="I27" s="309"/>
      <c r="J27" s="2011"/>
      <c r="K27" s="1252" t="str">
        <f ca="1">"单位面积地价："&amp;M38&amp;"元/平方米"</f>
        <v>单位面积地价：30654元/平方米</v>
      </c>
      <c r="L27" s="1246"/>
      <c r="M27" s="1246"/>
      <c r="N27" s="1246"/>
      <c r="O27" s="1245"/>
      <c r="P27" s="2011"/>
      <c r="Q27" s="2011"/>
      <c r="R27" s="2011"/>
      <c r="S27" s="2011"/>
      <c r="T27" s="2011"/>
      <c r="U27" s="2011"/>
      <c r="V27" s="2011"/>
    </row>
    <row r="28" spans="1:26" ht="18.75" customHeight="1">
      <c r="A28" s="291"/>
      <c r="B28" s="292"/>
      <c r="C28" s="292"/>
      <c r="D28" s="293"/>
      <c r="E28" s="309"/>
      <c r="F28" s="309"/>
      <c r="G28" s="309"/>
      <c r="H28" s="309"/>
      <c r="I28" s="309"/>
      <c r="J28" s="2011"/>
      <c r="K28" s="1252" t="str">
        <f ca="1">"楼面地价："&amp;N38&amp;"元/平方米"</f>
        <v>楼面地价：10374元/平方米</v>
      </c>
      <c r="L28" s="1246"/>
      <c r="M28" s="1246"/>
      <c r="N28" s="1246"/>
      <c r="O28" s="1245"/>
      <c r="P28" s="2011"/>
      <c r="V28" s="2011"/>
    </row>
    <row r="29" spans="1:26" ht="18">
      <c r="A29" s="291"/>
      <c r="B29" s="292"/>
      <c r="C29" s="292"/>
      <c r="D29" s="293"/>
      <c r="E29" s="309"/>
      <c r="F29" s="309"/>
      <c r="G29" s="309"/>
      <c r="H29" s="309"/>
      <c r="I29" s="309"/>
      <c r="J29" s="2011"/>
      <c r="K29" s="1252" t="str">
        <f ca="1">IF(OR(项目基本情况!E8="抵押价格",项目基本情况!E8="已注销及未注销"),"抵押价格："&amp;O39&amp;"万元","——")</f>
        <v>抵押价格：432111万元</v>
      </c>
      <c r="L29" s="1246"/>
      <c r="M29" s="1246"/>
      <c r="N29" s="1246"/>
      <c r="O29" s="1245"/>
      <c r="P29" s="2011"/>
      <c r="V29" s="2011"/>
    </row>
    <row r="30" spans="1:26" ht="18.75" thickBot="1">
      <c r="A30" s="3074" t="s">
        <v>336</v>
      </c>
      <c r="B30" s="307"/>
      <c r="C30" s="307"/>
      <c r="D30" s="308"/>
      <c r="E30" s="3075" t="s">
        <v>2959</v>
      </c>
      <c r="F30" s="309"/>
      <c r="G30" s="309"/>
      <c r="H30" s="309"/>
      <c r="I30" s="309"/>
      <c r="J30" s="2011"/>
      <c r="K30" s="1252" t="str">
        <f ca="1">IF(K29="——","——","大写金额：人民币"&amp;NUMBERSTRING(INT(O39*10000),2)&amp;"元整")</f>
        <v>大写金额：人民币肆拾叁亿贰仟壹佰壹拾壹万元整</v>
      </c>
      <c r="L30" s="1246"/>
      <c r="M30" s="1246"/>
      <c r="N30" s="1246"/>
      <c r="O30" s="1245"/>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337</v>
      </c>
      <c r="B32" s="1375" t="s">
        <v>1688</v>
      </c>
      <c r="C32" s="1376">
        <f ca="1">G19-C24</f>
        <v>437065</v>
      </c>
      <c r="D32" s="1377" t="s">
        <v>1689</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340</v>
      </c>
      <c r="B33" s="1378" t="s">
        <v>1690</v>
      </c>
      <c r="C33" s="262">
        <f ca="1">ROUND(C32*10000/'数据-汇总表'!E3,0)</f>
        <v>10374</v>
      </c>
      <c r="D33" s="1379" t="s">
        <v>1691</v>
      </c>
      <c r="E33" s="3335" t="s">
        <v>338</v>
      </c>
      <c r="F33" s="294" t="s">
        <v>339</v>
      </c>
      <c r="G33" s="295"/>
      <c r="H33" s="978" t="s">
        <v>3156</v>
      </c>
      <c r="I33" s="1253"/>
      <c r="J33" s="2011"/>
      <c r="K33" s="1252" t="str">
        <f>IF(项目基本情况!E9="——","——","抵押净值："&amp;C46&amp;"万元")</f>
        <v>——</v>
      </c>
      <c r="L33" s="1246"/>
      <c r="M33" s="1246"/>
      <c r="N33" s="1246"/>
      <c r="O33" s="1245"/>
      <c r="P33" s="2011"/>
      <c r="V33" s="2011"/>
    </row>
    <row r="34" spans="1:26" s="1248" customFormat="1" ht="18.75" thickBot="1">
      <c r="A34" s="298"/>
      <c r="B34" s="1380" t="s">
        <v>1692</v>
      </c>
      <c r="C34" s="262">
        <f ca="1">ROUND(C32*10000/'数据-汇总表'!D3,0)</f>
        <v>30654</v>
      </c>
      <c r="D34" s="1381" t="s">
        <v>1691</v>
      </c>
      <c r="E34" s="3376"/>
      <c r="F34" s="127" t="s">
        <v>341</v>
      </c>
      <c r="G34" s="297"/>
      <c r="H34" s="105"/>
      <c r="I34" s="309"/>
      <c r="J34" s="2011"/>
      <c r="K34" s="1255" t="str">
        <f>IF(K33="——","——","大写金额：人民币"&amp;NUMBERSTRING(INT(O41*10000),2)&amp;"元整")</f>
        <v>——</v>
      </c>
      <c r="L34" s="1256"/>
      <c r="M34" s="1256"/>
      <c r="N34" s="1256"/>
      <c r="O34" s="1257"/>
      <c r="P34" s="2011"/>
      <c r="Q34" s="290"/>
      <c r="R34" s="290"/>
      <c r="S34" s="290"/>
      <c r="T34" s="290"/>
      <c r="U34" s="290"/>
      <c r="V34" s="2011"/>
      <c r="W34" s="290"/>
      <c r="X34" s="290"/>
      <c r="Y34" s="290"/>
      <c r="Z34" s="290"/>
    </row>
    <row r="35" spans="1:26" ht="15.75" thickBot="1">
      <c r="A35" s="282"/>
      <c r="B35" s="1382"/>
      <c r="C35" s="1383">
        <f ca="1">ROUND(C32/('数据-汇总表'!D3/666.67),0)</f>
        <v>2044</v>
      </c>
      <c r="D35" s="1384" t="s">
        <v>1693</v>
      </c>
      <c r="E35" s="3377"/>
      <c r="F35" s="299" t="s">
        <v>342</v>
      </c>
      <c r="G35" s="980">
        <f>E37+E38</f>
        <v>4954</v>
      </c>
      <c r="H35" s="979" t="s">
        <v>343</v>
      </c>
      <c r="I35" s="309"/>
      <c r="J35" s="2011"/>
      <c r="K35" s="3350" t="s">
        <v>350</v>
      </c>
      <c r="L35" s="3350" t="s">
        <v>351</v>
      </c>
      <c r="M35" s="1258" t="s">
        <v>352</v>
      </c>
      <c r="N35" s="3350" t="s">
        <v>353</v>
      </c>
      <c r="O35" s="3350" t="s">
        <v>354</v>
      </c>
      <c r="P35" s="2011"/>
      <c r="V35" s="2011"/>
    </row>
    <row r="36" spans="1:26" ht="16.5" customHeight="1">
      <c r="A36" s="301" t="s">
        <v>344</v>
      </c>
      <c r="B36" s="302" t="s">
        <v>333</v>
      </c>
      <c r="C36" s="303" t="s">
        <v>345</v>
      </c>
      <c r="D36" s="303" t="s">
        <v>346</v>
      </c>
      <c r="E36" s="304" t="s">
        <v>347</v>
      </c>
      <c r="F36" s="309"/>
      <c r="G36" s="309"/>
      <c r="H36" s="309"/>
      <c r="I36" s="309"/>
      <c r="J36" s="2013"/>
      <c r="K36" s="3351"/>
      <c r="L36" s="3351"/>
      <c r="M36" s="1260" t="s">
        <v>355</v>
      </c>
      <c r="N36" s="3351"/>
      <c r="O36" s="3351"/>
      <c r="P36" s="2011"/>
      <c r="V36" s="2011"/>
    </row>
    <row r="37" spans="1:26" ht="16.5" customHeight="1" thickBot="1">
      <c r="A37" s="1254" t="s">
        <v>348</v>
      </c>
      <c r="B37" s="305">
        <f>'数据-汇总表'!G20</f>
        <v>2440.73</v>
      </c>
      <c r="C37" s="292">
        <f>15056*0.2*0.25</f>
        <v>752.80000000000007</v>
      </c>
      <c r="D37" s="292">
        <v>1.0305</v>
      </c>
      <c r="E37" s="293">
        <f>ROUND(B37*C37*D37/10000,0)</f>
        <v>189</v>
      </c>
      <c r="F37" s="309"/>
      <c r="G37" s="309"/>
      <c r="H37" s="309"/>
      <c r="I37" s="309"/>
      <c r="J37" s="2013"/>
      <c r="K37" s="3352"/>
      <c r="L37" s="3352"/>
      <c r="M37" s="1261"/>
      <c r="N37" s="3352"/>
      <c r="O37" s="3352"/>
      <c r="P37" s="2011"/>
      <c r="V37" s="2011"/>
    </row>
    <row r="38" spans="1:26" ht="16.5" customHeight="1" thickBot="1">
      <c r="A38" s="1254" t="s">
        <v>349</v>
      </c>
      <c r="B38" s="305">
        <f>'数据-汇总表'!G21</f>
        <v>81890.259999999995</v>
      </c>
      <c r="C38" s="292">
        <f>15056*0.15*0.25</f>
        <v>564.6</v>
      </c>
      <c r="D38" s="292">
        <v>1.0305</v>
      </c>
      <c r="E38" s="293">
        <f>ROUND(B38*C38*D38/10000,0)</f>
        <v>4765</v>
      </c>
      <c r="F38" s="309"/>
      <c r="G38" s="309"/>
      <c r="H38" s="309"/>
      <c r="I38" s="309"/>
      <c r="J38" s="2013"/>
      <c r="K38" s="1262">
        <f>'数据-汇总表'!D3</f>
        <v>142581.63</v>
      </c>
      <c r="L38" s="1263">
        <f>'数据-汇总表'!E3</f>
        <v>421294.36999999976</v>
      </c>
      <c r="M38" s="1263">
        <f ca="1">C34</f>
        <v>30654</v>
      </c>
      <c r="N38" s="1263">
        <f ca="1">C33</f>
        <v>10374</v>
      </c>
      <c r="O38" s="1264">
        <f ca="1">C32</f>
        <v>437065</v>
      </c>
      <c r="P38" s="2011"/>
      <c r="V38" s="2011"/>
    </row>
    <row r="39" spans="1:26" ht="16.5" customHeight="1" thickBot="1">
      <c r="A39" s="1259"/>
      <c r="B39" s="306"/>
      <c r="C39" s="307"/>
      <c r="D39" s="307"/>
      <c r="E39" s="308"/>
      <c r="F39" s="309"/>
      <c r="G39" s="309"/>
      <c r="H39" s="309"/>
      <c r="I39" s="309"/>
      <c r="J39" s="2013"/>
      <c r="K39" s="3395" t="str">
        <f>MID(A44,3,LEN(A44)-2)</f>
        <v>抵押价格</v>
      </c>
      <c r="L39" s="3396"/>
      <c r="M39" s="3396"/>
      <c r="N39" s="3397"/>
      <c r="O39" s="1386">
        <f ca="1">C44</f>
        <v>432111</v>
      </c>
      <c r="P39" s="2011"/>
      <c r="V39" s="2011"/>
    </row>
    <row r="40" spans="1:26" ht="19.5" thickBot="1">
      <c r="A40" s="104" t="s">
        <v>873</v>
      </c>
      <c r="B40" s="309"/>
      <c r="C40" s="309"/>
      <c r="D40" s="309"/>
      <c r="E40" s="309"/>
      <c r="F40" s="309"/>
      <c r="G40" s="309"/>
      <c r="H40" s="309"/>
      <c r="I40" s="309"/>
      <c r="J40" s="2013"/>
      <c r="K40" s="3395" t="str">
        <f t="shared" ref="K40:K41" si="0">MID(A45,3,LEN(A45)-2)</f>
        <v/>
      </c>
      <c r="L40" s="3396"/>
      <c r="M40" s="3396"/>
      <c r="N40" s="3397"/>
      <c r="O40" s="1386" t="str">
        <f>C45</f>
        <v>——</v>
      </c>
      <c r="P40" s="2011"/>
      <c r="V40" s="2011"/>
    </row>
    <row r="41" spans="1:26" ht="16.5" thickBot="1">
      <c r="A41" s="310" t="s">
        <v>356</v>
      </c>
      <c r="B41" s="311"/>
      <c r="C41" s="312" t="s">
        <v>357</v>
      </c>
      <c r="D41" s="313" t="s">
        <v>358</v>
      </c>
      <c r="E41" s="313" t="s">
        <v>359</v>
      </c>
      <c r="F41" s="314" t="s">
        <v>360</v>
      </c>
      <c r="G41" s="309"/>
      <c r="H41" s="309"/>
      <c r="I41" s="309"/>
      <c r="J41" s="2013"/>
      <c r="K41" s="3395" t="str">
        <f t="shared" si="0"/>
        <v/>
      </c>
      <c r="L41" s="3396"/>
      <c r="M41" s="3396"/>
      <c r="N41" s="3397"/>
      <c r="O41" s="1386" t="str">
        <f>C46</f>
        <v>——</v>
      </c>
      <c r="P41" s="2011"/>
      <c r="V41" s="2011"/>
    </row>
    <row r="42" spans="1:26" ht="29.25">
      <c r="A42" s="3337" t="s">
        <v>2066</v>
      </c>
      <c r="B42" s="3338"/>
      <c r="C42" s="262">
        <f ca="1">C32</f>
        <v>437065</v>
      </c>
      <c r="D42" s="315">
        <f ca="1">C33</f>
        <v>10374</v>
      </c>
      <c r="E42" s="315">
        <f ca="1">C34</f>
        <v>30654</v>
      </c>
      <c r="F42" s="316">
        <f ca="1">C35</f>
        <v>2044</v>
      </c>
      <c r="G42" s="309"/>
      <c r="H42" s="309"/>
      <c r="I42" s="317"/>
      <c r="J42" s="2013"/>
      <c r="K42" s="1265" t="s">
        <v>361</v>
      </c>
      <c r="L42" s="2030" t="s">
        <v>362</v>
      </c>
      <c r="M42" s="1266" t="s">
        <v>363</v>
      </c>
      <c r="N42" s="2031" t="s">
        <v>364</v>
      </c>
      <c r="O42" s="2032" t="s">
        <v>365</v>
      </c>
      <c r="P42" s="2011"/>
      <c r="V42" s="2011"/>
    </row>
    <row r="43" spans="1:26" ht="30">
      <c r="A43" s="3348" t="s">
        <v>2728</v>
      </c>
      <c r="B43" s="3349"/>
      <c r="C43" s="262">
        <f>IF(H33="正常操作",G33+G34+G35,G34+G35)</f>
        <v>4954</v>
      </c>
      <c r="D43" s="315" t="s">
        <v>43</v>
      </c>
      <c r="E43" s="315" t="s">
        <v>44</v>
      </c>
      <c r="F43" s="316" t="s">
        <v>44</v>
      </c>
      <c r="G43" s="2819" t="s">
        <v>952</v>
      </c>
      <c r="H43" s="309"/>
      <c r="I43" s="317"/>
      <c r="J43" s="2013"/>
      <c r="K43" s="1267" t="str">
        <f>C4</f>
        <v>剩余法-待开发</v>
      </c>
      <c r="L43" s="1268">
        <f ca="1">IF(L42="估价结果/万元",C19,C20)</f>
        <v>437262</v>
      </c>
      <c r="M43" s="1269">
        <f>C18</f>
        <v>0.5</v>
      </c>
      <c r="N43" s="1270">
        <f ca="1">IF(N42="测算结果/万元",G19,G20)</f>
        <v>437065</v>
      </c>
      <c r="O43" s="1271">
        <f ca="1">IF(O42="最终结果/万元",C32,C33)</f>
        <v>437065</v>
      </c>
      <c r="P43" s="2011"/>
      <c r="V43" s="2011"/>
    </row>
    <row r="44" spans="1:26" ht="30.75" thickBot="1">
      <c r="A44" s="3337" t="str">
        <f>IF(OR(项目基本情况!E8="抵押价格",项目基本情况!E8="已注销及未注销"),"3.抵押价格","——")</f>
        <v>3.抵押价格</v>
      </c>
      <c r="B44" s="3338"/>
      <c r="C44" s="262">
        <f ca="1">IF(A44="——","——",C42-C43)</f>
        <v>432111</v>
      </c>
      <c r="D44" s="315">
        <f ca="1">ROUND(C44*10000/'数据-汇总表'!E3,0)</f>
        <v>10257</v>
      </c>
      <c r="E44" s="315">
        <f ca="1">ROUND(C44*10000/'数据-汇总表'!D3,0)</f>
        <v>30306</v>
      </c>
      <c r="F44" s="316">
        <f ca="1">ROUND(C44/('数据-汇总表'!D3/666.67),0)</f>
        <v>2020</v>
      </c>
      <c r="G44" s="309"/>
      <c r="H44" s="309"/>
      <c r="I44" s="317"/>
      <c r="J44" s="2013"/>
      <c r="K44" s="1272" t="str">
        <f>D4</f>
        <v>比较法-住宅、综合</v>
      </c>
      <c r="L44" s="1273">
        <f ca="1">IF(L42="估价结果/万元",D19,D20)</f>
        <v>436868</v>
      </c>
      <c r="M44" s="1274">
        <f>D18</f>
        <v>0.5</v>
      </c>
      <c r="N44" s="1275"/>
      <c r="O44" s="1276"/>
      <c r="P44" s="2011"/>
      <c r="V44" s="2011"/>
    </row>
    <row r="45" spans="1:26" ht="15">
      <c r="A45" s="3343" t="str">
        <f>IF(项目基本情况!E8="已注销及未注销","4.抵押担保权已注销时的抵押价格",IF(项目基本情况!E8="已注销","3.抵押担保权已注销时的抵押价格","——"))</f>
        <v>——</v>
      </c>
      <c r="B45" s="3344"/>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339" t="str">
        <f>IF(项目基本情况!E9="抵押净值",IF(A45="——","4.抵押净值","5.抵押净值"),"——")</f>
        <v>——</v>
      </c>
      <c r="B46" s="3340"/>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366</v>
      </c>
      <c r="B47" s="1277"/>
      <c r="C47" s="320" t="s">
        <v>367</v>
      </c>
      <c r="D47" s="321"/>
      <c r="E47" s="321"/>
      <c r="F47" s="321"/>
      <c r="G47" s="322"/>
      <c r="H47" s="323"/>
      <c r="I47" s="324"/>
      <c r="J47" s="2013"/>
      <c r="K47" s="309" t="str">
        <f>IF(C43=0,"本次评估"&amp;IF(G43="设定","设定估价对象","")&amp;"不存在"&amp;MID(A43,3,LEN(A43)-2),"本次评估"&amp;IF(G43="设定","设定","")&amp;MID(A43,3,LEN(A43)-2)&amp;"为人民币"&amp;C43&amp;"万元整。")</f>
        <v>本次评估估价师知悉的法定优先受偿款为人民币4954万元整。</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368</v>
      </c>
      <c r="G53" s="335"/>
      <c r="H53" s="335"/>
      <c r="I53" s="336" t="s">
        <v>369</v>
      </c>
      <c r="J53" s="2014"/>
      <c r="K53" s="2011"/>
      <c r="L53" s="2011"/>
      <c r="M53" s="2011"/>
      <c r="N53" s="2011"/>
      <c r="O53" s="2011"/>
      <c r="P53" s="2011"/>
      <c r="Q53" s="2011"/>
      <c r="R53" s="2011"/>
      <c r="S53" s="2011"/>
      <c r="T53" s="2011"/>
      <c r="U53" s="2011"/>
      <c r="V53" s="2011"/>
    </row>
    <row r="54" spans="1:22" ht="12.75">
      <c r="A54" s="255"/>
      <c r="B54" s="337" t="s">
        <v>370</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371</v>
      </c>
      <c r="J56" s="2014"/>
      <c r="K56" s="2011"/>
      <c r="L56" s="2011"/>
      <c r="M56" s="2011"/>
      <c r="N56" s="2011"/>
      <c r="O56" s="2011"/>
      <c r="P56" s="2011"/>
      <c r="Q56" s="2011"/>
      <c r="R56" s="2011"/>
      <c r="S56" s="2011"/>
      <c r="T56" s="2011"/>
      <c r="U56" s="2011"/>
      <c r="V56" s="2011"/>
    </row>
    <row r="57" spans="1:22" ht="12.75">
      <c r="A57" s="255"/>
      <c r="B57" s="337" t="s">
        <v>372</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371</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6"/>
      <c r="E61" s="216"/>
      <c r="F61" s="251"/>
      <c r="G61" s="255"/>
      <c r="H61" s="255"/>
      <c r="I61" s="255"/>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84" t="s">
        <v>374</v>
      </c>
      <c r="B63" s="3385"/>
      <c r="C63" s="3386"/>
      <c r="D63" s="339">
        <f ca="1">ROUND(C42*F63,0)</f>
        <v>262239</v>
      </c>
      <c r="E63" s="300" t="s">
        <v>375</v>
      </c>
      <c r="F63" s="340">
        <v>0.6</v>
      </c>
      <c r="G63" s="341" t="s">
        <v>376</v>
      </c>
      <c r="H63" s="309"/>
      <c r="I63" s="309"/>
      <c r="J63" s="2011"/>
      <c r="K63" s="2011"/>
      <c r="L63" s="2011"/>
      <c r="M63" s="2011"/>
      <c r="N63" s="2011"/>
      <c r="O63" s="2011"/>
      <c r="P63" s="309"/>
      <c r="Q63" s="2011"/>
      <c r="R63" s="2011"/>
      <c r="S63" s="2011"/>
      <c r="T63" s="2011"/>
      <c r="U63" s="2011"/>
      <c r="V63" s="2011"/>
    </row>
    <row r="64" spans="1:22" ht="14.25" customHeight="1">
      <c r="A64" s="3345" t="s">
        <v>378</v>
      </c>
      <c r="B64" s="3346"/>
      <c r="C64" s="3346"/>
      <c r="D64" s="3346"/>
      <c r="E64" s="3346"/>
      <c r="F64" s="3346"/>
      <c r="G64" s="3347"/>
      <c r="H64" s="1282"/>
      <c r="I64" s="946"/>
      <c r="J64" s="1973"/>
      <c r="K64" s="1545" t="s">
        <v>377</v>
      </c>
      <c r="L64" s="11"/>
      <c r="M64" s="11"/>
      <c r="N64" s="11"/>
      <c r="O64" s="11"/>
      <c r="P64" s="309"/>
      <c r="Q64" s="2011"/>
      <c r="R64" s="2011"/>
      <c r="S64" s="2011"/>
      <c r="T64" s="2011"/>
      <c r="U64" s="2011"/>
      <c r="V64" s="2011"/>
    </row>
    <row r="65" spans="1:22" ht="12" customHeight="1">
      <c r="A65" s="342" t="s">
        <v>380</v>
      </c>
      <c r="B65" s="343"/>
      <c r="C65" s="344"/>
      <c r="D65" s="345" t="s">
        <v>381</v>
      </c>
      <c r="E65" s="53" t="s">
        <v>382</v>
      </c>
      <c r="F65" s="346" t="s">
        <v>383</v>
      </c>
      <c r="G65" s="347" t="s">
        <v>384</v>
      </c>
      <c r="H65" s="1282"/>
      <c r="I65" s="946"/>
      <c r="J65" s="1973"/>
      <c r="K65" s="1283"/>
      <c r="L65" s="1284"/>
      <c r="M65" s="1284"/>
      <c r="N65" s="1316" t="s">
        <v>379</v>
      </c>
      <c r="O65" s="1317"/>
      <c r="P65" s="1318"/>
      <c r="Q65" s="2011"/>
      <c r="R65" s="2011"/>
      <c r="S65" s="2011"/>
      <c r="T65" s="2011"/>
      <c r="U65" s="2011"/>
      <c r="V65" s="2011"/>
    </row>
    <row r="66" spans="1:22" ht="25.5">
      <c r="A66" s="3341" t="s">
        <v>386</v>
      </c>
      <c r="B66" s="3342"/>
      <c r="C66" s="3342"/>
      <c r="D66" s="259">
        <f ca="1">IF(H66="情况1",0,IF(H66="情况2",D70,IF(H66="情况3",D71,IF(H66="情况4",D72))))</f>
        <v>13736</v>
      </c>
      <c r="E66" s="991" t="str">
        <f>IF(H66="情况4","(销售额-原购置价)×税（费）率","销售额×税（费）率")</f>
        <v>销售额×税（费）率</v>
      </c>
      <c r="F66" s="348">
        <f>IF(H66="情况1","免征",'数据-取费表'!B41)</f>
        <v>5.5000000000000007E-2</v>
      </c>
      <c r="G66" s="349" t="s">
        <v>387</v>
      </c>
      <c r="H66" s="191" t="s">
        <v>388</v>
      </c>
      <c r="I66" s="1282"/>
      <c r="J66" s="2017"/>
      <c r="K66" s="1285">
        <v>1</v>
      </c>
      <c r="L66" s="3399" t="s">
        <v>385</v>
      </c>
      <c r="M66" s="3400"/>
      <c r="N66" s="2420"/>
      <c r="O66" s="2421"/>
      <c r="P66" s="2422"/>
      <c r="Q66" s="2011"/>
      <c r="R66" s="2011"/>
      <c r="S66" s="2011"/>
      <c r="T66" s="2011"/>
      <c r="U66" s="2011"/>
      <c r="V66" s="2011"/>
    </row>
    <row r="67" spans="1:22" ht="25.5" customHeight="1">
      <c r="A67" s="350" t="s">
        <v>390</v>
      </c>
      <c r="B67" s="3332" t="s">
        <v>391</v>
      </c>
      <c r="C67" s="3332"/>
      <c r="D67" s="351">
        <v>0</v>
      </c>
      <c r="E67" s="41" t="s">
        <v>392</v>
      </c>
      <c r="F67" s="62" t="s">
        <v>21</v>
      </c>
      <c r="G67" s="3387"/>
      <c r="H67" s="309"/>
      <c r="I67" s="1286"/>
      <c r="J67" s="2018"/>
      <c r="K67" s="1959">
        <v>2</v>
      </c>
      <c r="L67" s="3398" t="s">
        <v>389</v>
      </c>
      <c r="M67" s="3398"/>
      <c r="N67" s="1319">
        <f>'数据-取费表'!B2</f>
        <v>43830</v>
      </c>
      <c r="O67" s="1319"/>
      <c r="P67" s="1319"/>
      <c r="Q67" s="2011"/>
      <c r="R67" s="2011"/>
      <c r="S67" s="2011"/>
      <c r="T67" s="2011"/>
      <c r="U67" s="2011"/>
      <c r="V67" s="2011"/>
    </row>
    <row r="68" spans="1:22" ht="25.5" customHeight="1">
      <c r="A68" s="352"/>
      <c r="B68" s="3332" t="s">
        <v>394</v>
      </c>
      <c r="C68" s="3332"/>
      <c r="D68" s="353"/>
      <c r="E68" s="77"/>
      <c r="F68" s="354"/>
      <c r="G68" s="3388"/>
      <c r="H68" s="309"/>
      <c r="I68" s="1286"/>
      <c r="J68" s="2018"/>
      <c r="K68" s="1959">
        <v>3</v>
      </c>
      <c r="L68" s="3398" t="s">
        <v>393</v>
      </c>
      <c r="M68" s="3398"/>
      <c r="N68" s="1287">
        <f ca="1">C42</f>
        <v>437065</v>
      </c>
      <c r="O68" s="1287"/>
      <c r="P68" s="1287"/>
      <c r="Q68" s="2011"/>
      <c r="R68" s="2011"/>
      <c r="S68" s="2011"/>
      <c r="T68" s="2011"/>
      <c r="U68" s="2011"/>
      <c r="V68" s="2011"/>
    </row>
    <row r="69" spans="1:22" ht="12" customHeight="1">
      <c r="A69" s="355"/>
      <c r="B69" s="3332" t="s">
        <v>395</v>
      </c>
      <c r="C69" s="3332"/>
      <c r="D69" s="356"/>
      <c r="E69" s="73"/>
      <c r="F69" s="354"/>
      <c r="G69" s="3389"/>
      <c r="H69" s="309"/>
      <c r="I69" s="1286"/>
      <c r="J69" s="2018"/>
      <c r="K69" s="1288">
        <v>4</v>
      </c>
      <c r="L69" s="3403" t="s">
        <v>2881</v>
      </c>
      <c r="M69" s="3404"/>
      <c r="N69" s="1289">
        <f ca="1">C44</f>
        <v>432111</v>
      </c>
      <c r="O69" s="1289"/>
      <c r="P69" s="1289"/>
      <c r="Q69" s="2011"/>
      <c r="R69" s="2011"/>
      <c r="S69" s="2011"/>
      <c r="T69" s="2011"/>
      <c r="U69" s="2011"/>
      <c r="V69" s="2011"/>
    </row>
    <row r="70" spans="1:22" ht="24" customHeight="1">
      <c r="A70" s="357" t="s">
        <v>396</v>
      </c>
      <c r="B70" s="3332" t="s">
        <v>397</v>
      </c>
      <c r="C70" s="3332"/>
      <c r="D70" s="356">
        <f ca="1">ROUND(D63*'数据-取费表'!B41/(1+'数据-取费表'!C42),0)</f>
        <v>13736</v>
      </c>
      <c r="E70" s="17" t="s">
        <v>398</v>
      </c>
      <c r="F70" s="358">
        <f>'数据-取费表'!B41</f>
        <v>5.5000000000000007E-2</v>
      </c>
      <c r="G70" s="359"/>
      <c r="H70" s="309"/>
      <c r="I70" s="1286"/>
      <c r="J70" s="2018"/>
      <c r="K70" s="3008"/>
      <c r="L70" s="3009"/>
      <c r="M70" s="3009"/>
      <c r="N70" s="3010" t="s">
        <v>2886</v>
      </c>
      <c r="O70" s="3009"/>
      <c r="P70" s="3011"/>
      <c r="Q70" s="2011"/>
      <c r="R70" s="2011"/>
      <c r="S70" s="2011"/>
      <c r="T70" s="2011"/>
      <c r="U70" s="2011"/>
      <c r="V70" s="2011"/>
    </row>
    <row r="71" spans="1:22" ht="12" customHeight="1">
      <c r="A71" s="357" t="s">
        <v>404</v>
      </c>
      <c r="B71" s="3333" t="s">
        <v>405</v>
      </c>
      <c r="C71" s="3334"/>
      <c r="D71" s="356">
        <f ca="1">ROUND(D63*'数据-取费表'!B41/(1+'数据-取费表'!C42),0)</f>
        <v>13736</v>
      </c>
      <c r="E71" s="17" t="s">
        <v>398</v>
      </c>
      <c r="F71" s="358">
        <f>'数据-取费表'!B41</f>
        <v>5.5000000000000007E-2</v>
      </c>
      <c r="G71" s="359"/>
      <c r="H71" s="309"/>
      <c r="I71" s="1286"/>
      <c r="J71" s="2018"/>
      <c r="K71" s="3007" t="s">
        <v>399</v>
      </c>
      <c r="L71" s="3405" t="s">
        <v>400</v>
      </c>
      <c r="M71" s="3405"/>
      <c r="N71" s="3007" t="s">
        <v>401</v>
      </c>
      <c r="O71" s="3007" t="s">
        <v>402</v>
      </c>
      <c r="P71" s="3007" t="s">
        <v>403</v>
      </c>
      <c r="Q71" s="2011"/>
      <c r="R71" s="2011"/>
      <c r="S71" s="2011"/>
      <c r="T71" s="2011"/>
      <c r="U71" s="2011"/>
      <c r="V71" s="2011"/>
    </row>
    <row r="72" spans="1:22" ht="12" customHeight="1">
      <c r="A72" s="357" t="s">
        <v>407</v>
      </c>
      <c r="B72" s="3333" t="s">
        <v>408</v>
      </c>
      <c r="C72" s="3334"/>
      <c r="D72" s="356">
        <f ca="1">C86</f>
        <v>13626</v>
      </c>
      <c r="E72" s="73" t="s">
        <v>409</v>
      </c>
      <c r="F72" s="358">
        <f>'数据-取费表'!B41</f>
        <v>5.5000000000000007E-2</v>
      </c>
      <c r="G72" s="359"/>
      <c r="H72" s="1292"/>
      <c r="I72" s="1286"/>
      <c r="J72" s="2018"/>
      <c r="K72" s="1959">
        <v>1</v>
      </c>
      <c r="L72" s="3380" t="s">
        <v>406</v>
      </c>
      <c r="M72" s="3380"/>
      <c r="N72" s="1290">
        <f ca="1">D66</f>
        <v>13736</v>
      </c>
      <c r="O72" s="1842" t="str">
        <f>E66</f>
        <v>销售额×税（费）率</v>
      </c>
      <c r="P72" s="1291">
        <f>F66</f>
        <v>5.5000000000000007E-2</v>
      </c>
      <c r="Q72" s="2011"/>
      <c r="R72" s="2011"/>
      <c r="S72" s="2011"/>
      <c r="T72" s="2011"/>
      <c r="U72" s="2011"/>
      <c r="V72" s="2011"/>
    </row>
    <row r="73" spans="1:22" ht="24" customHeight="1">
      <c r="A73" s="3374" t="s">
        <v>411</v>
      </c>
      <c r="B73" s="3342"/>
      <c r="C73" s="3342"/>
      <c r="D73" s="360">
        <f>IF(H73="个人住宅",0,ROUND(D63*I73,0))</f>
        <v>0</v>
      </c>
      <c r="E73" s="17" t="s">
        <v>412</v>
      </c>
      <c r="F73" s="358" t="str">
        <f>IF(H73="正常",I73,"免征")</f>
        <v>免征</v>
      </c>
      <c r="G73" s="359"/>
      <c r="H73" s="191" t="s">
        <v>2454</v>
      </c>
      <c r="I73" s="358">
        <f>'数据-取费表'!B49</f>
        <v>5.0000000000000001E-4</v>
      </c>
      <c r="J73" s="2018"/>
      <c r="K73" s="1959">
        <v>2</v>
      </c>
      <c r="L73" s="3380" t="s">
        <v>410</v>
      </c>
      <c r="M73" s="3380"/>
      <c r="N73" s="1290">
        <f t="shared" ref="N73:P74" si="1">D73</f>
        <v>0</v>
      </c>
      <c r="O73" s="1842" t="str">
        <f t="shared" si="1"/>
        <v>销售额×税（费）率</v>
      </c>
      <c r="P73" s="1291" t="str">
        <f t="shared" si="1"/>
        <v>免征</v>
      </c>
      <c r="Q73" s="2011"/>
      <c r="R73" s="2011"/>
      <c r="S73" s="2011"/>
      <c r="T73" s="2011"/>
      <c r="U73" s="2011"/>
      <c r="V73" s="2011"/>
    </row>
    <row r="74" spans="1:22" ht="24.75">
      <c r="A74" s="3374" t="s">
        <v>415</v>
      </c>
      <c r="B74" s="3342"/>
      <c r="C74" s="3342"/>
      <c r="D74" s="360">
        <f ca="1">IF(H74="个人住宅",D75,D76)</f>
        <v>148009</v>
      </c>
      <c r="E74" s="17" t="s">
        <v>416</v>
      </c>
      <c r="F74" s="358" t="str">
        <f>IF(H74="正常",F76,"免征")</f>
        <v>——</v>
      </c>
      <c r="G74" s="981" t="s">
        <v>417</v>
      </c>
      <c r="H74" s="361" t="s">
        <v>413</v>
      </c>
      <c r="I74" s="42"/>
      <c r="J74" s="2018"/>
      <c r="K74" s="1959">
        <v>3</v>
      </c>
      <c r="L74" s="3380" t="s">
        <v>414</v>
      </c>
      <c r="M74" s="3380"/>
      <c r="N74" s="1290">
        <f t="shared" ca="1" si="1"/>
        <v>148009</v>
      </c>
      <c r="O74" s="1842" t="str">
        <f t="shared" si="1"/>
        <v>增值额×税（费）率</v>
      </c>
      <c r="P74" s="1293" t="str">
        <f t="shared" si="1"/>
        <v>——</v>
      </c>
      <c r="Q74" s="2011"/>
      <c r="R74" s="2011"/>
      <c r="S74" s="2011"/>
      <c r="T74" s="2011"/>
      <c r="U74" s="2011"/>
      <c r="V74" s="2011"/>
    </row>
    <row r="75" spans="1:22" ht="24">
      <c r="A75" s="357" t="s">
        <v>418</v>
      </c>
      <c r="B75" s="3330" t="s">
        <v>419</v>
      </c>
      <c r="C75" s="3360"/>
      <c r="D75" s="362">
        <v>0</v>
      </c>
      <c r="E75" s="41" t="s">
        <v>420</v>
      </c>
      <c r="F75" s="363"/>
      <c r="G75" s="359"/>
      <c r="H75" s="42"/>
      <c r="I75" s="42"/>
      <c r="J75" s="2018"/>
      <c r="K75" s="3000">
        <f>IF(H77="非个人房产","",4)</f>
        <v>4</v>
      </c>
      <c r="L75" s="3380" t="str">
        <f>IF(H77="非个人房产","——","个人所得税")</f>
        <v>个人所得税</v>
      </c>
      <c r="M75" s="3380"/>
      <c r="N75" s="1294">
        <f ca="1">D77</f>
        <v>2622</v>
      </c>
      <c r="O75" s="1855" t="str">
        <f>E77</f>
        <v>销售额×税（费）率</v>
      </c>
      <c r="P75" s="1295">
        <f>F77</f>
        <v>0.01</v>
      </c>
      <c r="Q75" s="2011"/>
      <c r="R75" s="2011"/>
      <c r="S75" s="2011"/>
      <c r="T75" s="2011"/>
      <c r="U75" s="2011"/>
      <c r="V75" s="2011"/>
    </row>
    <row r="76" spans="1:22" ht="24.75">
      <c r="A76" s="357" t="s">
        <v>396</v>
      </c>
      <c r="B76" s="3330" t="s">
        <v>422</v>
      </c>
      <c r="C76" s="3331"/>
      <c r="D76" s="360">
        <f ca="1">IF(H76="转让取得",C99,C115)</f>
        <v>148009</v>
      </c>
      <c r="E76" s="17" t="s">
        <v>423</v>
      </c>
      <c r="F76" s="53" t="s">
        <v>21</v>
      </c>
      <c r="G76" s="359"/>
      <c r="H76" s="361" t="s">
        <v>424</v>
      </c>
      <c r="I76" s="42"/>
      <c r="J76" s="2018"/>
      <c r="K76" s="3000" t="str">
        <f>IF(项目基本情况!K6="上海银行",IF(K75="",4,K75+1),"")</f>
        <v/>
      </c>
      <c r="L76" s="3391" t="str">
        <f>IF(项目基本情况!K6="上海银行","其他处置费用","")</f>
        <v/>
      </c>
      <c r="M76" s="3392"/>
      <c r="N76" s="1290" t="str">
        <f>IF(项目基本情况!K6="上海银行",N89,"")</f>
        <v/>
      </c>
      <c r="O76" s="3393" t="str">
        <f>IF(项目基本情况!K6="上海银行","包含处置中涉及的律师、诉讼、拍卖、评估等费用","")</f>
        <v/>
      </c>
      <c r="P76" s="3394"/>
      <c r="Q76" s="2011"/>
      <c r="R76" s="2011"/>
      <c r="S76" s="2011"/>
      <c r="T76" s="2011"/>
      <c r="U76" s="2011"/>
      <c r="V76" s="2011"/>
    </row>
    <row r="77" spans="1:22" ht="26.25" thickBot="1">
      <c r="A77" s="3382" t="s">
        <v>426</v>
      </c>
      <c r="B77" s="3383"/>
      <c r="C77" s="3383"/>
      <c r="D77" s="364">
        <f ca="1">IF(H77="非个人房产","——",IF(H77="个人住宅",0,ROUND(D63*I77,0)))</f>
        <v>2622</v>
      </c>
      <c r="E77" s="365" t="str">
        <f>IF(H77="非个人房产","——","销售额×税（费）率")</f>
        <v>销售额×税（费）率</v>
      </c>
      <c r="F77" s="366">
        <f>IF(H77="非个人房产","——",IF(H77="个人住宅","免征",I77))</f>
        <v>0.01</v>
      </c>
      <c r="G77" s="982" t="s">
        <v>417</v>
      </c>
      <c r="H77" s="361" t="s">
        <v>2882</v>
      </c>
      <c r="I77" s="367">
        <v>0.01</v>
      </c>
      <c r="J77" s="2018"/>
      <c r="K77" s="3381">
        <f>IF(AND(K75="",K76=""),4,IF(项目基本情况!K6="上海银行",K76+1,K75+1))</f>
        <v>5</v>
      </c>
      <c r="L77" s="3380" t="s">
        <v>2883</v>
      </c>
      <c r="M77" s="3006" t="s">
        <v>421</v>
      </c>
      <c r="N77" s="1296"/>
      <c r="O77" s="1297">
        <f ca="1">SUMIF(N72:N76,"&lt;9e307")</f>
        <v>164367</v>
      </c>
      <c r="P77" s="1298"/>
      <c r="Q77" s="3004">
        <f ca="1">O77/N69</f>
        <v>0.38038142977151707</v>
      </c>
      <c r="R77" s="2011"/>
      <c r="S77" s="2011"/>
      <c r="T77" s="2011"/>
      <c r="U77" s="2011"/>
      <c r="V77" s="2011"/>
    </row>
    <row r="78" spans="1:22" ht="12" customHeight="1">
      <c r="A78" s="1299"/>
      <c r="B78" s="309"/>
      <c r="C78" s="309"/>
      <c r="D78" s="309"/>
      <c r="E78" s="42"/>
      <c r="F78" s="42"/>
      <c r="G78" s="42"/>
      <c r="H78" s="1001"/>
      <c r="I78" s="309"/>
      <c r="J78" s="2018"/>
      <c r="K78" s="3381"/>
      <c r="L78" s="3380"/>
      <c r="M78" s="3006" t="s">
        <v>425</v>
      </c>
      <c r="N78" s="1296"/>
      <c r="O78" s="1297" t="str">
        <f ca="1">NUMBERSTRING(INT(O77*10000),2)&amp;"元整"</f>
        <v>壹拾陆亿肆仟叁佰陆拾柒万元整</v>
      </c>
      <c r="P78" s="1298"/>
      <c r="Q78" s="2011"/>
      <c r="R78" s="2011"/>
      <c r="S78" s="2011"/>
      <c r="T78" s="2011"/>
      <c r="U78" s="2011"/>
      <c r="V78" s="2011"/>
    </row>
    <row r="79" spans="1:22" ht="13.5" thickBot="1">
      <c r="A79" s="3375" t="s">
        <v>427</v>
      </c>
      <c r="B79" s="3375"/>
      <c r="C79" s="3375"/>
      <c r="D79" s="3375"/>
      <c r="E79" s="3375"/>
      <c r="F79" s="42"/>
      <c r="G79" s="42"/>
      <c r="H79" s="1001"/>
      <c r="I79" s="309"/>
      <c r="J79" s="2018"/>
      <c r="K79" s="3401">
        <f>K77+1</f>
        <v>6</v>
      </c>
      <c r="L79" s="3380" t="s">
        <v>2884</v>
      </c>
      <c r="M79" s="3006" t="s">
        <v>421</v>
      </c>
      <c r="N79" s="1296"/>
      <c r="O79" s="1297">
        <f ca="1">N69-O77</f>
        <v>267744</v>
      </c>
      <c r="P79" s="1298"/>
      <c r="Q79" s="2011"/>
      <c r="R79" s="2011"/>
      <c r="S79" s="2011"/>
      <c r="T79" s="2011"/>
      <c r="U79" s="2011"/>
      <c r="V79" s="2011"/>
    </row>
    <row r="80" spans="1:22" ht="25.5">
      <c r="A80" s="3370" t="s">
        <v>428</v>
      </c>
      <c r="B80" s="3371"/>
      <c r="C80" s="992"/>
      <c r="D80" s="992" t="s">
        <v>429</v>
      </c>
      <c r="E80" s="368" t="s">
        <v>430</v>
      </c>
      <c r="F80" s="42"/>
      <c r="G80" s="42"/>
      <c r="H80" s="1001"/>
      <c r="I80" s="309"/>
      <c r="J80" s="2011"/>
      <c r="K80" s="3402"/>
      <c r="L80" s="3380"/>
      <c r="M80" s="3006" t="s">
        <v>425</v>
      </c>
      <c r="N80" s="1296"/>
      <c r="O80" s="1297" t="str">
        <f ca="1">NUMBERSTRING(INT(O79*10000),2)&amp;"元整"</f>
        <v>贰拾陆亿柒仟柒佰肆拾肆万元整</v>
      </c>
      <c r="P80" s="1298"/>
      <c r="Q80" s="2011"/>
      <c r="R80" s="2011"/>
      <c r="S80" s="2011"/>
      <c r="T80" s="2011"/>
      <c r="U80" s="2011"/>
      <c r="V80" s="2011"/>
    </row>
    <row r="81" spans="1:26" ht="13.5" thickBot="1">
      <c r="A81" s="379" t="s">
        <v>1823</v>
      </c>
      <c r="B81" s="369" t="s">
        <v>431</v>
      </c>
      <c r="C81" s="370">
        <f ca="1">ROUND((C82+C83)/(1+'数据-取费表'!C42),0)</f>
        <v>249751</v>
      </c>
      <c r="D81" s="371"/>
      <c r="E81" s="372"/>
      <c r="F81" s="42"/>
      <c r="G81" s="42"/>
      <c r="H81" s="1001"/>
      <c r="I81" s="309"/>
      <c r="J81" s="2011"/>
      <c r="K81" s="3000">
        <f>K79+1</f>
        <v>7</v>
      </c>
      <c r="L81" s="3378" t="s">
        <v>2885</v>
      </c>
      <c r="M81" s="3379"/>
      <c r="N81" s="1300"/>
      <c r="O81" s="1301">
        <f ca="1">ROUND(O79*10000/'数据-汇总表'!E3,0)</f>
        <v>6355</v>
      </c>
      <c r="P81" s="1302"/>
      <c r="Q81" s="2011"/>
      <c r="R81" s="2011"/>
      <c r="S81" s="2011"/>
      <c r="T81" s="2011"/>
      <c r="U81" s="2011"/>
      <c r="V81" s="2011"/>
    </row>
    <row r="82" spans="1:26" ht="13.5" thickTop="1">
      <c r="A82" s="373" t="s">
        <v>1824</v>
      </c>
      <c r="B82" s="374" t="s">
        <v>432</v>
      </c>
      <c r="C82" s="375">
        <f ca="1">D63</f>
        <v>262239</v>
      </c>
      <c r="D82" s="376" t="s">
        <v>19</v>
      </c>
      <c r="E82" s="377"/>
      <c r="F82" s="42"/>
      <c r="G82" s="42"/>
      <c r="H82" s="1001"/>
      <c r="I82" s="309"/>
      <c r="J82" s="2011"/>
      <c r="K82" s="2011"/>
      <c r="L82" s="2011"/>
      <c r="M82" s="2011"/>
      <c r="N82" s="2011"/>
      <c r="O82" s="2011"/>
      <c r="P82" s="2011"/>
      <c r="Q82" s="2011"/>
      <c r="R82" s="2011"/>
      <c r="S82" s="2011"/>
      <c r="T82" s="2011"/>
      <c r="U82" s="2011"/>
      <c r="V82" s="2011"/>
    </row>
    <row r="83" spans="1:26" ht="12.75">
      <c r="A83" s="373" t="s">
        <v>1825</v>
      </c>
      <c r="B83" s="374" t="s">
        <v>433</v>
      </c>
      <c r="C83" s="378">
        <v>0</v>
      </c>
      <c r="D83" s="376"/>
      <c r="E83" s="377"/>
      <c r="F83" s="42"/>
      <c r="G83" s="42"/>
      <c r="H83" s="1001"/>
      <c r="I83" s="309"/>
      <c r="J83" s="2011"/>
      <c r="K83" s="3390" t="s">
        <v>2872</v>
      </c>
      <c r="L83" s="3012" t="s">
        <v>2873</v>
      </c>
      <c r="M83" s="3002">
        <f ca="1">IF(N69&gt;10000,N69*0.5%,IF(AND(N69&gt;1000,N69&lt;=10000),N69*1%,IF(AND(N69&gt;100,N69&lt;=1000),N69*3%,IF(AND(N69&gt;10,N69&lt;=100),N69*5%,N69*8%))))</f>
        <v>2160.5549999999998</v>
      </c>
      <c r="N83" s="53">
        <f ca="1">ROUND(M83,1)</f>
        <v>2160.6</v>
      </c>
      <c r="O83" s="3005"/>
      <c r="P83" s="2011"/>
      <c r="Q83" s="2011"/>
      <c r="R83" s="2011"/>
      <c r="S83" s="2011"/>
      <c r="T83" s="2011"/>
      <c r="U83" s="2011"/>
      <c r="V83" s="2011"/>
    </row>
    <row r="84" spans="1:26" ht="12.75">
      <c r="A84" s="379" t="s">
        <v>1826</v>
      </c>
      <c r="B84" s="380" t="s">
        <v>434</v>
      </c>
      <c r="C84" s="381">
        <v>2000</v>
      </c>
      <c r="D84" s="382" t="s">
        <v>19</v>
      </c>
      <c r="E84" s="3045" t="s">
        <v>2932</v>
      </c>
      <c r="F84" s="42"/>
      <c r="G84" s="42"/>
      <c r="H84" s="1001"/>
      <c r="I84" s="309"/>
      <c r="J84" s="2011"/>
      <c r="K84" s="3390"/>
      <c r="L84" s="3012" t="s">
        <v>2874</v>
      </c>
      <c r="M84" s="3002">
        <f ca="1">IF(N69&gt;2000,N69*0.5%,IF(AND(N69&gt;1000,N69&lt;=2000),N69*0.6%,IF(AND(N69&gt;500,N69&lt;=1000),N69*0.7%,IF(AND(N69&gt;200,N69&lt;=500),N69*0.8%,IF(AND(N69&gt;100,N69&lt;=200),N69*0.9%,IF(AND(N69&gt;50,N69&lt;=100),N69*1%,IF(AND(N69&gt;20,N69&lt;=50),N69*1.5%,IF(AND(N69&gt;10,N69&lt;=20),N69*2%,IF(AND(N69&gt;1,N69&lt;=10),N69*2.5%)))))))))</f>
        <v>2160.5549999999998</v>
      </c>
      <c r="N84" s="53">
        <f t="shared" ref="N84:N85" ca="1" si="2">ROUND(M84,1)</f>
        <v>2160.6</v>
      </c>
      <c r="O84" s="2011" t="s">
        <v>2875</v>
      </c>
      <c r="P84" s="2011"/>
      <c r="Q84" s="2011"/>
      <c r="R84" s="2011"/>
      <c r="S84" s="2011"/>
      <c r="T84" s="2011"/>
      <c r="U84" s="2011"/>
      <c r="V84" s="2011"/>
    </row>
    <row r="85" spans="1:26" ht="12.75">
      <c r="A85" s="379" t="s">
        <v>1827</v>
      </c>
      <c r="B85" s="380" t="s">
        <v>435</v>
      </c>
      <c r="C85" s="383">
        <f ca="1">C81-C84</f>
        <v>247751</v>
      </c>
      <c r="D85" s="376" t="s">
        <v>19</v>
      </c>
      <c r="E85" s="377"/>
      <c r="F85" s="42"/>
      <c r="G85" s="42"/>
      <c r="H85" s="1001"/>
      <c r="I85" s="309"/>
      <c r="J85" s="2011"/>
      <c r="K85" s="3390"/>
      <c r="L85" s="3012" t="s">
        <v>2876</v>
      </c>
      <c r="M85" s="3002">
        <f ca="1">IF(N69&gt;1000,N69*0.1%,IF(AND(N69&gt;500,N69&lt;=1000),N69*0.5%,IF(AND(N69&gt;50,N69&lt;=500),N69*1%,IF(AND(N69&gt;1,N69&lt;=50),N69*1.5%))))</f>
        <v>432.11099999999999</v>
      </c>
      <c r="N85" s="53">
        <f t="shared" ca="1" si="2"/>
        <v>432.1</v>
      </c>
      <c r="O85" s="2011" t="s">
        <v>2875</v>
      </c>
      <c r="P85" s="2011"/>
      <c r="Q85" s="2011"/>
      <c r="R85" s="2011"/>
      <c r="S85" s="2011"/>
      <c r="T85" s="2011"/>
      <c r="U85" s="2011"/>
      <c r="V85" s="2011"/>
    </row>
    <row r="86" spans="1:26" ht="13.5" thickBot="1">
      <c r="A86" s="384" t="s">
        <v>1828</v>
      </c>
      <c r="B86" s="385" t="s">
        <v>436</v>
      </c>
      <c r="C86" s="386">
        <f ca="1">IF(C85&lt;=0,0,ROUND(C85*D86,0))</f>
        <v>13626</v>
      </c>
      <c r="D86" s="387">
        <f>'数据-取费表'!B41</f>
        <v>5.5000000000000007E-2</v>
      </c>
      <c r="E86" s="388"/>
      <c r="F86" s="42"/>
      <c r="G86" s="42"/>
      <c r="H86" s="1001"/>
      <c r="I86" s="309"/>
      <c r="J86" s="2011"/>
      <c r="K86" s="3390"/>
      <c r="L86" s="3012" t="s">
        <v>2877</v>
      </c>
      <c r="M86" s="3002">
        <f ca="1">N69*0.5%</f>
        <v>2160.5549999999998</v>
      </c>
      <c r="N86" s="53">
        <f ca="1">IF(M86&gt;0.5,0.5,ROUND(M86,0))</f>
        <v>0.5</v>
      </c>
      <c r="O86" s="2011" t="s">
        <v>2878</v>
      </c>
      <c r="P86" s="2011"/>
      <c r="Q86" s="2011"/>
      <c r="R86" s="2011"/>
      <c r="S86" s="2011"/>
      <c r="T86" s="2011"/>
      <c r="U86" s="2011"/>
      <c r="V86" s="2011"/>
    </row>
    <row r="87" spans="1:26" s="1248" customFormat="1" ht="14.25" customHeight="1">
      <c r="A87" s="1303"/>
      <c r="B87" s="1304"/>
      <c r="C87" s="1305"/>
      <c r="D87" s="1306"/>
      <c r="E87" s="1307"/>
      <c r="F87" s="42"/>
      <c r="G87" s="42"/>
      <c r="H87" s="1001"/>
      <c r="I87" s="309"/>
      <c r="J87" s="2011"/>
      <c r="K87" s="3390"/>
      <c r="L87" s="3012" t="s">
        <v>2879</v>
      </c>
      <c r="M87" s="3002">
        <f ca="1">IF(N69&gt;=10000,(8.25+(N69-10000)*0.01%),IF(AND(N69&gt;=8000,N69&lt;10000),(7.85+(N69-8000)*0.02%),IF(AND(N69&gt;=5000,N69&lt;8000),(6.65+(N69-5000)*0.04%),IF(AND(N69&gt;=2000,N69&lt;5000),(4.25+(PN69-2000)*0.08%),IF(AND(N69&gt;=1000,N69&lt;2000),(2.75+(N69-1000)*0.15%),IF(AND(N69&gt;=100,N69&lt;1000),(0.5+(N69-100)*0.25%),IF(AND(N69&gt;0,N69&lt;100),N69*0.5%)))))))</f>
        <v>50.461100000000002</v>
      </c>
      <c r="N87" s="53">
        <f ca="1">ROUND(M87*0.9,1)</f>
        <v>45.4</v>
      </c>
      <c r="O87" s="3005"/>
      <c r="P87" s="309"/>
      <c r="Q87" s="2011"/>
      <c r="R87" s="2011"/>
      <c r="S87" s="2011"/>
      <c r="T87" s="2011"/>
      <c r="U87" s="2011"/>
      <c r="V87" s="2011"/>
      <c r="W87" s="290"/>
      <c r="X87" s="290"/>
      <c r="Y87" s="290"/>
      <c r="Z87" s="290"/>
    </row>
    <row r="88" spans="1:26" s="1308" customFormat="1" ht="15" thickBot="1">
      <c r="A88" s="3372" t="s">
        <v>437</v>
      </c>
      <c r="B88" s="3373"/>
      <c r="C88" s="3373"/>
      <c r="D88" s="3373"/>
      <c r="E88" s="3373"/>
      <c r="F88" s="3373"/>
      <c r="G88" s="3373"/>
      <c r="H88" s="3373"/>
      <c r="I88" s="1309"/>
      <c r="J88" s="2019"/>
      <c r="K88" s="3390"/>
      <c r="L88" s="3012" t="s">
        <v>2880</v>
      </c>
      <c r="M88" s="3002">
        <f ca="1">IF(N69&gt;10000,N69*0.5%,IF(AND(N69&gt;5000,N69&lt;=10000),N69*1%,IF(AND(N69&gt;1000,N69&lt;=5000),N69*2%,IF(AND(N69&gt;200,N69&lt;=1000),N69*3%,N69*5%))))</f>
        <v>2160.5549999999998</v>
      </c>
      <c r="N88" s="53">
        <f ca="1">ROUND(M88,1)</f>
        <v>2160.6</v>
      </c>
      <c r="O88" s="3005"/>
      <c r="P88" s="11"/>
      <c r="Q88" s="2016"/>
      <c r="R88" s="2016"/>
      <c r="S88" s="2016"/>
      <c r="T88" s="2016"/>
      <c r="U88" s="2016"/>
      <c r="V88" s="2016"/>
      <c r="W88" s="2020"/>
      <c r="X88" s="2020"/>
      <c r="Y88" s="2020"/>
      <c r="Z88" s="2020"/>
    </row>
    <row r="89" spans="1:26" s="1308" customFormat="1" ht="14.25">
      <c r="A89" s="3370" t="s">
        <v>428</v>
      </c>
      <c r="B89" s="3371"/>
      <c r="C89" s="992"/>
      <c r="D89" s="992" t="s">
        <v>429</v>
      </c>
      <c r="E89" s="389" t="s">
        <v>438</v>
      </c>
      <c r="F89" s="390"/>
      <c r="G89" s="390"/>
      <c r="H89" s="391"/>
      <c r="I89" s="1310"/>
      <c r="J89" s="2021"/>
      <c r="K89" s="3390"/>
      <c r="L89" s="3012" t="s">
        <v>27</v>
      </c>
      <c r="M89" s="3003"/>
      <c r="N89" s="53">
        <f ca="1">ROUND(SUM(N83:N88),0)</f>
        <v>6960</v>
      </c>
      <c r="O89" s="3013">
        <f ca="1">N89/N69</f>
        <v>1.6106972514006817E-2</v>
      </c>
      <c r="P89" s="2016"/>
      <c r="Q89" s="2016"/>
      <c r="R89" s="2016"/>
      <c r="S89" s="2016"/>
      <c r="T89" s="2016"/>
      <c r="U89" s="2016"/>
      <c r="V89" s="2016"/>
      <c r="W89" s="2020"/>
      <c r="X89" s="2020"/>
      <c r="Y89" s="2020"/>
      <c r="Z89" s="2020"/>
    </row>
    <row r="90" spans="1:26" s="1308" customFormat="1" ht="14.25">
      <c r="A90" s="379" t="s">
        <v>1823</v>
      </c>
      <c r="B90" s="380" t="s">
        <v>439</v>
      </c>
      <c r="C90" s="383">
        <f ca="1">ROUND(D63/(1+'数据-取费表'!C42),0)</f>
        <v>249751</v>
      </c>
      <c r="D90" s="376" t="s">
        <v>19</v>
      </c>
      <c r="E90" s="989"/>
      <c r="F90" s="988"/>
      <c r="G90" s="988"/>
      <c r="H90" s="392"/>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79" t="s">
        <v>1829</v>
      </c>
      <c r="B91" s="346" t="s">
        <v>440</v>
      </c>
      <c r="C91" s="383">
        <f ca="1">C92+C96</f>
        <v>3810</v>
      </c>
      <c r="D91" s="376" t="s">
        <v>19</v>
      </c>
      <c r="E91" s="989"/>
      <c r="F91" s="988"/>
      <c r="G91" s="988"/>
      <c r="H91" s="392"/>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3" t="s">
        <v>1831</v>
      </c>
      <c r="B93" s="374" t="s">
        <v>442</v>
      </c>
      <c r="C93" s="394">
        <v>2000</v>
      </c>
      <c r="D93" s="376" t="s">
        <v>19</v>
      </c>
      <c r="E93" s="395" t="s">
        <v>443</v>
      </c>
      <c r="F93" s="396" t="s">
        <v>444</v>
      </c>
      <c r="G93" s="395" t="s">
        <v>445</v>
      </c>
      <c r="H93" s="397">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3" t="s">
        <v>1832</v>
      </c>
      <c r="B94" s="398" t="s">
        <v>446</v>
      </c>
      <c r="C94" s="376">
        <f>IF(F93="购房发票",ROUND(C93*H93*5%,0),0)</f>
        <v>500</v>
      </c>
      <c r="D94" s="399">
        <v>0.05</v>
      </c>
      <c r="E94" s="3333" t="s">
        <v>447</v>
      </c>
      <c r="F94" s="3332"/>
      <c r="G94" s="3332"/>
      <c r="H94" s="3369"/>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2428</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3" t="s">
        <v>1834</v>
      </c>
      <c r="B96" s="374" t="s">
        <v>450</v>
      </c>
      <c r="C96" s="403">
        <f ca="1">ROUND(D63*D96/(1+'数据-取费表'!C42),0)</f>
        <v>1249</v>
      </c>
      <c r="D96" s="404">
        <f>'数据-取费表'!B43</f>
        <v>5.000000000000001E-3</v>
      </c>
      <c r="E96" s="3361" t="s">
        <v>2427</v>
      </c>
      <c r="F96" s="3362"/>
      <c r="G96" s="3362"/>
      <c r="H96" s="3363"/>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1835</v>
      </c>
      <c r="B97" s="380" t="s">
        <v>451</v>
      </c>
      <c r="C97" s="383">
        <f ca="1">C90-C91</f>
        <v>245941</v>
      </c>
      <c r="D97" s="376" t="s">
        <v>19</v>
      </c>
      <c r="E97" s="989"/>
      <c r="F97" s="988"/>
      <c r="G97" s="988"/>
      <c r="H97" s="392"/>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1836</v>
      </c>
      <c r="B98" s="380" t="s">
        <v>452</v>
      </c>
      <c r="C98" s="405">
        <f ca="1">IF(C97&lt;=0,0,C97/C91)</f>
        <v>64.551443569553811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1837</v>
      </c>
      <c r="B99" s="385" t="s">
        <v>453</v>
      </c>
      <c r="C99" s="406">
        <f ca="1">ROUND(IF(C97&lt;=0,0,IF(C98&gt;=200%,C97*60%-C91*35%,IF(C98&gt;=100%,C97*50%-C91*15%,IF(C98&gt;=50%,C97*40%-C91*5%,IF(C98&lt;50%,C97*30%,0))))),0)</f>
        <v>146231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72" t="s">
        <v>454</v>
      </c>
      <c r="B101" s="3373"/>
      <c r="C101" s="3373"/>
      <c r="D101" s="3373"/>
      <c r="E101" s="3373"/>
      <c r="F101" s="3373"/>
      <c r="G101" s="3373"/>
      <c r="H101" s="3373"/>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70" t="s">
        <v>428</v>
      </c>
      <c r="B102" s="3371"/>
      <c r="C102" s="992"/>
      <c r="D102" s="992" t="s">
        <v>429</v>
      </c>
      <c r="E102" s="389" t="s">
        <v>438</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79" t="s">
        <v>1823</v>
      </c>
      <c r="B103" s="380" t="s">
        <v>439</v>
      </c>
      <c r="C103" s="383">
        <f ca="1">ROUND(D63/(1+'数据-取费表'!C42),0)</f>
        <v>249751</v>
      </c>
      <c r="D103" s="376" t="s">
        <v>19</v>
      </c>
      <c r="E103" s="989"/>
      <c r="F103" s="988"/>
      <c r="G103" s="988"/>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79" t="s">
        <v>1829</v>
      </c>
      <c r="B104" s="346" t="s">
        <v>440</v>
      </c>
      <c r="C104" s="383">
        <f ca="1">IF(H106="仅含出让金",C105+C108+C109+C110+C111+C112,C105+C109+C110+C111+C112)</f>
        <v>1939</v>
      </c>
      <c r="D104" s="413"/>
      <c r="E104" s="989"/>
      <c r="F104" s="988"/>
      <c r="G104" s="988"/>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3" t="s">
        <v>1830</v>
      </c>
      <c r="B105" s="374" t="s">
        <v>455</v>
      </c>
      <c r="C105" s="403">
        <f>C106+C107</f>
        <v>572</v>
      </c>
      <c r="D105" s="404"/>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3" t="s">
        <v>1831</v>
      </c>
      <c r="B106" s="374" t="s">
        <v>456</v>
      </c>
      <c r="C106" s="414">
        <v>555</v>
      </c>
      <c r="D106" s="404"/>
      <c r="E106" s="415" t="s">
        <v>457</v>
      </c>
      <c r="F106" s="984"/>
      <c r="G106" s="416" t="s">
        <v>458</v>
      </c>
      <c r="H106" s="417"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1838</v>
      </c>
      <c r="B109" s="374" t="s">
        <v>461</v>
      </c>
      <c r="C109" s="403">
        <f>IF(H109="——",IF(F1="现房",'剩余法-现房'!C18,'剩余法-待开发'!C18),I109)</f>
        <v>55</v>
      </c>
      <c r="D109" s="404"/>
      <c r="E109" s="3364" t="s">
        <v>462</v>
      </c>
      <c r="F109" s="3362"/>
      <c r="G109" s="3362"/>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1839</v>
      </c>
      <c r="B110" s="374" t="s">
        <v>463</v>
      </c>
      <c r="C110" s="403">
        <f>ROUND((C105+C108+C109)*D110,0)</f>
        <v>63</v>
      </c>
      <c r="D110" s="404">
        <v>0.1</v>
      </c>
      <c r="E110" s="3364" t="s">
        <v>464</v>
      </c>
      <c r="F110" s="3362"/>
      <c r="G110" s="3362"/>
      <c r="H110" s="3363"/>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1840</v>
      </c>
      <c r="B111" s="374" t="s">
        <v>450</v>
      </c>
      <c r="C111" s="403">
        <f ca="1">ROUND(D63*D111/(1+'数据-取费表'!C42),0)</f>
        <v>1249</v>
      </c>
      <c r="D111" s="404">
        <f>'数据-取费表'!B43</f>
        <v>5.000000000000001E-3</v>
      </c>
      <c r="E111" s="3361" t="s">
        <v>2427</v>
      </c>
      <c r="F111" s="3362"/>
      <c r="G111" s="3362"/>
      <c r="H111" s="3363"/>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1841</v>
      </c>
      <c r="B112" s="374" t="s">
        <v>465</v>
      </c>
      <c r="C112" s="403">
        <f>ROUND(C108*D112,0)</f>
        <v>0</v>
      </c>
      <c r="D112" s="404">
        <v>0.2</v>
      </c>
      <c r="E112" s="3364" t="s">
        <v>2452</v>
      </c>
      <c r="F112" s="3362"/>
      <c r="G112" s="3362"/>
      <c r="H112" s="3363"/>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1835</v>
      </c>
      <c r="B113" s="380" t="s">
        <v>451</v>
      </c>
      <c r="C113" s="383">
        <f ca="1">ROUND(C103-C104,0)</f>
        <v>247812</v>
      </c>
      <c r="D113" s="376" t="s">
        <v>19</v>
      </c>
      <c r="E113" s="989"/>
      <c r="F113" s="988"/>
      <c r="G113" s="988"/>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1836</v>
      </c>
      <c r="B114" s="380" t="s">
        <v>452</v>
      </c>
      <c r="C114" s="405">
        <f ca="1">IF(C113&lt;=0,0,C113/C104)</f>
        <v>127.80402269210933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1837</v>
      </c>
      <c r="B115" s="385" t="s">
        <v>453</v>
      </c>
      <c r="C115" s="406">
        <f ca="1">ROUND(IF(C113&lt;=0,0,IF(C114&gt;=200%,C113*60%-C104*35%,IF(C114&gt;=100%,C113*50%-C104*15%,IF(C114&gt;=50%,C113*40%-C104*5%,IF(C114&lt;50%,C113*30%,0))))),0)</f>
        <v>148009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16" workbookViewId="0">
      <selection activeCell="C36" sqref="C36"/>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0">
        <f>MATCH(B1,'数据-取费表'!A6:A16,0)+5</f>
        <v>9</v>
      </c>
    </row>
    <row r="2" spans="1:31" s="2024" customFormat="1" ht="18" customHeight="1">
      <c r="A2" s="2084" t="s">
        <v>467</v>
      </c>
      <c r="B2" s="2088">
        <f ca="1">C36</f>
        <v>437262</v>
      </c>
      <c r="C2" s="2087"/>
      <c r="D2" s="2087"/>
      <c r="E2" s="2087"/>
      <c r="F2" s="2087"/>
      <c r="G2" s="2087"/>
      <c r="H2" s="2087"/>
      <c r="I2" s="2087"/>
      <c r="J2" s="2087"/>
      <c r="K2" s="2087"/>
    </row>
    <row r="3" spans="1:31" s="2024" customFormat="1" ht="18" customHeight="1">
      <c r="A3" s="2089" t="s">
        <v>1684</v>
      </c>
      <c r="B3" s="2090">
        <f ca="1">ROUND(B2*10000/IF(B1="",'数据-汇总表'!E3,INDIRECT("'数据-取费表'!K"&amp;$K$1)),0)</f>
        <v>10379</v>
      </c>
      <c r="C3" s="2087"/>
      <c r="D3" s="2087"/>
      <c r="E3" s="2087"/>
      <c r="F3" s="2087"/>
      <c r="G3" s="2087"/>
      <c r="H3" s="2087"/>
      <c r="I3" s="2087"/>
      <c r="J3" s="2087"/>
      <c r="K3" s="2087"/>
    </row>
    <row r="4" spans="1:31" s="2024" customFormat="1" ht="18" customHeight="1">
      <c r="A4" s="424" t="s">
        <v>468</v>
      </c>
      <c r="B4" s="425">
        <f ca="1">ROUND(B2*10000/IF(B1="",'数据-汇总表'!D3,INDIRECT("'数据-取费表'!R"&amp;$K$1)),0)</f>
        <v>30667</v>
      </c>
      <c r="C4" s="426"/>
      <c r="D4" s="420"/>
      <c r="E4" s="420"/>
      <c r="F4" s="420"/>
      <c r="G4" s="420"/>
      <c r="H4" s="420"/>
      <c r="I4" s="420"/>
      <c r="J4" s="420"/>
      <c r="K4" s="420"/>
    </row>
    <row r="5" spans="1:31" s="2024" customFormat="1" ht="18" customHeight="1" thickBot="1">
      <c r="A5" s="427"/>
      <c r="B5" s="428">
        <f ca="1">ROUND(B2/(IF(B1="",'数据-汇总表'!D3,INDIRECT("'数据-取费表'!R"&amp;$K$1))/666.67),0)</f>
        <v>2045</v>
      </c>
      <c r="C5" s="429" t="s">
        <v>469</v>
      </c>
      <c r="D5" s="420"/>
      <c r="E5" s="420"/>
      <c r="F5" s="420"/>
      <c r="G5" s="420"/>
      <c r="H5" s="420"/>
      <c r="I5" s="420"/>
      <c r="J5" s="420"/>
      <c r="K5" s="420"/>
    </row>
    <row r="6" spans="1:31" s="2094" customFormat="1" ht="16.5" customHeight="1">
      <c r="A6" s="2781" t="s">
        <v>1842</v>
      </c>
      <c r="B6" s="2782"/>
      <c r="C6" s="2783">
        <f ca="1">SUM(C10:K10)</f>
        <v>980544</v>
      </c>
      <c r="D6" s="2782"/>
      <c r="E6" s="2782"/>
      <c r="F6" s="2782"/>
      <c r="G6" s="2782"/>
      <c r="H6" s="2782"/>
      <c r="I6" s="2782"/>
      <c r="J6" s="2782"/>
      <c r="K6" s="2784"/>
    </row>
    <row r="7" spans="1:31" s="2096" customFormat="1" ht="15">
      <c r="A7" s="2785" t="s">
        <v>470</v>
      </c>
      <c r="B7" s="2786" t="s">
        <v>471</v>
      </c>
      <c r="C7" s="434" t="s">
        <v>923</v>
      </c>
      <c r="D7" s="434" t="s">
        <v>3001</v>
      </c>
      <c r="E7" s="434" t="s">
        <v>3000</v>
      </c>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1" t="s">
        <v>1845</v>
      </c>
      <c r="B8" s="259" t="s">
        <v>472</v>
      </c>
      <c r="C8" s="2787">
        <f>'不动产比较法-住宅'!B3</f>
        <v>34265</v>
      </c>
      <c r="D8" s="2787">
        <f ca="1">不动产收益法!B3</f>
        <v>4958</v>
      </c>
      <c r="E8" s="2787">
        <f>'不动产比较法-车位'!B3</f>
        <v>4384</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1846</v>
      </c>
      <c r="B9" s="259" t="s">
        <v>473</v>
      </c>
      <c r="C9" s="439">
        <f>SUMIF('数据-汇总表'!$C19:$C33,'剩余法-待开发'!C7,'数据-汇总表'!$E19:$E33)</f>
        <v>275334.25</v>
      </c>
      <c r="D9" s="439">
        <f>SUMIF('数据-汇总表'!$C19:$C33,'剩余法-待开发'!D7,'数据-汇总表'!$E19:$E33)</f>
        <v>2440.73</v>
      </c>
      <c r="E9" s="439">
        <f>SUMIF('数据-汇总表'!$C19:$C33,'剩余法-待开发'!E7,'数据-汇总表'!$E19:$E33)</f>
        <v>81890.259999999995</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6">
        <f>'不动产比较法-住宅'!B2</f>
        <v>943433</v>
      </c>
      <c r="D10" s="2976">
        <f ca="1">不动产收益法!B2</f>
        <v>1210</v>
      </c>
      <c r="E10" s="2976">
        <f>'不动产比较法-车位'!B2</f>
        <v>35901</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8">
        <f ca="1">IF(B1="",'数据-取费表'!P16,INDIRECT("'数据-取费表'!p"&amp;$K$1)+INDIRECT("'数据-取费表'!t"&amp;$K$1))</f>
        <v>163941</v>
      </c>
      <c r="D13" s="2797"/>
      <c r="E13" s="2798"/>
      <c r="F13" s="2799"/>
      <c r="G13" s="2765"/>
      <c r="H13" s="2766"/>
      <c r="I13" s="2766"/>
      <c r="J13" s="2766"/>
      <c r="K13" s="2767"/>
    </row>
    <row r="14" spans="1:31" s="2099" customFormat="1" ht="13.5" customHeight="1">
      <c r="A14" s="2795" t="s">
        <v>1849</v>
      </c>
      <c r="B14" s="2796" t="s">
        <v>480</v>
      </c>
      <c r="C14" s="53">
        <f ca="1">ROUND(C13*F14,0)</f>
        <v>8197</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6195</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8426</v>
      </c>
      <c r="D16" s="2797">
        <f ca="1">IF(B1="",'数据-汇总表'!E3,INDIRECT("'数据-取费表'!K"&amp;$K$1)+INDIRECT("'数据-取费表'!S"&amp;$K$1))</f>
        <v>421294.36999999976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2459</v>
      </c>
      <c r="D17" s="473"/>
      <c r="E17" s="2801"/>
      <c r="F17" s="2802">
        <f>'数据-取费表'!B36</f>
        <v>1.4999999999999999E-2</v>
      </c>
      <c r="G17" s="259" t="s">
        <v>486</v>
      </c>
      <c r="H17" s="2768"/>
      <c r="I17" s="2768"/>
      <c r="J17" s="2768"/>
      <c r="K17" s="277"/>
    </row>
    <row r="18" spans="1:14" s="2099" customFormat="1" ht="13.5" customHeight="1">
      <c r="A18" s="2803" t="s">
        <v>1853</v>
      </c>
      <c r="B18" s="2804" t="s">
        <v>487</v>
      </c>
      <c r="C18" s="2805">
        <f ca="1">SUM(C13:C17)</f>
        <v>189218</v>
      </c>
      <c r="D18" s="2806"/>
      <c r="E18" s="466"/>
      <c r="F18" s="466"/>
      <c r="G18" s="2769" t="s">
        <v>2429</v>
      </c>
      <c r="H18" s="2770"/>
      <c r="I18" s="2770"/>
      <c r="J18" s="2770"/>
      <c r="K18" s="2771"/>
    </row>
    <row r="19" spans="1:14" s="2099" customFormat="1" ht="13.5" customHeight="1">
      <c r="A19" s="2803" t="s">
        <v>1854</v>
      </c>
      <c r="B19" s="2804" t="s">
        <v>488</v>
      </c>
      <c r="C19" s="2761">
        <f ca="1">ROUND(D19*E19/10000,0)</f>
        <v>7583</v>
      </c>
      <c r="D19" s="2807">
        <f ca="1">D16</f>
        <v>421294.36999999976</v>
      </c>
      <c r="E19" s="2761">
        <f>'数据-取费表'!B32</f>
        <v>180</v>
      </c>
      <c r="F19" s="466"/>
      <c r="G19" s="2765" t="s">
        <v>489</v>
      </c>
      <c r="H19" s="2766"/>
      <c r="I19" s="2770"/>
      <c r="J19" s="2770"/>
      <c r="K19" s="2771"/>
    </row>
    <row r="20" spans="1:14" s="2099" customFormat="1" ht="13.5" customHeight="1">
      <c r="A20" s="2803" t="s">
        <v>1855</v>
      </c>
      <c r="B20" s="2804" t="s">
        <v>490</v>
      </c>
      <c r="C20" s="2761">
        <f ca="1">C21+C22-IF(B1="",'数据-取费表'!B29,IF(G20="已全部缴纳",C21+C22,H20))</f>
        <v>0</v>
      </c>
      <c r="D20" s="2807"/>
      <c r="E20" s="2761"/>
      <c r="F20" s="2808"/>
      <c r="G20" s="3033"/>
      <c r="H20" s="2763"/>
      <c r="I20" s="2764" t="s">
        <v>2649</v>
      </c>
      <c r="J20" s="2770"/>
      <c r="K20" s="2771"/>
    </row>
    <row r="21" spans="1:14" s="2099" customFormat="1" ht="13.5" customHeight="1">
      <c r="A21" s="2795" t="s">
        <v>1856</v>
      </c>
      <c r="B21" s="2796" t="s">
        <v>491</v>
      </c>
      <c r="C21" s="53">
        <f ca="1">ROUND(D21*E21/10000,0)</f>
        <v>0</v>
      </c>
      <c r="D21" s="2797">
        <f ca="1">IF(B1="",'数据-汇总表'!E5,IF(INDIRECT("'数据-取费表'!c"&amp;$K$1)="住宅",INDIRECT("'数据-取费表'!k"&amp;$K$1),0))</f>
        <v>275334.25</v>
      </c>
      <c r="E21" s="53">
        <f>'数据-取费表'!B27</f>
        <v>0</v>
      </c>
      <c r="F21" s="2800"/>
      <c r="G21" s="26"/>
      <c r="H21" s="51"/>
      <c r="I21" s="51"/>
      <c r="J21" s="51"/>
      <c r="K21" s="2772"/>
    </row>
    <row r="22" spans="1:14" s="2099"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145960.11999999976</v>
      </c>
      <c r="E22" s="53">
        <f>'数据-取费表'!B28</f>
        <v>0</v>
      </c>
      <c r="F22" s="2800"/>
      <c r="G22" s="26"/>
      <c r="H22" s="51"/>
      <c r="I22" s="51"/>
      <c r="J22" s="51"/>
      <c r="K22" s="2772"/>
    </row>
    <row r="23" spans="1:14" s="2099" customFormat="1" ht="13.5" customHeight="1">
      <c r="A23" s="2803" t="s">
        <v>1858</v>
      </c>
      <c r="B23" s="2982" t="s">
        <v>2832</v>
      </c>
      <c r="C23" s="2805">
        <f ca="1">ROUND((C18+C19+C20)*F23,0)</f>
        <v>3936</v>
      </c>
      <c r="D23" s="466"/>
      <c r="E23" s="466"/>
      <c r="F23" s="2809">
        <f>'数据-取费表'!B37</f>
        <v>0.02</v>
      </c>
      <c r="G23" s="2765" t="s">
        <v>2430</v>
      </c>
      <c r="H23" s="2766"/>
      <c r="I23" s="2766"/>
      <c r="J23" s="2766"/>
      <c r="K23" s="2767"/>
      <c r="L23" s="2101"/>
      <c r="M23" s="2101"/>
      <c r="N23" s="2101"/>
    </row>
    <row r="24" spans="1:14" s="2099" customFormat="1" ht="13.5" customHeight="1">
      <c r="A24" s="2803" t="s">
        <v>1859</v>
      </c>
      <c r="B24" s="2982" t="s">
        <v>2835</v>
      </c>
      <c r="C24" s="2805">
        <f ca="1">ROUND(C6*F24,0)</f>
        <v>19611</v>
      </c>
      <c r="D24" s="473"/>
      <c r="E24" s="471"/>
      <c r="F24" s="2809">
        <f>'数据-取费表'!B38</f>
        <v>0.02</v>
      </c>
      <c r="G24" s="2774" t="s">
        <v>499</v>
      </c>
      <c r="H24" s="2768"/>
      <c r="I24" s="2768"/>
      <c r="J24" s="2768"/>
      <c r="K24" s="277"/>
      <c r="L24" s="2101"/>
      <c r="M24" s="2101"/>
      <c r="N24" s="2101"/>
    </row>
    <row r="25" spans="1:14" s="2102" customFormat="1" ht="13.5" customHeight="1">
      <c r="A25" s="2803" t="s">
        <v>1860</v>
      </c>
      <c r="B25" s="2982" t="s">
        <v>2833</v>
      </c>
      <c r="C25" s="465">
        <f>ROUND(F25/(1+'数据-取费表'!C42),4)</f>
        <v>2.9000000000000001E-2</v>
      </c>
      <c r="D25" s="460" t="s">
        <v>2827</v>
      </c>
      <c r="E25" s="467"/>
      <c r="F25" s="2809">
        <f>IF(项目基本情况!B8="出让",0,'数据-取费表'!B48+'数据-取费表'!B49)</f>
        <v>3.0499999999999999E-2</v>
      </c>
      <c r="G25" s="2773" t="s">
        <v>2288</v>
      </c>
      <c r="H25" s="2766"/>
      <c r="I25" s="2766"/>
      <c r="J25" s="2766"/>
      <c r="K25" s="2767"/>
    </row>
    <row r="26" spans="1:14" s="2101" customFormat="1" ht="13.5" customHeight="1">
      <c r="A26" s="2803" t="s">
        <v>1861</v>
      </c>
      <c r="B26" s="2983" t="s">
        <v>2834</v>
      </c>
      <c r="C26" s="2810">
        <f ca="1">C28</f>
        <v>18641</v>
      </c>
      <c r="D26" s="465">
        <f ca="1">C27</f>
        <v>0.18149999999999999</v>
      </c>
      <c r="E26" s="467" t="s">
        <v>495</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1856</v>
      </c>
      <c r="B27" s="2811" t="s">
        <v>496</v>
      </c>
      <c r="C27" s="2812">
        <f ca="1">ROUND(IF('数据-取费表'!B22&lt;=1,(1+C25)*F26*'数据-取费表'!B24,(1+C25)*(POWER((1+F26),'数据-取费表'!B24)-1)),4)</f>
        <v>0.18149999999999999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1857</v>
      </c>
      <c r="B28" s="2811" t="s">
        <v>2836</v>
      </c>
      <c r="C28" s="2813">
        <f ca="1">ROUND(IF('数据-取费表'!B22&lt;=1,(C18+C19+C20+C23+C24)*F26*'数据-取费表'!B24/2,(C18+C19+C20+C23+C24)*(POWER((1+F26),'数据-取费表'!B24/2)-1)),0)</f>
        <v>18641</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1862</v>
      </c>
      <c r="B29" s="2804" t="s">
        <v>497</v>
      </c>
      <c r="C29" s="2805">
        <f ca="1">ROUND(C6*F29/(1+'数据-取费表'!C42),0)</f>
        <v>51362</v>
      </c>
      <c r="D29" s="466"/>
      <c r="E29" s="466"/>
      <c r="F29" s="2984">
        <f>'数据-取费表'!B41</f>
        <v>5.5000000000000007E-2</v>
      </c>
      <c r="G29" s="2774" t="s">
        <v>498</v>
      </c>
      <c r="H29" s="2766"/>
      <c r="I29" s="2766"/>
      <c r="J29" s="2766"/>
      <c r="K29" s="2767"/>
    </row>
    <row r="30" spans="1:14" s="2104" customFormat="1" ht="13.5" customHeight="1">
      <c r="A30" s="1618" t="s">
        <v>1863</v>
      </c>
      <c r="B30" s="2815" t="s">
        <v>500</v>
      </c>
      <c r="C30" s="2810">
        <f ca="1">C31</f>
        <v>290351</v>
      </c>
      <c r="D30" s="475">
        <f ca="1">C32</f>
        <v>0.21049999999999999</v>
      </c>
      <c r="E30" s="467" t="s">
        <v>495</v>
      </c>
      <c r="F30" s="469"/>
      <c r="G30" s="2773" t="s">
        <v>2963</v>
      </c>
      <c r="H30" s="2766"/>
      <c r="I30" s="2766"/>
      <c r="J30" s="2766"/>
      <c r="K30" s="2767"/>
    </row>
    <row r="31" spans="1:14" s="2103" customFormat="1" ht="13.5" customHeight="1">
      <c r="A31" s="801" t="s">
        <v>1856</v>
      </c>
      <c r="B31" s="2811"/>
      <c r="C31" s="448">
        <f ca="1">C18+C19+C20+C23+C24+C26+C29</f>
        <v>290351</v>
      </c>
      <c r="D31" s="470"/>
      <c r="E31" s="471"/>
      <c r="F31" s="472"/>
      <c r="G31" s="259"/>
      <c r="H31" s="2768"/>
      <c r="I31" s="2768"/>
      <c r="J31" s="2768"/>
      <c r="K31" s="277"/>
    </row>
    <row r="32" spans="1:14" s="2103" customFormat="1" ht="13.5" customHeight="1">
      <c r="A32" s="801" t="s">
        <v>1857</v>
      </c>
      <c r="B32" s="2811"/>
      <c r="C32" s="53">
        <f ca="1">ROUND(C25+D26,4)</f>
        <v>0.21049999999999999</v>
      </c>
      <c r="D32" s="470"/>
      <c r="E32" s="471"/>
      <c r="F32" s="472"/>
      <c r="G32" s="259"/>
      <c r="H32" s="2768"/>
      <c r="I32" s="2768"/>
      <c r="J32" s="2768"/>
      <c r="K32" s="277"/>
    </row>
    <row r="33" spans="1:11" s="2105" customFormat="1" ht="13.5" customHeight="1">
      <c r="A33" s="2981" t="s">
        <v>2831</v>
      </c>
      <c r="B33" s="2979" t="s">
        <v>2829</v>
      </c>
      <c r="C33" s="476">
        <f ca="1">C35</f>
        <v>52884</v>
      </c>
      <c r="D33" s="465">
        <f ca="1">C34</f>
        <v>0.247</v>
      </c>
      <c r="E33" s="467" t="s">
        <v>495</v>
      </c>
      <c r="F33" s="477">
        <f ca="1">IF(B1="",'数据-取费表'!Q16,INDIRECT("'数据-取费表'!q"&amp;$K$1))</f>
        <v>0.24</v>
      </c>
      <c r="G33" s="2769"/>
      <c r="H33" s="2770"/>
      <c r="I33" s="2770"/>
      <c r="J33" s="2770"/>
      <c r="K33" s="2771"/>
    </row>
    <row r="34" spans="1:11" s="2106" customFormat="1" ht="13.5" customHeight="1">
      <c r="A34" s="373" t="s">
        <v>1856</v>
      </c>
      <c r="B34" s="2816" t="s">
        <v>501</v>
      </c>
      <c r="C34" s="470">
        <f ca="1">ROUND((1+C25)*F33,4)</f>
        <v>0.247</v>
      </c>
      <c r="D34" s="470"/>
      <c r="E34" s="471"/>
      <c r="F34" s="478"/>
      <c r="G34" s="259" t="s">
        <v>2289</v>
      </c>
      <c r="H34" s="2768"/>
      <c r="I34" s="2768"/>
      <c r="J34" s="2768"/>
      <c r="K34" s="277"/>
    </row>
    <row r="35" spans="1:11" s="2106" customFormat="1" ht="13.5" customHeight="1" thickBot="1">
      <c r="A35" s="1619" t="s">
        <v>1857</v>
      </c>
      <c r="B35" s="2980" t="s">
        <v>2837</v>
      </c>
      <c r="C35" s="1611">
        <f ca="1">ROUND((C18+C19+C20+C23+C24)*F33,0)</f>
        <v>52884</v>
      </c>
      <c r="D35" s="1612"/>
      <c r="E35" s="2817"/>
      <c r="F35" s="1613"/>
      <c r="G35" s="2775"/>
      <c r="H35" s="2776"/>
      <c r="I35" s="2776"/>
      <c r="J35" s="2776"/>
      <c r="K35" s="2777"/>
    </row>
    <row r="36" spans="1:11" s="2068" customFormat="1" ht="13.5" customHeight="1" thickBot="1">
      <c r="A36" s="282" t="s">
        <v>1844</v>
      </c>
      <c r="B36" s="2779"/>
      <c r="C36" s="2818">
        <f ca="1">ROUND((C6-C30-C33)/(1+D30+D33),0)</f>
        <v>437262</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40" t="str">
        <f>项目基本情况!B1</f>
        <v>北京市顺义区北小营镇顺义新城第30街区30-01-02地块R2二类居住用地出让国有建设用地使用权抵押价格预评估</v>
      </c>
      <c r="C37" s="3240"/>
      <c r="D37" s="3240"/>
      <c r="E37" s="3240"/>
      <c r="F37" s="3240"/>
      <c r="G37" s="3240"/>
      <c r="H37" s="3240"/>
      <c r="I37" s="3240"/>
    </row>
    <row r="38" spans="1:9">
      <c r="A38" s="1639"/>
      <c r="B38" s="1639"/>
    </row>
    <row r="39" spans="1:9">
      <c r="A39" s="1637" t="s">
        <v>1901</v>
      </c>
      <c r="B39" s="1637" t="s">
        <v>2045</v>
      </c>
    </row>
    <row r="40" spans="1:9">
      <c r="A40" s="1637"/>
      <c r="B40" s="1637" t="str">
        <f>项目基本情况!B5</f>
        <v>北京展拓置业有限公司</v>
      </c>
    </row>
    <row r="41" spans="1:9">
      <c r="A41" s="1637"/>
      <c r="B41" s="1637"/>
    </row>
    <row r="42" spans="1:9">
      <c r="A42" s="1637" t="s">
        <v>1901</v>
      </c>
      <c r="B42" s="1637" t="s">
        <v>2046</v>
      </c>
    </row>
    <row r="43" spans="1:9">
      <c r="A43" s="1637"/>
      <c r="B43" s="1637" t="s">
        <v>1903</v>
      </c>
    </row>
    <row r="44" spans="1:9">
      <c r="A44" s="1637"/>
      <c r="B44" s="1637"/>
    </row>
    <row r="45" spans="1:9">
      <c r="A45" s="1637" t="s">
        <v>1901</v>
      </c>
      <c r="B45" s="1637" t="s">
        <v>2044</v>
      </c>
    </row>
    <row r="46" spans="1:9" s="1637" customFormat="1" ht="12.75">
      <c r="B46" s="1637" t="str">
        <f>项目基本情况!K4</f>
        <v>崔锴、赵雯</v>
      </c>
    </row>
    <row r="47" spans="1:9">
      <c r="A47" s="1637"/>
      <c r="B47" s="1637"/>
    </row>
    <row r="48" spans="1:9">
      <c r="A48" s="1637" t="s">
        <v>1901</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37" sqref="B37:I37"/>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466</v>
      </c>
      <c r="B1" s="2762"/>
      <c r="C1" s="2087"/>
      <c r="D1" s="2087"/>
      <c r="E1" s="2087"/>
      <c r="F1" s="2087"/>
      <c r="G1" s="2087"/>
      <c r="H1" s="2087"/>
      <c r="I1" s="2087"/>
      <c r="J1" s="2087"/>
      <c r="K1" s="420">
        <f>MATCH(B1,'数据-取费表'!A6:A16,0)+5</f>
        <v>9</v>
      </c>
    </row>
    <row r="2" spans="1:41" s="2024" customFormat="1" ht="18" customHeight="1">
      <c r="A2" s="421" t="s">
        <v>467</v>
      </c>
      <c r="B2" s="422">
        <f ca="1">C32</f>
        <v>0</v>
      </c>
      <c r="C2" s="2087"/>
      <c r="D2" s="2087"/>
      <c r="E2" s="2087"/>
      <c r="F2" s="2087"/>
      <c r="G2" s="2087"/>
      <c r="H2" s="2087"/>
      <c r="I2" s="2087"/>
      <c r="J2" s="2087"/>
      <c r="K2" s="2087"/>
    </row>
    <row r="3" spans="1:41" s="2024" customFormat="1" ht="18" customHeight="1">
      <c r="A3" s="1373" t="s">
        <v>1684</v>
      </c>
      <c r="B3" s="423">
        <f ca="1">ROUND(B2*10000/IF(B1="",'数据-汇总表'!E3,INDIRECT("'数据-取费表'!K"&amp;$K$1)),0)</f>
        <v>0</v>
      </c>
      <c r="C3" s="2087"/>
      <c r="D3" s="2087"/>
      <c r="E3" s="2087"/>
      <c r="F3" s="2087"/>
      <c r="G3" s="2087"/>
      <c r="H3" s="2087"/>
      <c r="I3" s="2087"/>
      <c r="J3" s="2087"/>
      <c r="K3" s="2087"/>
    </row>
    <row r="4" spans="1:41" s="2024" customFormat="1" ht="18" customHeight="1">
      <c r="A4" s="424" t="s">
        <v>468</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469</v>
      </c>
      <c r="D5" s="2087"/>
      <c r="E5" s="2087"/>
      <c r="F5" s="2087"/>
      <c r="G5" s="2087"/>
      <c r="H5" s="2087"/>
      <c r="I5" s="2087"/>
      <c r="J5" s="2087"/>
      <c r="K5" s="2087"/>
    </row>
    <row r="6" spans="1:41" s="2094" customFormat="1" ht="16.5" customHeight="1">
      <c r="A6" s="430" t="s">
        <v>2650</v>
      </c>
      <c r="B6" s="431"/>
      <c r="C6" s="1606">
        <f>SUM(C10:K10)</f>
        <v>0</v>
      </c>
      <c r="D6" s="2092"/>
      <c r="E6" s="2092"/>
      <c r="F6" s="2092"/>
      <c r="G6" s="2092"/>
      <c r="H6" s="2092"/>
      <c r="I6" s="2092"/>
      <c r="J6" s="2092"/>
      <c r="K6" s="2093"/>
    </row>
    <row r="7" spans="1:41" s="2096" customFormat="1" ht="15">
      <c r="A7" s="432" t="s">
        <v>470</v>
      </c>
      <c r="B7" s="433" t="s">
        <v>471</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6" t="s">
        <v>472</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2" t="s">
        <v>470</v>
      </c>
      <c r="B12" s="442" t="s">
        <v>471</v>
      </c>
      <c r="C12" s="443" t="s">
        <v>475</v>
      </c>
      <c r="D12" s="444" t="s">
        <v>476</v>
      </c>
      <c r="E12" s="444" t="s">
        <v>477</v>
      </c>
      <c r="F12" s="444" t="s">
        <v>478</v>
      </c>
      <c r="G12" s="442"/>
      <c r="H12" s="445"/>
      <c r="I12" s="445"/>
      <c r="J12" s="445"/>
      <c r="K12" s="446"/>
    </row>
    <row r="13" spans="1:41" s="2099" customFormat="1" ht="13.5" customHeight="1">
      <c r="A13" s="1616" t="s">
        <v>1848</v>
      </c>
      <c r="B13" s="447" t="s">
        <v>479</v>
      </c>
      <c r="C13" s="448">
        <f ca="1">IF(B1="",'数据-取费表'!M16,INDIRECT("'数据-取费表'!M"&amp;$K$1)+INDIRECT("'数据-取费表'!t"&amp;$K$1))</f>
        <v>163941</v>
      </c>
      <c r="D13" s="449"/>
      <c r="E13" s="363"/>
      <c r="F13" s="450"/>
      <c r="G13" s="442"/>
      <c r="H13" s="445"/>
      <c r="I13" s="445"/>
      <c r="J13" s="445"/>
      <c r="K13" s="446"/>
    </row>
    <row r="14" spans="1:41" s="2099" customFormat="1" ht="13.5" customHeight="1">
      <c r="A14" s="1616" t="s">
        <v>1849</v>
      </c>
      <c r="B14" s="447" t="s">
        <v>480</v>
      </c>
      <c r="C14" s="53">
        <f ca="1">ROUND(C13*F14,0)</f>
        <v>8197</v>
      </c>
      <c r="D14" s="449"/>
      <c r="E14" s="363"/>
      <c r="F14" s="451">
        <f>'数据-取费表'!B33</f>
        <v>0.05</v>
      </c>
      <c r="G14" s="442" t="s">
        <v>502</v>
      </c>
      <c r="H14" s="445"/>
      <c r="I14" s="445"/>
      <c r="J14" s="445"/>
      <c r="K14" s="446"/>
    </row>
    <row r="15" spans="1:41" s="2099" customFormat="1" ht="13.5" customHeight="1">
      <c r="A15" s="1616" t="s">
        <v>1850</v>
      </c>
      <c r="B15" s="447" t="s">
        <v>482</v>
      </c>
      <c r="C15" s="53">
        <f ca="1">ROUND(IF(B1="",SUMIF('数据-取费表'!C:C,"住宅",'数据-取费表'!M:M)*F15,IF(INDIRECT("'数据-取费表'!c"&amp;$K$1)="住宅",INDIRECT("'数据-取费表'!M"&amp;$K$1)*F15,0)),0)</f>
        <v>6195</v>
      </c>
      <c r="D15" s="449"/>
      <c r="E15" s="363"/>
      <c r="F15" s="451">
        <f>'数据-取费表'!B34</f>
        <v>0.05</v>
      </c>
      <c r="G15" s="442" t="s">
        <v>502</v>
      </c>
      <c r="H15" s="445"/>
      <c r="I15" s="445"/>
      <c r="J15" s="445"/>
      <c r="K15" s="446"/>
    </row>
    <row r="16" spans="1:41" s="2100" customFormat="1" ht="13.5" customHeight="1">
      <c r="A16" s="1616" t="s">
        <v>1851</v>
      </c>
      <c r="B16" s="447" t="s">
        <v>484</v>
      </c>
      <c r="C16" s="53">
        <f ca="1">ROUND(D16*E16/10000,0)</f>
        <v>8426</v>
      </c>
      <c r="D16" s="449">
        <f ca="1">IF(B1="",'数据-汇总表'!E3,INDIRECT("'数据-取费表'!K"&amp;$K$1)+INDIRECT("'数据-取费表'!S"&amp;$K$1))</f>
        <v>421294.36999999976</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7" t="s">
        <v>485</v>
      </c>
      <c r="C17" s="452">
        <f ca="1">ROUND(C13*F17,0)</f>
        <v>2459</v>
      </c>
      <c r="D17" s="453"/>
      <c r="E17" s="452"/>
      <c r="F17" s="454">
        <f>'数据-取费表'!B36</f>
        <v>1.4999999999999999E-2</v>
      </c>
      <c r="G17" s="442" t="s">
        <v>502</v>
      </c>
      <c r="H17" s="455"/>
      <c r="I17" s="455"/>
      <c r="J17" s="455"/>
      <c r="K17" s="456"/>
    </row>
    <row r="18" spans="1:14" s="2102" customFormat="1" ht="13.5" customHeight="1">
      <c r="A18" s="1617" t="s">
        <v>1853</v>
      </c>
      <c r="B18" s="457" t="s">
        <v>487</v>
      </c>
      <c r="C18" s="458">
        <f ca="1">SUM(C13:C17)</f>
        <v>189218</v>
      </c>
      <c r="D18" s="459"/>
      <c r="E18" s="460"/>
      <c r="F18" s="460"/>
      <c r="G18" s="1321" t="s">
        <v>2431</v>
      </c>
      <c r="H18" s="445"/>
      <c r="I18" s="445"/>
      <c r="J18" s="445"/>
      <c r="K18" s="446"/>
    </row>
    <row r="19" spans="1:14" s="2102" customFormat="1" ht="13.5" customHeight="1">
      <c r="A19" s="1617" t="s">
        <v>1854</v>
      </c>
      <c r="B19" s="457" t="s">
        <v>493</v>
      </c>
      <c r="C19" s="458">
        <f ca="1">ROUND(C18*F19,0)</f>
        <v>3784</v>
      </c>
      <c r="D19" s="460"/>
      <c r="E19" s="460"/>
      <c r="F19" s="464">
        <f>'数据-取费表'!B37</f>
        <v>0.02</v>
      </c>
      <c r="G19" s="442" t="s">
        <v>503</v>
      </c>
      <c r="H19" s="445"/>
      <c r="I19" s="445"/>
      <c r="J19" s="445"/>
      <c r="K19" s="446"/>
      <c r="L19" s="2104"/>
      <c r="M19" s="2104"/>
      <c r="N19" s="2104"/>
    </row>
    <row r="20" spans="1:14" s="2102" customFormat="1" ht="13.5" customHeight="1">
      <c r="A20" s="1617" t="s">
        <v>1855</v>
      </c>
      <c r="B20" s="457" t="s">
        <v>504</v>
      </c>
      <c r="C20" s="2977">
        <f>F20</f>
        <v>0.02</v>
      </c>
      <c r="D20" s="467" t="s">
        <v>505</v>
      </c>
      <c r="E20" s="467"/>
      <c r="F20" s="484">
        <f>'数据-取费表'!B38</f>
        <v>0.02</v>
      </c>
      <c r="G20" s="1321" t="s">
        <v>506</v>
      </c>
      <c r="H20" s="445"/>
      <c r="I20" s="445"/>
      <c r="J20" s="445"/>
      <c r="K20" s="446"/>
      <c r="L20" s="2104"/>
      <c r="M20" s="2104"/>
      <c r="N20" s="2104"/>
    </row>
    <row r="21" spans="1:14" s="2104" customFormat="1" ht="13.5" customHeight="1">
      <c r="A21" s="1617" t="s">
        <v>1858</v>
      </c>
      <c r="B21" s="459" t="s">
        <v>494</v>
      </c>
      <c r="C21" s="468">
        <f ca="1">C22</f>
        <v>16328</v>
      </c>
      <c r="D21" s="465">
        <f ca="1">C23</f>
        <v>1.6999999999999999E-3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1" t="s">
        <v>2453</v>
      </c>
    </row>
    <row r="22" spans="1:14" s="2103" customFormat="1" ht="13.5" customHeight="1">
      <c r="A22" s="1616" t="s">
        <v>1848</v>
      </c>
      <c r="B22" s="1322" t="s">
        <v>2434</v>
      </c>
      <c r="C22" s="485">
        <f ca="1">ROUND(IF('数据-取费表'!B22&lt;=1,(C18+C19)*F21*'数据-取费表'!B20/2,(C18+C19)*(POWER((1+F21),'数据-取费表'!B20/2)-1)),0)</f>
        <v>16328</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1849</v>
      </c>
      <c r="B23" s="1322" t="s">
        <v>508</v>
      </c>
      <c r="C23" s="486">
        <f ca="1">ROUND(IF('数据-取费表'!B22&lt;=1,F20*F21*'数据-取费表'!B20/2,F20*(POWER((1+F21),'数据-取费表'!B20/2)-1)),4)</f>
        <v>1.6999999999999999E-3</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1859</v>
      </c>
      <c r="B24" s="2979" t="s">
        <v>2830</v>
      </c>
      <c r="C24" s="476">
        <f ca="1">C25</f>
        <v>46320</v>
      </c>
      <c r="D24" s="487">
        <f ca="1">C26</f>
        <v>4.7999999999999996E-3</v>
      </c>
      <c r="E24" s="467" t="s">
        <v>507</v>
      </c>
      <c r="F24" s="477">
        <f ca="1">IF(B1="",'数据-取费表'!Q16,INDIRECT("'数据-取费表'!q"&amp;$K$1))</f>
        <v>0.24</v>
      </c>
      <c r="G24" s="442"/>
      <c r="H24" s="445"/>
      <c r="I24" s="445"/>
      <c r="J24" s="445"/>
      <c r="K24" s="446"/>
    </row>
    <row r="25" spans="1:14" s="2103" customFormat="1" ht="13.5" customHeight="1">
      <c r="A25" s="1616" t="s">
        <v>1848</v>
      </c>
      <c r="B25" s="1322" t="s">
        <v>2435</v>
      </c>
      <c r="C25" s="488">
        <f ca="1">ROUND((C18+C19)*F24,0)</f>
        <v>46320</v>
      </c>
      <c r="D25" s="470"/>
      <c r="E25" s="471"/>
      <c r="F25" s="478"/>
      <c r="G25" s="1320" t="s">
        <v>2432</v>
      </c>
      <c r="H25" s="455"/>
      <c r="I25" s="455"/>
      <c r="J25" s="455"/>
      <c r="K25" s="456"/>
    </row>
    <row r="26" spans="1:14" s="2103" customFormat="1" ht="13.5" customHeight="1">
      <c r="A26" s="1616" t="s">
        <v>1849</v>
      </c>
      <c r="B26" s="1322" t="s">
        <v>509</v>
      </c>
      <c r="C26" s="489">
        <f ca="1">ROUND(F20*F24,4)</f>
        <v>4.7999999999999996E-3</v>
      </c>
      <c r="D26" s="470"/>
      <c r="E26" s="479"/>
      <c r="F26" s="478"/>
      <c r="G26" s="1320" t="s">
        <v>510</v>
      </c>
      <c r="H26" s="455"/>
      <c r="I26" s="455"/>
      <c r="J26" s="455"/>
      <c r="K26" s="456"/>
    </row>
    <row r="27" spans="1:14" s="2103" customFormat="1" ht="13.5" customHeight="1">
      <c r="A27" s="1620" t="s">
        <v>1867</v>
      </c>
      <c r="B27" s="457" t="s">
        <v>511</v>
      </c>
      <c r="C27" s="2978">
        <f>ROUND(F27/(1+'数据-取费表'!C42),4)</f>
        <v>5.2400000000000002E-2</v>
      </c>
      <c r="D27" s="460" t="s">
        <v>2828</v>
      </c>
      <c r="E27" s="460"/>
      <c r="F27" s="464">
        <f>'数据-取费表'!B41</f>
        <v>5.5000000000000007E-2</v>
      </c>
      <c r="G27" s="1943" t="s">
        <v>2290</v>
      </c>
      <c r="H27" s="445"/>
      <c r="I27" s="445"/>
      <c r="J27" s="445"/>
      <c r="K27" s="446"/>
    </row>
    <row r="28" spans="1:14" s="2104" customFormat="1" ht="13.5" customHeight="1">
      <c r="A28" s="1620" t="s">
        <v>1868</v>
      </c>
      <c r="B28" s="474" t="s">
        <v>512</v>
      </c>
      <c r="C28" s="468">
        <f ca="1">ROUND((C18+C19+C21+C24)/(1-C20-D21-D24-C27),0)</f>
        <v>277549</v>
      </c>
      <c r="D28" s="475"/>
      <c r="E28" s="467"/>
      <c r="F28" s="469"/>
      <c r="G28" s="1321" t="s">
        <v>2433</v>
      </c>
      <c r="H28" s="445"/>
      <c r="I28" s="445"/>
      <c r="J28" s="445"/>
      <c r="K28" s="446"/>
    </row>
    <row r="29" spans="1:14" s="2104" customFormat="1" ht="13.5" customHeight="1">
      <c r="A29" s="1620" t="s">
        <v>1869</v>
      </c>
      <c r="B29" s="474" t="s">
        <v>513</v>
      </c>
      <c r="C29" s="490">
        <f ca="1">IF(B1="",'数据-取费表'!N16,INDIRECT("'数据-取费表'!N"&amp;$K$1))</f>
        <v>0</v>
      </c>
      <c r="D29" s="491"/>
      <c r="E29" s="492"/>
      <c r="F29" s="493"/>
      <c r="G29" s="442"/>
      <c r="H29" s="445"/>
      <c r="I29" s="445"/>
      <c r="J29" s="445"/>
      <c r="K29" s="446"/>
    </row>
    <row r="30" spans="1:14" s="2104" customFormat="1" ht="13.5" customHeight="1">
      <c r="A30" s="441">
        <v>2</v>
      </c>
      <c r="B30" s="474" t="s">
        <v>514</v>
      </c>
      <c r="C30" s="495">
        <f ca="1">ROUND(C28*C29,0)</f>
        <v>0</v>
      </c>
      <c r="D30" s="491"/>
      <c r="E30" s="496"/>
      <c r="F30" s="497"/>
      <c r="G30" s="1323" t="s">
        <v>515</v>
      </c>
      <c r="H30" s="494"/>
      <c r="I30" s="494"/>
      <c r="J30" s="445"/>
      <c r="K30" s="446"/>
    </row>
    <row r="31" spans="1:14" s="2109" customFormat="1" ht="13.5" customHeight="1">
      <c r="A31" s="2444" t="s">
        <v>1865</v>
      </c>
      <c r="B31" s="1324"/>
      <c r="C31" s="498">
        <f>ROUND(C6*F31/(1+'数据-取费表'!C42),0)</f>
        <v>0</v>
      </c>
      <c r="D31" s="1325"/>
      <c r="E31" s="1325"/>
      <c r="F31" s="499">
        <f>'数据-取费表'!B41</f>
        <v>5.5000000000000007E-2</v>
      </c>
      <c r="G31" s="1326"/>
      <c r="H31" s="1326"/>
      <c r="I31" s="1326"/>
      <c r="J31" s="1327"/>
      <c r="K31" s="1328"/>
    </row>
    <row r="32" spans="1:14" s="2068"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5" t="s">
        <v>2964</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0" zoomScale="55" zoomScaleNormal="95" zoomScaleSheetLayoutView="55" workbookViewId="0">
      <selection activeCell="F63" sqref="F63:F65"/>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467</v>
      </c>
      <c r="B2" s="506">
        <f>F68</f>
        <v>436868</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1684</v>
      </c>
      <c r="B3" s="508">
        <f>ROUND(B2*10000/'数据-汇总表'!E3,0)</f>
        <v>10370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30" customFormat="1" ht="28.5" customHeight="1">
      <c r="A4" s="509" t="s">
        <v>520</v>
      </c>
      <c r="B4" s="425">
        <f>IF(B48="单位面积地价",C50,ROUND(B2*10000/'数据-汇总表'!D3,0))</f>
        <v>30640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2043</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521</v>
      </c>
      <c r="B6" s="511"/>
      <c r="C6" s="3415" t="s">
        <v>522</v>
      </c>
      <c r="D6" s="3416"/>
      <c r="E6" s="3415" t="s">
        <v>523</v>
      </c>
      <c r="F6" s="3416"/>
      <c r="G6" s="3415" t="s">
        <v>524</v>
      </c>
      <c r="H6" s="3416"/>
      <c r="I6" s="3415" t="s">
        <v>525</v>
      </c>
      <c r="J6" s="3416"/>
      <c r="K6" s="512" t="s">
        <v>526</v>
      </c>
      <c r="L6" s="2116"/>
      <c r="M6" s="2115"/>
      <c r="N6" s="2115"/>
      <c r="O6" s="2117"/>
      <c r="P6" s="3417" t="s">
        <v>527</v>
      </c>
      <c r="Q6" s="3418"/>
      <c r="R6" s="3423" t="s">
        <v>523</v>
      </c>
      <c r="S6" s="3424"/>
      <c r="T6" s="3423" t="s">
        <v>524</v>
      </c>
      <c r="U6" s="3424"/>
      <c r="V6" s="3410" t="s">
        <v>525</v>
      </c>
      <c r="W6" s="3410"/>
      <c r="X6" s="1551"/>
      <c r="Y6" s="3423" t="s">
        <v>527</v>
      </c>
      <c r="Z6" s="3424"/>
      <c r="AA6" s="3412" t="s">
        <v>523</v>
      </c>
      <c r="AB6" s="3413" t="s">
        <v>524</v>
      </c>
      <c r="AC6" s="3412" t="s">
        <v>525</v>
      </c>
    </row>
    <row r="7" spans="1:30" ht="27.75" customHeight="1">
      <c r="A7" s="513"/>
      <c r="B7" s="514"/>
      <c r="C7" s="3433" t="str">
        <f>项目基本情况!F10</f>
        <v>顺义区北小营镇顺义新城第30街区30-01-02地块R2二类居住用地</v>
      </c>
      <c r="D7" s="3432"/>
      <c r="E7" s="3431" t="str">
        <f>Sheet1!A7</f>
        <v>北京市顺义区顺义新城第13街区SY00-0013-6022等地块R2二类居住用地、A61机构养老用地、A33基础教育用地</v>
      </c>
      <c r="F7" s="3432"/>
      <c r="G7" s="3431" t="str">
        <f>Sheet1!A6</f>
        <v>北京市顺义区顺义新城第13街区SY00-0013-6008、SY00-0013-6009地块R2二类居住用地、A33基础教育用地</v>
      </c>
      <c r="H7" s="3432"/>
      <c r="I7" s="3431" t="str">
        <f>Sheet1!A4</f>
        <v>北京市顺义区顺义新城牛栏山组团一级开发项目17-11-07地块(南侧)R2二类居住用地</v>
      </c>
      <c r="J7" s="3432"/>
      <c r="K7" s="512"/>
      <c r="L7" s="2116"/>
      <c r="M7" s="2115"/>
      <c r="N7" s="2115"/>
      <c r="O7" s="2117"/>
      <c r="P7" s="3419"/>
      <c r="Q7" s="3420"/>
      <c r="R7" s="3425"/>
      <c r="S7" s="3426"/>
      <c r="T7" s="3425"/>
      <c r="U7" s="3426"/>
      <c r="V7" s="3410"/>
      <c r="W7" s="3410"/>
      <c r="X7" s="1551"/>
      <c r="Y7" s="3425"/>
      <c r="Z7" s="3426"/>
      <c r="AA7" s="3413"/>
      <c r="AB7" s="3413"/>
      <c r="AC7" s="3413"/>
    </row>
    <row r="8" spans="1:30" ht="21" thickBot="1">
      <c r="A8" s="513"/>
      <c r="B8" s="514"/>
      <c r="C8" s="3434" t="s">
        <v>3275</v>
      </c>
      <c r="D8" s="3435"/>
      <c r="E8" s="3434" t="s">
        <v>3276</v>
      </c>
      <c r="F8" s="3435"/>
      <c r="G8" s="3429" t="s">
        <v>3276</v>
      </c>
      <c r="H8" s="3430"/>
      <c r="I8" s="3429" t="s">
        <v>3277</v>
      </c>
      <c r="J8" s="3430"/>
      <c r="K8" s="512" t="s">
        <v>528</v>
      </c>
      <c r="L8" s="2116"/>
      <c r="M8" s="2115"/>
      <c r="N8" s="2115"/>
      <c r="O8" s="2117"/>
      <c r="P8" s="3421"/>
      <c r="Q8" s="3422"/>
      <c r="R8" s="3425"/>
      <c r="S8" s="3426"/>
      <c r="T8" s="3427"/>
      <c r="U8" s="3428"/>
      <c r="V8" s="3410"/>
      <c r="W8" s="3410"/>
      <c r="X8" s="1551"/>
      <c r="Y8" s="3427"/>
      <c r="Z8" s="3428"/>
      <c r="AA8" s="3414"/>
      <c r="AB8" s="3414"/>
      <c r="AC8" s="3414"/>
    </row>
    <row r="9" spans="1:30" s="1214" customFormat="1" ht="21" thickBot="1">
      <c r="A9" s="2865"/>
      <c r="B9" s="2872" t="s">
        <v>529</v>
      </c>
      <c r="C9" s="2864">
        <f>'数据-取费表'!B2</f>
        <v>43830</v>
      </c>
      <c r="D9" s="518">
        <v>100</v>
      </c>
      <c r="E9" s="519" t="str">
        <f>Sheet1!H7</f>
        <v>2018-12-04</v>
      </c>
      <c r="F9" s="520">
        <f>SUMIF(72:72,YEAR(E9)&amp;"-"&amp;INT((MONTH(E9)+2)/3),73:73)</f>
        <v>99</v>
      </c>
      <c r="G9" s="521" t="str">
        <f>Sheet1!H6</f>
        <v>2018-12-04</v>
      </c>
      <c r="H9" s="518">
        <f>SUMIF(72:72,YEAR(G9)&amp;"-"&amp;INT((MONTH(G9)+2)/3),73:73)</f>
        <v>99</v>
      </c>
      <c r="I9" s="521" t="str">
        <f>Sheet1!H4</f>
        <v>2018-12-11</v>
      </c>
      <c r="J9" s="518">
        <f>SUMIF(72:72,YEAR(I9)&amp;"-"&amp;INT((MONTH(I9)+2)/3),73:73)</f>
        <v>99</v>
      </c>
      <c r="K9" s="522"/>
      <c r="L9" s="2118"/>
      <c r="M9" s="2115"/>
      <c r="N9" s="2115"/>
      <c r="O9" s="2119"/>
      <c r="P9" s="3441" t="s">
        <v>530</v>
      </c>
      <c r="Q9" s="3443"/>
      <c r="R9" s="1552" t="s">
        <v>8</v>
      </c>
      <c r="S9" s="1553">
        <f t="shared" ref="S9:S17" si="0">F9</f>
        <v>99</v>
      </c>
      <c r="T9" s="1552" t="s">
        <v>8</v>
      </c>
      <c r="U9" s="1553">
        <f t="shared" ref="U9:U17" si="1">H9</f>
        <v>99</v>
      </c>
      <c r="V9" s="1552" t="s">
        <v>8</v>
      </c>
      <c r="W9" s="1553">
        <f t="shared" ref="W9:W17" si="2">J9</f>
        <v>99</v>
      </c>
      <c r="X9" s="1554"/>
      <c r="Y9" s="3441" t="s">
        <v>530</v>
      </c>
      <c r="Z9" s="3442"/>
      <c r="AA9" s="1555">
        <f>D9/F9</f>
        <v>1.0101010101010102</v>
      </c>
      <c r="AB9" s="1555">
        <f>D9/H9</f>
        <v>1.0101010101010102</v>
      </c>
      <c r="AC9" s="1555">
        <f>D9/J9</f>
        <v>1.0101010101010102</v>
      </c>
    </row>
    <row r="10" spans="1:30" s="1214" customFormat="1" ht="21" thickBot="1">
      <c r="A10" s="2866"/>
      <c r="B10" s="2873" t="s">
        <v>531</v>
      </c>
      <c r="C10" s="854" t="s">
        <v>532</v>
      </c>
      <c r="D10" s="518">
        <v>100</v>
      </c>
      <c r="E10" s="523" t="s">
        <v>3083</v>
      </c>
      <c r="F10" s="520">
        <f>SUMIF(75:75,E10,76:76)-SUMIF(75:75,C10,76:76)+100</f>
        <v>100</v>
      </c>
      <c r="G10" s="523" t="s">
        <v>3083</v>
      </c>
      <c r="H10" s="518">
        <f>SUMIF(75:75,G10,76:76)-SUMIF(75:75,C10,76:76)+100</f>
        <v>100</v>
      </c>
      <c r="I10" s="523" t="s">
        <v>3083</v>
      </c>
      <c r="J10" s="518">
        <f>SUMIF(75:75,I10,76:76)-SUMIF(75:75,C10,76:76)+100</f>
        <v>100</v>
      </c>
      <c r="K10" s="522"/>
      <c r="L10" s="2118"/>
      <c r="M10" s="2115"/>
      <c r="N10" s="2115"/>
      <c r="O10" s="2119"/>
      <c r="P10" s="3441" t="s">
        <v>533</v>
      </c>
      <c r="Q10" s="3442"/>
      <c r="R10" s="1552" t="s">
        <v>8</v>
      </c>
      <c r="S10" s="1553">
        <f t="shared" si="0"/>
        <v>100</v>
      </c>
      <c r="T10" s="1552" t="s">
        <v>8</v>
      </c>
      <c r="U10" s="1553">
        <f t="shared" si="1"/>
        <v>100</v>
      </c>
      <c r="V10" s="1552" t="s">
        <v>8</v>
      </c>
      <c r="W10" s="1553">
        <f t="shared" si="2"/>
        <v>100</v>
      </c>
      <c r="X10" s="1554"/>
      <c r="Y10" s="3441" t="s">
        <v>533</v>
      </c>
      <c r="Z10" s="3442"/>
      <c r="AA10" s="1555">
        <f t="shared" ref="AA10:AA47" si="3">D10/F10</f>
        <v>1</v>
      </c>
      <c r="AB10" s="1555">
        <f t="shared" ref="AB10:AB47" si="4">D10/H10</f>
        <v>1</v>
      </c>
      <c r="AC10" s="1555">
        <f t="shared" ref="AC10:AC47" si="5">D10/J10</f>
        <v>1</v>
      </c>
    </row>
    <row r="11" spans="1:30" s="1214" customFormat="1" ht="20.25">
      <c r="A11" s="2867"/>
      <c r="B11" s="2874" t="s">
        <v>2754</v>
      </c>
      <c r="C11" s="2861" t="s">
        <v>923</v>
      </c>
      <c r="D11" s="252">
        <v>100</v>
      </c>
      <c r="E11" s="2861" t="s">
        <v>923</v>
      </c>
      <c r="F11" s="252">
        <f>SUMIF(77:77,E11,78:78)-SUMIF(77:77,C11,78:78)+100</f>
        <v>100</v>
      </c>
      <c r="G11" s="2861" t="s">
        <v>923</v>
      </c>
      <c r="H11" s="252">
        <f>SUMIF(77:77,G11,78:78)-SUMIF(77:77,C11,78:78)+100</f>
        <v>100</v>
      </c>
      <c r="I11" s="2861" t="s">
        <v>923</v>
      </c>
      <c r="J11" s="252">
        <f>SUMIF(77:77,I11,78:78)-SUMIF(77:77,C11,78:78)+100</f>
        <v>100</v>
      </c>
      <c r="K11" s="522"/>
      <c r="L11" s="2118"/>
      <c r="M11" s="2115"/>
      <c r="N11" s="2115"/>
      <c r="O11" s="2120"/>
      <c r="P11" s="3409" t="s">
        <v>535</v>
      </c>
      <c r="Q11" s="1145" t="str">
        <f t="shared" ref="Q11:Q17" si="6">B11</f>
        <v>用途</v>
      </c>
      <c r="R11" s="1552" t="s">
        <v>8</v>
      </c>
      <c r="S11" s="1553">
        <f t="shared" si="0"/>
        <v>100</v>
      </c>
      <c r="T11" s="1552" t="s">
        <v>8</v>
      </c>
      <c r="U11" s="1553">
        <f t="shared" si="1"/>
        <v>100</v>
      </c>
      <c r="V11" s="1552" t="s">
        <v>8</v>
      </c>
      <c r="W11" s="1553">
        <f t="shared" si="2"/>
        <v>100</v>
      </c>
      <c r="X11" s="1554"/>
      <c r="Y11" s="3355" t="s">
        <v>536</v>
      </c>
      <c r="Z11" s="1144" t="str">
        <f t="shared" ref="Z11:Z17" si="7">Q11</f>
        <v>用途</v>
      </c>
      <c r="AA11" s="1555">
        <f t="shared" si="3"/>
        <v>1</v>
      </c>
      <c r="AB11" s="1555">
        <f t="shared" si="4"/>
        <v>1</v>
      </c>
      <c r="AC11" s="1555">
        <f t="shared" si="5"/>
        <v>1</v>
      </c>
    </row>
    <row r="12" spans="1:30" s="1332" customFormat="1" ht="27">
      <c r="A12" s="2868"/>
      <c r="B12" s="2873" t="s">
        <v>2755</v>
      </c>
      <c r="C12" s="908">
        <f>项目基本情况!D19</f>
        <v>69.81</v>
      </c>
      <c r="D12" s="253">
        <v>100</v>
      </c>
      <c r="E12" s="527" t="s">
        <v>3085</v>
      </c>
      <c r="F12" s="253">
        <f>ROUND(100/'数据-取费表'!G16,0)</f>
        <v>100</v>
      </c>
      <c r="G12" s="528" t="s">
        <v>3085</v>
      </c>
      <c r="H12" s="253">
        <f>ROUND(100/'数据-取费表'!G16,0)</f>
        <v>100</v>
      </c>
      <c r="I12" s="528" t="s">
        <v>3085</v>
      </c>
      <c r="J12" s="253">
        <f>ROUND(100/'数据-取费表'!G16,0)</f>
        <v>100</v>
      </c>
      <c r="K12" s="529"/>
      <c r="L12" s="2121"/>
      <c r="M12" s="2115"/>
      <c r="N12" s="2115"/>
      <c r="O12" s="2122"/>
      <c r="P12" s="3409"/>
      <c r="Q12" s="1145" t="str">
        <f t="shared" si="6"/>
        <v>土地使用年限（年）</v>
      </c>
      <c r="R12" s="1552" t="s">
        <v>8</v>
      </c>
      <c r="S12" s="1553">
        <f t="shared" si="0"/>
        <v>100</v>
      </c>
      <c r="T12" s="1552" t="s">
        <v>8</v>
      </c>
      <c r="U12" s="1553">
        <f t="shared" si="1"/>
        <v>100</v>
      </c>
      <c r="V12" s="1552" t="s">
        <v>8</v>
      </c>
      <c r="W12" s="1553">
        <f t="shared" si="2"/>
        <v>100</v>
      </c>
      <c r="X12" s="1554"/>
      <c r="Y12" s="3355"/>
      <c r="Z12" s="1144" t="str">
        <f t="shared" si="7"/>
        <v>土地使用年限（年）</v>
      </c>
      <c r="AA12" s="1555">
        <f t="shared" si="3"/>
        <v>1</v>
      </c>
      <c r="AB12" s="1555">
        <f t="shared" si="4"/>
        <v>1</v>
      </c>
      <c r="AC12" s="1555">
        <f t="shared" si="5"/>
        <v>1</v>
      </c>
    </row>
    <row r="13" spans="1:30" ht="20.25">
      <c r="A13" s="2869"/>
      <c r="B13" s="2873" t="s">
        <v>2756</v>
      </c>
      <c r="C13" s="532">
        <f>'数据-汇总表'!I4</f>
        <v>2</v>
      </c>
      <c r="D13" s="253">
        <v>100</v>
      </c>
      <c r="E13" s="531">
        <f>Sheet1!F7</f>
        <v>1.49</v>
      </c>
      <c r="F13" s="253">
        <f>LOOKUP(E13,82:82,83:83)-LOOKUP(C13,82:82,83:83)+100</f>
        <v>102</v>
      </c>
      <c r="G13" s="532">
        <f>Sheet1!F6</f>
        <v>1.48</v>
      </c>
      <c r="H13" s="253">
        <f>LOOKUP(G13,82:82,83:83)-LOOKUP(C13,82:82,83:83)+100</f>
        <v>102</v>
      </c>
      <c r="I13" s="531">
        <f>Sheet1!F4</f>
        <v>1.8</v>
      </c>
      <c r="J13" s="253">
        <f>LOOKUP(I13,82:82,83:83)-LOOKUP(C13,82:82,83:83)+100</f>
        <v>102</v>
      </c>
      <c r="K13" s="533">
        <v>2</v>
      </c>
      <c r="L13" s="2123"/>
      <c r="M13" s="2115"/>
      <c r="N13" s="2115"/>
      <c r="O13" s="2124"/>
      <c r="P13" s="3409"/>
      <c r="Q13" s="1145" t="str">
        <f t="shared" si="6"/>
        <v>容积率</v>
      </c>
      <c r="R13" s="1552" t="s">
        <v>8</v>
      </c>
      <c r="S13" s="1553">
        <f t="shared" si="0"/>
        <v>102</v>
      </c>
      <c r="T13" s="1552" t="s">
        <v>8</v>
      </c>
      <c r="U13" s="1553">
        <f t="shared" si="1"/>
        <v>102</v>
      </c>
      <c r="V13" s="1552" t="s">
        <v>8</v>
      </c>
      <c r="W13" s="1553">
        <f t="shared" si="2"/>
        <v>102</v>
      </c>
      <c r="X13" s="1554"/>
      <c r="Y13" s="3355"/>
      <c r="Z13" s="1144" t="str">
        <f t="shared" si="7"/>
        <v>容积率</v>
      </c>
      <c r="AA13" s="1555">
        <f t="shared" si="3"/>
        <v>0.98039215686274506</v>
      </c>
      <c r="AB13" s="1555">
        <f t="shared" si="4"/>
        <v>0.98039215686274506</v>
      </c>
      <c r="AC13" s="1555">
        <f t="shared" si="5"/>
        <v>0.98039215686274506</v>
      </c>
    </row>
    <row r="14" spans="1:30" s="1214" customFormat="1" ht="20.25">
      <c r="A14" s="2866"/>
      <c r="B14" s="2875" t="s">
        <v>2757</v>
      </c>
      <c r="C14" s="2862"/>
      <c r="D14" s="536">
        <v>100</v>
      </c>
      <c r="E14" s="1369"/>
      <c r="F14" s="253">
        <f>SUMIF(84:84,E14,85:85)-SUMIF(84:84,C14,85:85)+100</f>
        <v>100</v>
      </c>
      <c r="G14" s="528"/>
      <c r="H14" s="253">
        <f>SUMIF(84:84,G14,85:85)-SUMIF(84:84,C14,85:85)+100</f>
        <v>100</v>
      </c>
      <c r="I14" s="527"/>
      <c r="J14" s="253">
        <f>SUMIF(84:84,I14,85:85)-SUMIF(84:84,C14,85:85)+100</f>
        <v>100</v>
      </c>
      <c r="K14" s="529"/>
      <c r="L14" s="2118"/>
      <c r="M14" s="2115"/>
      <c r="N14" s="2115"/>
      <c r="O14" s="2120"/>
      <c r="P14" s="3409"/>
      <c r="Q14" s="1145" t="str">
        <f t="shared" si="6"/>
        <v>配建</v>
      </c>
      <c r="R14" s="1552" t="s">
        <v>8</v>
      </c>
      <c r="S14" s="1553">
        <f t="shared" si="0"/>
        <v>100</v>
      </c>
      <c r="T14" s="1552" t="s">
        <v>8</v>
      </c>
      <c r="U14" s="1553">
        <f t="shared" si="1"/>
        <v>100</v>
      </c>
      <c r="V14" s="1552" t="s">
        <v>8</v>
      </c>
      <c r="W14" s="1553">
        <f t="shared" si="2"/>
        <v>100</v>
      </c>
      <c r="X14" s="1554"/>
      <c r="Y14" s="3355"/>
      <c r="Z14" s="1144" t="str">
        <f t="shared" si="7"/>
        <v>配建</v>
      </c>
      <c r="AA14" s="1555">
        <f>D14/F14</f>
        <v>1</v>
      </c>
      <c r="AB14" s="1555">
        <f>D14/H14</f>
        <v>1</v>
      </c>
      <c r="AC14" s="1555">
        <f>D14/J14</f>
        <v>1</v>
      </c>
    </row>
    <row r="15" spans="1:30" ht="20.25">
      <c r="A15" s="2870"/>
      <c r="B15" s="3178" t="s">
        <v>3088</v>
      </c>
      <c r="C15" s="910"/>
      <c r="D15" s="538">
        <v>100</v>
      </c>
      <c r="E15" s="539"/>
      <c r="F15" s="253">
        <f>SUMIF(86:86,E15,87:87)-SUMIF(86:86,C15,87:87)+100</f>
        <v>100</v>
      </c>
      <c r="G15" s="539"/>
      <c r="H15" s="538">
        <f>SUMIF(86:86,G15,87:87)-SUMIF(86:86,C15,87:87)+100</f>
        <v>100</v>
      </c>
      <c r="I15" s="539"/>
      <c r="J15" s="538">
        <f>SUMIF(86:86,I15,87:87)-SUMIF(86:86,C15,87:87)+100</f>
        <v>100</v>
      </c>
      <c r="K15" s="529"/>
      <c r="L15" s="2125"/>
      <c r="M15" s="2115"/>
      <c r="N15" s="2115"/>
      <c r="O15" s="2124"/>
      <c r="P15" s="3409"/>
      <c r="Q15" s="1145" t="str">
        <f t="shared" si="6"/>
        <v>限价</v>
      </c>
      <c r="R15" s="1552" t="s">
        <v>8</v>
      </c>
      <c r="S15" s="1553">
        <f t="shared" si="0"/>
        <v>100</v>
      </c>
      <c r="T15" s="1552" t="s">
        <v>8</v>
      </c>
      <c r="U15" s="1553">
        <f t="shared" si="1"/>
        <v>100</v>
      </c>
      <c r="V15" s="1552" t="s">
        <v>8</v>
      </c>
      <c r="W15" s="1553">
        <f t="shared" si="2"/>
        <v>100</v>
      </c>
      <c r="X15" s="1554"/>
      <c r="Y15" s="3355"/>
      <c r="Z15" s="1144" t="str">
        <f t="shared" si="7"/>
        <v>限价</v>
      </c>
      <c r="AA15" s="1555">
        <f>D15/F15</f>
        <v>1</v>
      </c>
      <c r="AB15" s="1555">
        <f>D15/H15</f>
        <v>1</v>
      </c>
      <c r="AC15" s="1555">
        <f>D15/J15</f>
        <v>1</v>
      </c>
    </row>
    <row r="16" spans="1:30" ht="21" thickBot="1">
      <c r="A16" s="2871"/>
      <c r="B16" s="2877"/>
      <c r="C16" s="913"/>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409"/>
      <c r="Q16" s="1145">
        <f t="shared" si="6"/>
        <v>0</v>
      </c>
      <c r="R16" s="1552" t="s">
        <v>8</v>
      </c>
      <c r="S16" s="1553">
        <f t="shared" si="0"/>
        <v>100</v>
      </c>
      <c r="T16" s="1552" t="s">
        <v>8</v>
      </c>
      <c r="U16" s="1553">
        <f t="shared" si="1"/>
        <v>100</v>
      </c>
      <c r="V16" s="1552" t="s">
        <v>8</v>
      </c>
      <c r="W16" s="1553">
        <f t="shared" si="2"/>
        <v>100</v>
      </c>
      <c r="X16" s="1554"/>
      <c r="Y16" s="3355"/>
      <c r="Z16" s="1144">
        <f t="shared" si="7"/>
        <v>0</v>
      </c>
      <c r="AA16" s="1555">
        <f>D16/F16</f>
        <v>1</v>
      </c>
      <c r="AB16" s="1555">
        <f>D16/H16</f>
        <v>1</v>
      </c>
      <c r="AC16" s="1555">
        <f>D16/J16</f>
        <v>1</v>
      </c>
    </row>
    <row r="17" spans="1:29" ht="114">
      <c r="A17" s="3186" t="s">
        <v>2752</v>
      </c>
      <c r="B17" s="576" t="s">
        <v>295</v>
      </c>
      <c r="C17" s="546" t="str">
        <f>估价对象房地状况!C15</f>
        <v>估价对象位于北京市顺义区北小营镇顺义新城，周边有水色时光花园、永利小区等住宅社区，居住社区成熟度一般</v>
      </c>
      <c r="D17" s="549">
        <v>100</v>
      </c>
      <c r="E17" s="3233" t="s">
        <v>3261</v>
      </c>
      <c r="F17" s="547">
        <f>SUMIF(90:90,E18,91:91)-SUMIF(90:90,C18,91:91)+100</f>
        <v>105</v>
      </c>
      <c r="G17" s="3236" t="s">
        <v>3266</v>
      </c>
      <c r="H17" s="547">
        <f>SUMIF(90:90,G18,91:91)-SUMIF(90:90,C18,91:91)+100</f>
        <v>105</v>
      </c>
      <c r="I17" s="550" t="s">
        <v>3274</v>
      </c>
      <c r="J17" s="547">
        <f>SUMIF(90:90,I18,91:91)-SUMIF(90:90,C18,91:91)+100</f>
        <v>105</v>
      </c>
      <c r="K17" s="533">
        <v>5</v>
      </c>
      <c r="L17" s="2125"/>
      <c r="M17" s="2115"/>
      <c r="N17" s="2115"/>
      <c r="O17" s="2124"/>
      <c r="P17" s="3444" t="s">
        <v>540</v>
      </c>
      <c r="Q17" s="1556" t="str">
        <f t="shared" si="6"/>
        <v>居住社区成熟度</v>
      </c>
      <c r="R17" s="1557" t="s">
        <v>8</v>
      </c>
      <c r="S17" s="1558">
        <f t="shared" si="0"/>
        <v>105</v>
      </c>
      <c r="T17" s="1557" t="s">
        <v>8</v>
      </c>
      <c r="U17" s="1558">
        <f t="shared" si="1"/>
        <v>105</v>
      </c>
      <c r="V17" s="1557" t="s">
        <v>8</v>
      </c>
      <c r="W17" s="1558">
        <f t="shared" si="2"/>
        <v>105</v>
      </c>
      <c r="X17" s="1551"/>
      <c r="Y17" s="3444" t="s">
        <v>540</v>
      </c>
      <c r="Z17" s="1559" t="str">
        <f t="shared" si="7"/>
        <v>居住社区成熟度</v>
      </c>
      <c r="AA17" s="1560">
        <f t="shared" si="3"/>
        <v>0.95238095238095233</v>
      </c>
      <c r="AB17" s="1560">
        <f t="shared" si="4"/>
        <v>0.95238095238095233</v>
      </c>
      <c r="AC17" s="1560">
        <f t="shared" si="5"/>
        <v>0.95238095238095233</v>
      </c>
    </row>
    <row r="18" spans="1:29" ht="20.25">
      <c r="A18" s="530"/>
      <c r="B18" s="551"/>
      <c r="C18" s="552" t="s">
        <v>3086</v>
      </c>
      <c r="D18" s="555"/>
      <c r="E18" s="556" t="s">
        <v>3087</v>
      </c>
      <c r="F18" s="553"/>
      <c r="G18" s="554" t="s">
        <v>3087</v>
      </c>
      <c r="H18" s="557"/>
      <c r="I18" s="556" t="s">
        <v>3087</v>
      </c>
      <c r="J18" s="553"/>
      <c r="K18" s="529"/>
      <c r="L18" s="2125"/>
      <c r="M18" s="2115"/>
      <c r="N18" s="2115"/>
      <c r="O18" s="2124"/>
      <c r="P18" s="3445"/>
      <c r="Q18" s="1556"/>
      <c r="R18" s="1557"/>
      <c r="S18" s="1558"/>
      <c r="T18" s="1557"/>
      <c r="U18" s="1558"/>
      <c r="V18" s="1557"/>
      <c r="W18" s="1558"/>
      <c r="X18" s="1551"/>
      <c r="Y18" s="3445"/>
      <c r="Z18" s="1559"/>
      <c r="AA18" s="1560">
        <v>1</v>
      </c>
      <c r="AB18" s="1560">
        <v>1</v>
      </c>
      <c r="AC18" s="1560">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5"/>
      <c r="M19" s="2115"/>
      <c r="N19" s="2115"/>
      <c r="O19" s="2124"/>
      <c r="P19" s="3445"/>
      <c r="Q19" s="1556" t="str">
        <f>B19</f>
        <v>商业繁华度</v>
      </c>
      <c r="R19" s="1557" t="s">
        <v>8</v>
      </c>
      <c r="S19" s="1558">
        <f>F19</f>
        <v>100</v>
      </c>
      <c r="T19" s="1557" t="s">
        <v>8</v>
      </c>
      <c r="U19" s="1558">
        <f>H19</f>
        <v>100</v>
      </c>
      <c r="V19" s="1557" t="s">
        <v>8</v>
      </c>
      <c r="W19" s="1558">
        <f>J19</f>
        <v>100</v>
      </c>
      <c r="X19" s="1551"/>
      <c r="Y19" s="3445"/>
      <c r="Z19" s="1559" t="str">
        <f>Q19</f>
        <v>商业繁华度</v>
      </c>
      <c r="AA19" s="1560">
        <f t="shared" si="3"/>
        <v>1</v>
      </c>
      <c r="AB19" s="1560">
        <f t="shared" si="4"/>
        <v>1</v>
      </c>
      <c r="AC19" s="1560">
        <f t="shared" si="5"/>
        <v>1</v>
      </c>
    </row>
    <row r="20" spans="1:29" ht="20.25" hidden="1">
      <c r="A20" s="530"/>
      <c r="B20" s="564"/>
      <c r="C20" s="565"/>
      <c r="D20" s="561"/>
      <c r="E20" s="567"/>
      <c r="F20" s="557"/>
      <c r="G20" s="566"/>
      <c r="H20" s="553"/>
      <c r="I20" s="567"/>
      <c r="J20" s="553"/>
      <c r="K20" s="529"/>
      <c r="L20" s="2125"/>
      <c r="M20" s="2115"/>
      <c r="N20" s="2115"/>
      <c r="O20" s="2124"/>
      <c r="P20" s="3445"/>
      <c r="Q20" s="1556"/>
      <c r="R20" s="1557"/>
      <c r="S20" s="1558"/>
      <c r="T20" s="1557"/>
      <c r="U20" s="1558"/>
      <c r="V20" s="1557"/>
      <c r="W20" s="1558"/>
      <c r="X20" s="1551"/>
      <c r="Y20" s="3445"/>
      <c r="Z20" s="1559"/>
      <c r="AA20" s="1560">
        <v>1</v>
      </c>
      <c r="AB20" s="1560">
        <v>1</v>
      </c>
      <c r="AC20" s="1560">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5"/>
      <c r="M21" s="2115"/>
      <c r="N21" s="2115"/>
      <c r="O21" s="2124"/>
      <c r="P21" s="3445"/>
      <c r="Q21" s="1556" t="str">
        <f>B21</f>
        <v>办公集聚程度</v>
      </c>
      <c r="R21" s="1557" t="s">
        <v>8</v>
      </c>
      <c r="S21" s="1558">
        <f>F21</f>
        <v>100</v>
      </c>
      <c r="T21" s="1557" t="s">
        <v>8</v>
      </c>
      <c r="U21" s="1558">
        <f>H21</f>
        <v>100</v>
      </c>
      <c r="V21" s="1557" t="s">
        <v>8</v>
      </c>
      <c r="W21" s="1558">
        <f>J21</f>
        <v>100</v>
      </c>
      <c r="X21" s="1551"/>
      <c r="Y21" s="3445"/>
      <c r="Z21" s="1559" t="str">
        <f>Q21</f>
        <v>办公集聚程度</v>
      </c>
      <c r="AA21" s="1560">
        <f t="shared" si="3"/>
        <v>1</v>
      </c>
      <c r="AB21" s="1560">
        <f t="shared" si="4"/>
        <v>1</v>
      </c>
      <c r="AC21" s="1560">
        <f t="shared" si="5"/>
        <v>1</v>
      </c>
    </row>
    <row r="22" spans="1:29" ht="20.25" hidden="1">
      <c r="A22" s="530"/>
      <c r="B22" s="564"/>
      <c r="C22" s="552"/>
      <c r="D22" s="555"/>
      <c r="E22" s="556"/>
      <c r="F22" s="553"/>
      <c r="G22" s="554"/>
      <c r="H22" s="553"/>
      <c r="I22" s="556"/>
      <c r="J22" s="553"/>
      <c r="K22" s="529"/>
      <c r="L22" s="2125"/>
      <c r="M22" s="2115"/>
      <c r="N22" s="2115"/>
      <c r="O22" s="2124"/>
      <c r="P22" s="3445"/>
      <c r="Q22" s="1556"/>
      <c r="R22" s="1557"/>
      <c r="S22" s="1558"/>
      <c r="T22" s="1557"/>
      <c r="U22" s="1558"/>
      <c r="V22" s="1557"/>
      <c r="W22" s="1558"/>
      <c r="X22" s="1551"/>
      <c r="Y22" s="3445"/>
      <c r="Z22" s="1559"/>
      <c r="AA22" s="1560">
        <v>1</v>
      </c>
      <c r="AB22" s="1560">
        <v>1</v>
      </c>
      <c r="AC22" s="1560">
        <v>1</v>
      </c>
    </row>
    <row r="23" spans="1:29" ht="185.25">
      <c r="A23" s="530"/>
      <c r="B23" s="558" t="s">
        <v>543</v>
      </c>
      <c r="C23" s="571" t="str">
        <f>估价对象房地状况!C18</f>
        <v>估价对象紧邻城市主干道——昌金路，临近城市主干道——顺密路。估价对象周边有顺16路、顺27路、顺32路、顺37路等多条公交线路通过，距离地铁15号线（俸伯站）约9公里，综合评价交通便捷度一般</v>
      </c>
      <c r="D23" s="561">
        <v>100</v>
      </c>
      <c r="E23" s="562" t="s">
        <v>3263</v>
      </c>
      <c r="F23" s="563">
        <f>SUMIF(96:96,E24,97:97)-SUMIF(96:96,C24,97:97)+100</f>
        <v>102</v>
      </c>
      <c r="G23" s="560" t="s">
        <v>3267</v>
      </c>
      <c r="H23" s="557">
        <f>SUMIF(96:96,G24,97:97)-SUMIF(96:96,C24,97:97)+100</f>
        <v>102</v>
      </c>
      <c r="I23" s="562" t="s">
        <v>3273</v>
      </c>
      <c r="J23" s="557">
        <f>SUMIF(96:96,I24,97:97)-SUMIF(96:96,C24,97:97)+100</f>
        <v>102</v>
      </c>
      <c r="K23" s="533">
        <v>2</v>
      </c>
      <c r="L23" s="2125"/>
      <c r="M23" s="2115"/>
      <c r="N23" s="2115"/>
      <c r="O23" s="2124"/>
      <c r="P23" s="3445"/>
      <c r="Q23" s="1556" t="str">
        <f>B23</f>
        <v>交通便捷度</v>
      </c>
      <c r="R23" s="1557" t="s">
        <v>8</v>
      </c>
      <c r="S23" s="1558">
        <f>F23</f>
        <v>102</v>
      </c>
      <c r="T23" s="1557" t="s">
        <v>8</v>
      </c>
      <c r="U23" s="1558">
        <f>H23</f>
        <v>102</v>
      </c>
      <c r="V23" s="1557" t="s">
        <v>8</v>
      </c>
      <c r="W23" s="1558">
        <f>J23</f>
        <v>102</v>
      </c>
      <c r="X23" s="1551"/>
      <c r="Y23" s="3445"/>
      <c r="Z23" s="1559" t="str">
        <f>Q23</f>
        <v>交通便捷度</v>
      </c>
      <c r="AA23" s="1560">
        <f t="shared" si="3"/>
        <v>0.98039215686274506</v>
      </c>
      <c r="AB23" s="1560">
        <f t="shared" si="4"/>
        <v>0.98039215686274506</v>
      </c>
      <c r="AC23" s="1560">
        <f t="shared" si="5"/>
        <v>0.98039215686274506</v>
      </c>
    </row>
    <row r="24" spans="1:29" ht="20.25">
      <c r="A24" s="530"/>
      <c r="B24" s="576"/>
      <c r="C24" s="552" t="s">
        <v>3086</v>
      </c>
      <c r="D24" s="555"/>
      <c r="E24" s="556" t="s">
        <v>3087</v>
      </c>
      <c r="F24" s="553"/>
      <c r="G24" s="554" t="s">
        <v>3087</v>
      </c>
      <c r="H24" s="553"/>
      <c r="I24" s="556" t="s">
        <v>3087</v>
      </c>
      <c r="J24" s="553"/>
      <c r="K24" s="529"/>
      <c r="L24" s="2125"/>
      <c r="M24" s="2115"/>
      <c r="N24" s="2115"/>
      <c r="O24" s="2124"/>
      <c r="P24" s="3445"/>
      <c r="Q24" s="1556"/>
      <c r="R24" s="1557"/>
      <c r="S24" s="1558"/>
      <c r="T24" s="1557"/>
      <c r="U24" s="1558"/>
      <c r="V24" s="1557"/>
      <c r="W24" s="1558"/>
      <c r="X24" s="1551"/>
      <c r="Y24" s="3445"/>
      <c r="Z24" s="1559"/>
      <c r="AA24" s="1560">
        <v>1</v>
      </c>
      <c r="AB24" s="1560">
        <v>1</v>
      </c>
      <c r="AC24" s="1560">
        <v>1</v>
      </c>
    </row>
    <row r="25" spans="1:29" ht="27">
      <c r="A25" s="513"/>
      <c r="B25" s="257" t="s">
        <v>544</v>
      </c>
      <c r="C25" s="571">
        <f>估价对象房地状况!C19</f>
        <v>0</v>
      </c>
      <c r="D25" s="561">
        <v>100</v>
      </c>
      <c r="E25" s="3234" t="s">
        <v>3260</v>
      </c>
      <c r="F25" s="563">
        <f>SUMIF(98:98,E26,99:99)-SUMIF(98:98,C26,99:99)+100</f>
        <v>102</v>
      </c>
      <c r="G25" s="3235" t="s">
        <v>3260</v>
      </c>
      <c r="H25" s="557">
        <f>SUMIF(98:98,G26,99:99)-SUMIF(98:98,C26,99:99)+100</f>
        <v>102</v>
      </c>
      <c r="I25" s="3234" t="s">
        <v>3260</v>
      </c>
      <c r="J25" s="557">
        <f>SUMIF(98:98,I26,99:99)-SUMIF(98:98,C26,99:99)+100</f>
        <v>102</v>
      </c>
      <c r="K25" s="533">
        <v>2</v>
      </c>
      <c r="L25" s="2125"/>
      <c r="M25" s="2115"/>
      <c r="N25" s="2115"/>
      <c r="O25" s="2124"/>
      <c r="P25" s="3445"/>
      <c r="Q25" s="1556" t="str">
        <f t="shared" ref="Q25:Q39" si="8">B25</f>
        <v>区域土地利用方向</v>
      </c>
      <c r="R25" s="1557" t="s">
        <v>8</v>
      </c>
      <c r="S25" s="1558">
        <f>F25</f>
        <v>102</v>
      </c>
      <c r="T25" s="1557" t="s">
        <v>8</v>
      </c>
      <c r="U25" s="1558">
        <f>H25</f>
        <v>102</v>
      </c>
      <c r="V25" s="1557" t="s">
        <v>8</v>
      </c>
      <c r="W25" s="1558">
        <f>J25</f>
        <v>102</v>
      </c>
      <c r="X25" s="1551"/>
      <c r="Y25" s="3445"/>
      <c r="Z25" s="1559" t="str">
        <f>Q25</f>
        <v>区域土地利用方向</v>
      </c>
      <c r="AA25" s="1560">
        <f t="shared" si="3"/>
        <v>0.98039215686274506</v>
      </c>
      <c r="AB25" s="1560">
        <f t="shared" si="4"/>
        <v>0.98039215686274506</v>
      </c>
      <c r="AC25" s="1560">
        <f t="shared" si="5"/>
        <v>0.98039215686274506</v>
      </c>
    </row>
    <row r="26" spans="1:29" ht="20.25">
      <c r="A26" s="513"/>
      <c r="B26" s="1005"/>
      <c r="C26" s="552" t="s">
        <v>3086</v>
      </c>
      <c r="D26" s="555"/>
      <c r="E26" s="552" t="s">
        <v>3087</v>
      </c>
      <c r="F26" s="553"/>
      <c r="G26" s="552" t="s">
        <v>3087</v>
      </c>
      <c r="H26" s="553"/>
      <c r="I26" s="552" t="s">
        <v>3087</v>
      </c>
      <c r="J26" s="553"/>
      <c r="K26" s="529"/>
      <c r="L26" s="2125"/>
      <c r="M26" s="2115"/>
      <c r="N26" s="2115"/>
      <c r="O26" s="2124"/>
      <c r="P26" s="3445"/>
      <c r="Q26" s="1556"/>
      <c r="R26" s="1557"/>
      <c r="S26" s="1558"/>
      <c r="T26" s="1557"/>
      <c r="U26" s="1558"/>
      <c r="V26" s="1557"/>
      <c r="W26" s="1558"/>
      <c r="X26" s="1551"/>
      <c r="Y26" s="3445"/>
      <c r="Z26" s="1559"/>
      <c r="AA26" s="1560"/>
      <c r="AB26" s="1560"/>
      <c r="AC26" s="1560"/>
    </row>
    <row r="27" spans="1:29" ht="142.5">
      <c r="A27" s="513"/>
      <c r="B27" s="576" t="s">
        <v>545</v>
      </c>
      <c r="C27" s="559" t="str">
        <f>估价对象房地状况!C20</f>
        <v>估价对象周边有箭杆河、民悦广场、凤阳广场、顺义奥林匹克水上公园等自然景观；有北小营镇政府等人文设施，综合考虑自然环境与人文环境一般</v>
      </c>
      <c r="D27" s="561">
        <v>100</v>
      </c>
      <c r="E27" s="562" t="s">
        <v>3265</v>
      </c>
      <c r="F27" s="557">
        <f>SUMIF(100:100,E28,101:101)-SUMIF(100:100,C28,101:101)+100</f>
        <v>102</v>
      </c>
      <c r="G27" s="3235" t="s">
        <v>3268</v>
      </c>
      <c r="H27" s="557">
        <f>SUMIF(100:100,G28,101:101)-SUMIF(100:100,C28,101:101)+100</f>
        <v>102</v>
      </c>
      <c r="I27" s="3234" t="s">
        <v>3272</v>
      </c>
      <c r="J27" s="557">
        <f>SUMIF(100:100,I28,101:101)-SUMIF(100:100,C28,101:101)+100</f>
        <v>102</v>
      </c>
      <c r="K27" s="533">
        <v>2</v>
      </c>
      <c r="L27" s="2125"/>
      <c r="M27" s="2115"/>
      <c r="N27" s="2115"/>
      <c r="O27" s="2124"/>
      <c r="P27" s="3445"/>
      <c r="Q27" s="1556" t="str">
        <f t="shared" si="8"/>
        <v>自然及人文环境状况</v>
      </c>
      <c r="R27" s="1557" t="s">
        <v>8</v>
      </c>
      <c r="S27" s="1558">
        <f>F27</f>
        <v>102</v>
      </c>
      <c r="T27" s="1557" t="s">
        <v>8</v>
      </c>
      <c r="U27" s="1558">
        <f>H27</f>
        <v>102</v>
      </c>
      <c r="V27" s="1557" t="s">
        <v>8</v>
      </c>
      <c r="W27" s="1558">
        <f>J27</f>
        <v>102</v>
      </c>
      <c r="X27" s="1551"/>
      <c r="Y27" s="3445"/>
      <c r="Z27" s="1559" t="str">
        <f>Q27</f>
        <v>自然及人文环境状况</v>
      </c>
      <c r="AA27" s="1560">
        <f t="shared" si="3"/>
        <v>0.98039215686274506</v>
      </c>
      <c r="AB27" s="1560">
        <f t="shared" si="4"/>
        <v>0.98039215686274506</v>
      </c>
      <c r="AC27" s="1560">
        <f t="shared" si="5"/>
        <v>0.98039215686274506</v>
      </c>
    </row>
    <row r="28" spans="1:29" ht="20.25">
      <c r="A28" s="513"/>
      <c r="B28" s="564"/>
      <c r="C28" s="552" t="s">
        <v>3086</v>
      </c>
      <c r="D28" s="555"/>
      <c r="E28" s="574" t="s">
        <v>3087</v>
      </c>
      <c r="F28" s="553"/>
      <c r="G28" s="552" t="s">
        <v>3087</v>
      </c>
      <c r="H28" s="553"/>
      <c r="I28" s="574" t="s">
        <v>3087</v>
      </c>
      <c r="J28" s="553"/>
      <c r="K28" s="529"/>
      <c r="L28" s="2125"/>
      <c r="M28" s="2115"/>
      <c r="N28" s="2115"/>
      <c r="O28" s="2124"/>
      <c r="P28" s="3445"/>
      <c r="Q28" s="1556"/>
      <c r="R28" s="1557"/>
      <c r="S28" s="1558"/>
      <c r="T28" s="1557"/>
      <c r="U28" s="1558"/>
      <c r="V28" s="1557"/>
      <c r="W28" s="1558"/>
      <c r="X28" s="1551"/>
      <c r="Y28" s="3445"/>
      <c r="Z28" s="1559"/>
      <c r="AA28" s="1560">
        <v>1</v>
      </c>
      <c r="AB28" s="1560">
        <v>1</v>
      </c>
      <c r="AC28" s="1560">
        <v>1</v>
      </c>
    </row>
    <row r="29" spans="1:29" s="1214" customFormat="1" ht="171">
      <c r="A29" s="575"/>
      <c r="B29" s="2553" t="s">
        <v>2547</v>
      </c>
      <c r="C29" s="571" t="str">
        <f>估价对象房地状况!C21</f>
        <v>估价对象所在区域有银行（北京顺义银座村镇银行(北小营支行)等），学校（北京顺义第十三中学等），无大型购物场所、医院、餐饮等公共配套设施，综合确定公共配套设施齐备度一般</v>
      </c>
      <c r="D29" s="561">
        <v>100</v>
      </c>
      <c r="E29" s="562" t="s">
        <v>3270</v>
      </c>
      <c r="F29" s="557">
        <f>SUMIF(102:102,E30,103:103)-SUMIF(102:102,C30,103:103)+100</f>
        <v>105</v>
      </c>
      <c r="G29" s="560" t="s">
        <v>3269</v>
      </c>
      <c r="H29" s="557">
        <f>SUMIF(102:102,G30,103:103)-SUMIF(102:102,C30,103:103)+100</f>
        <v>105</v>
      </c>
      <c r="I29" s="562" t="s">
        <v>3271</v>
      </c>
      <c r="J29" s="557">
        <f>SUMIF(102:102,I30,103:103)-SUMIF(102:102,C30,103:103)+100</f>
        <v>105</v>
      </c>
      <c r="K29" s="533">
        <v>5</v>
      </c>
      <c r="L29" s="2118"/>
      <c r="M29" s="2115"/>
      <c r="N29" s="2115"/>
      <c r="O29" s="2120"/>
      <c r="P29" s="3445"/>
      <c r="Q29" s="1145" t="str">
        <f t="shared" si="8"/>
        <v>公共配套设施</v>
      </c>
      <c r="R29" s="1552" t="s">
        <v>8</v>
      </c>
      <c r="S29" s="1553">
        <f>F29</f>
        <v>105</v>
      </c>
      <c r="T29" s="1552" t="s">
        <v>8</v>
      </c>
      <c r="U29" s="1553">
        <f>H29</f>
        <v>105</v>
      </c>
      <c r="V29" s="1552" t="s">
        <v>8</v>
      </c>
      <c r="W29" s="1553">
        <f>J29</f>
        <v>105</v>
      </c>
      <c r="X29" s="1554"/>
      <c r="Y29" s="3445"/>
      <c r="Z29" s="1144" t="str">
        <f>Q29</f>
        <v>公共配套设施</v>
      </c>
      <c r="AA29" s="1560">
        <f>D29/F29</f>
        <v>0.95238095238095233</v>
      </c>
      <c r="AB29" s="1560">
        <f>D29/H29</f>
        <v>0.95238095238095233</v>
      </c>
      <c r="AC29" s="1560">
        <f>D29/J29</f>
        <v>0.95238095238095233</v>
      </c>
    </row>
    <row r="30" spans="1:29" s="1214" customFormat="1" ht="20.25">
      <c r="A30" s="575"/>
      <c r="B30" s="564"/>
      <c r="C30" s="577" t="s">
        <v>3086</v>
      </c>
      <c r="D30" s="555"/>
      <c r="E30" s="574" t="s">
        <v>3087</v>
      </c>
      <c r="F30" s="553"/>
      <c r="G30" s="552" t="s">
        <v>3087</v>
      </c>
      <c r="H30" s="553"/>
      <c r="I30" s="574" t="s">
        <v>3087</v>
      </c>
      <c r="J30" s="553"/>
      <c r="K30" s="529"/>
      <c r="L30" s="2118"/>
      <c r="M30" s="2115"/>
      <c r="N30" s="2115"/>
      <c r="O30" s="2120"/>
      <c r="P30" s="3445"/>
      <c r="Q30" s="1145"/>
      <c r="R30" s="1552"/>
      <c r="S30" s="1553"/>
      <c r="T30" s="1552"/>
      <c r="U30" s="1553"/>
      <c r="V30" s="1552"/>
      <c r="W30" s="1553"/>
      <c r="X30" s="1554"/>
      <c r="Y30" s="3445"/>
      <c r="Z30" s="1144"/>
      <c r="AA30" s="1560">
        <v>1</v>
      </c>
      <c r="AB30" s="1560">
        <v>1</v>
      </c>
      <c r="AC30" s="1560">
        <v>1</v>
      </c>
    </row>
    <row r="31" spans="1:29" s="1214" customFormat="1" ht="42.75">
      <c r="A31" s="575"/>
      <c r="B31" s="2553" t="s">
        <v>2548</v>
      </c>
      <c r="C31" s="571" t="str">
        <f>估价对象房地状况!C22</f>
        <v>估价对象所在区域基础设施水平为六通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8"/>
      <c r="M31" s="2115"/>
      <c r="N31" s="2115"/>
      <c r="O31" s="2120"/>
      <c r="P31" s="3445"/>
      <c r="Q31" s="2540" t="str">
        <f t="shared" ref="Q31" si="9">B31</f>
        <v>基础设施水平</v>
      </c>
      <c r="R31" s="1552" t="s">
        <v>8</v>
      </c>
      <c r="S31" s="1553">
        <f>F31</f>
        <v>100</v>
      </c>
      <c r="T31" s="1552" t="s">
        <v>8</v>
      </c>
      <c r="U31" s="1553">
        <f>H31</f>
        <v>100</v>
      </c>
      <c r="V31" s="1552" t="s">
        <v>8</v>
      </c>
      <c r="W31" s="1553">
        <f>J31</f>
        <v>100</v>
      </c>
      <c r="X31" s="1554"/>
      <c r="Y31" s="3445"/>
      <c r="Z31" s="2537" t="str">
        <f>Q31</f>
        <v>基础设施水平</v>
      </c>
      <c r="AA31" s="1560">
        <f>D31/F31</f>
        <v>1</v>
      </c>
      <c r="AB31" s="1560">
        <f>D31/H31</f>
        <v>1</v>
      </c>
      <c r="AC31" s="1560">
        <f>D31/J31</f>
        <v>1</v>
      </c>
    </row>
    <row r="32" spans="1:29" s="1214" customFormat="1" ht="20.25">
      <c r="A32" s="575"/>
      <c r="B32" s="564"/>
      <c r="C32" s="577" t="s">
        <v>3091</v>
      </c>
      <c r="D32" s="555"/>
      <c r="E32" s="2554" t="s">
        <v>3091</v>
      </c>
      <c r="F32" s="553"/>
      <c r="G32" s="577" t="s">
        <v>3091</v>
      </c>
      <c r="H32" s="553"/>
      <c r="I32" s="577" t="s">
        <v>3091</v>
      </c>
      <c r="J32" s="553"/>
      <c r="K32" s="529"/>
      <c r="L32" s="2118"/>
      <c r="M32" s="2115"/>
      <c r="N32" s="2115"/>
      <c r="O32" s="2120"/>
      <c r="P32" s="3445"/>
      <c r="Q32" s="2540"/>
      <c r="R32" s="1552"/>
      <c r="S32" s="1553"/>
      <c r="T32" s="1552"/>
      <c r="U32" s="1553"/>
      <c r="V32" s="1552"/>
      <c r="W32" s="1553"/>
      <c r="X32" s="1554"/>
      <c r="Y32" s="3445"/>
      <c r="Z32" s="2537"/>
      <c r="AA32" s="1560">
        <v>1</v>
      </c>
      <c r="AB32" s="1560">
        <v>1</v>
      </c>
      <c r="AC32" s="1560">
        <v>1</v>
      </c>
    </row>
    <row r="33" spans="1:29" ht="20.25">
      <c r="A33" s="530"/>
      <c r="B33" s="564" t="s">
        <v>547</v>
      </c>
      <c r="C33" s="578" t="s">
        <v>3094</v>
      </c>
      <c r="D33" s="573">
        <v>100</v>
      </c>
      <c r="E33" s="581" t="s">
        <v>3095</v>
      </c>
      <c r="F33" s="538">
        <f>SUMIF(106:106,E33,107:107)-SUMIF(106:106,C33,107:107)+100</f>
        <v>98</v>
      </c>
      <c r="G33" s="578" t="s">
        <v>3095</v>
      </c>
      <c r="H33" s="538">
        <f>SUMIF(106:106,G33,107:107)-SUMIF(106:106,C33,107:107)+100</f>
        <v>98</v>
      </c>
      <c r="I33" s="578" t="s">
        <v>3094</v>
      </c>
      <c r="J33" s="538">
        <f>SUMIF(106:106,I33,107:107)-SUMIF(106:106,C33,107:107)+100</f>
        <v>100</v>
      </c>
      <c r="K33" s="533">
        <v>2</v>
      </c>
      <c r="L33" s="2125"/>
      <c r="M33" s="2115"/>
      <c r="N33" s="2115"/>
      <c r="O33" s="2124"/>
      <c r="P33" s="3445"/>
      <c r="Q33" s="1556" t="str">
        <f t="shared" si="8"/>
        <v>临街状况</v>
      </c>
      <c r="R33" s="1557" t="s">
        <v>8</v>
      </c>
      <c r="S33" s="1558">
        <f t="shared" ref="S33:S47" si="10">F33</f>
        <v>98</v>
      </c>
      <c r="T33" s="1557" t="s">
        <v>8</v>
      </c>
      <c r="U33" s="1558">
        <f t="shared" ref="U33:U47" si="11">H33</f>
        <v>98</v>
      </c>
      <c r="V33" s="1557" t="s">
        <v>8</v>
      </c>
      <c r="W33" s="1558">
        <f t="shared" ref="W33:W47" si="12">J33</f>
        <v>100</v>
      </c>
      <c r="X33" s="1551"/>
      <c r="Y33" s="3445"/>
      <c r="Z33" s="1559" t="str">
        <f t="shared" ref="Z33:Z47" si="13">Q33</f>
        <v>临街状况</v>
      </c>
      <c r="AA33" s="1560">
        <f t="shared" si="3"/>
        <v>1.0204081632653061</v>
      </c>
      <c r="AB33" s="1560">
        <f t="shared" si="4"/>
        <v>1.0204081632653061</v>
      </c>
      <c r="AC33" s="1560">
        <f t="shared" si="5"/>
        <v>1</v>
      </c>
    </row>
    <row r="34" spans="1:29" ht="27">
      <c r="A34" s="530"/>
      <c r="B34" s="576" t="s">
        <v>548</v>
      </c>
      <c r="C34" s="560"/>
      <c r="D34" s="561">
        <v>100</v>
      </c>
      <c r="E34" s="562"/>
      <c r="F34" s="557">
        <f>SUMIF(108:108,E35,109:109)-SUMIF(108:108,C35,109:109)+100</f>
        <v>99</v>
      </c>
      <c r="G34" s="560"/>
      <c r="H34" s="557">
        <f>SUMIF(108:108,G35,109:109)-SUMIF(108:108,C35,109:109)+100</f>
        <v>99</v>
      </c>
      <c r="I34" s="562"/>
      <c r="J34" s="557">
        <f>SUMIF(108:108,I35,109:109)-SUMIF(108:108,C35,109:109)+100</f>
        <v>99</v>
      </c>
      <c r="K34" s="533">
        <v>1</v>
      </c>
      <c r="L34" s="2125"/>
      <c r="M34" s="2115"/>
      <c r="N34" s="2115"/>
      <c r="O34" s="2124"/>
      <c r="P34" s="3445"/>
      <c r="Q34" s="1556" t="str">
        <f t="shared" si="8"/>
        <v>毗邻道路的类型与等级</v>
      </c>
      <c r="R34" s="1557" t="s">
        <v>8</v>
      </c>
      <c r="S34" s="1558">
        <f t="shared" si="10"/>
        <v>99</v>
      </c>
      <c r="T34" s="1557" t="s">
        <v>8</v>
      </c>
      <c r="U34" s="1558">
        <f t="shared" si="11"/>
        <v>99</v>
      </c>
      <c r="V34" s="1557" t="s">
        <v>8</v>
      </c>
      <c r="W34" s="1558">
        <f t="shared" si="12"/>
        <v>99</v>
      </c>
      <c r="X34" s="1551"/>
      <c r="Y34" s="3445"/>
      <c r="Z34" s="1559" t="str">
        <f t="shared" si="13"/>
        <v>毗邻道路的类型与等级</v>
      </c>
      <c r="AA34" s="1560">
        <f t="shared" si="3"/>
        <v>1.0101010101010102</v>
      </c>
      <c r="AB34" s="1560">
        <f t="shared" si="4"/>
        <v>1.0101010101010102</v>
      </c>
      <c r="AC34" s="1560">
        <f t="shared" si="5"/>
        <v>1.0101010101010102</v>
      </c>
    </row>
    <row r="35" spans="1:29" ht="20.25">
      <c r="A35" s="530"/>
      <c r="B35" s="564"/>
      <c r="C35" s="552" t="s">
        <v>3099</v>
      </c>
      <c r="D35" s="555"/>
      <c r="E35" s="574" t="s">
        <v>3101</v>
      </c>
      <c r="F35" s="553"/>
      <c r="G35" s="552" t="s">
        <v>3101</v>
      </c>
      <c r="H35" s="553"/>
      <c r="I35" s="574" t="s">
        <v>3101</v>
      </c>
      <c r="J35" s="553"/>
      <c r="K35" s="579"/>
      <c r="L35" s="2125"/>
      <c r="M35" s="2115"/>
      <c r="N35" s="2115"/>
      <c r="O35" s="2124"/>
      <c r="P35" s="3445"/>
      <c r="Q35" s="1556"/>
      <c r="R35" s="1557"/>
      <c r="S35" s="1558"/>
      <c r="T35" s="1557"/>
      <c r="U35" s="1558"/>
      <c r="V35" s="1557"/>
      <c r="W35" s="1558"/>
      <c r="X35" s="1551"/>
      <c r="Y35" s="3445"/>
      <c r="Z35" s="1559"/>
      <c r="AA35" s="1560">
        <v>1</v>
      </c>
      <c r="AB35" s="1560">
        <v>1</v>
      </c>
      <c r="AC35" s="1560">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45"/>
      <c r="Q36" s="1556" t="str">
        <f t="shared" si="8"/>
        <v>土地级别</v>
      </c>
      <c r="R36" s="1557" t="s">
        <v>8</v>
      </c>
      <c r="S36" s="1558">
        <f t="shared" si="10"/>
        <v>100</v>
      </c>
      <c r="T36" s="1557" t="s">
        <v>8</v>
      </c>
      <c r="U36" s="1558">
        <f t="shared" si="11"/>
        <v>100</v>
      </c>
      <c r="V36" s="1557" t="s">
        <v>8</v>
      </c>
      <c r="W36" s="1558">
        <f t="shared" si="12"/>
        <v>100</v>
      </c>
      <c r="X36" s="1551"/>
      <c r="Y36" s="3445"/>
      <c r="Z36" s="1559" t="str">
        <f t="shared" si="13"/>
        <v>土地级别</v>
      </c>
      <c r="AA36" s="1560">
        <f t="shared" si="3"/>
        <v>1</v>
      </c>
      <c r="AB36" s="1560">
        <f t="shared" si="4"/>
        <v>1</v>
      </c>
      <c r="AC36" s="1560">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45"/>
      <c r="Q37" s="1556">
        <f t="shared" si="8"/>
        <v>111</v>
      </c>
      <c r="R37" s="1557" t="s">
        <v>8</v>
      </c>
      <c r="S37" s="1558">
        <f t="shared" si="10"/>
        <v>100</v>
      </c>
      <c r="T37" s="1557" t="s">
        <v>8</v>
      </c>
      <c r="U37" s="1558">
        <f t="shared" si="11"/>
        <v>100</v>
      </c>
      <c r="V37" s="1557" t="s">
        <v>8</v>
      </c>
      <c r="W37" s="1558">
        <f t="shared" si="12"/>
        <v>100</v>
      </c>
      <c r="X37" s="1551"/>
      <c r="Y37" s="3445"/>
      <c r="Z37" s="1559">
        <f t="shared" si="13"/>
        <v>111</v>
      </c>
      <c r="AA37" s="1560">
        <f t="shared" si="3"/>
        <v>1</v>
      </c>
      <c r="AB37" s="1560">
        <f t="shared" si="4"/>
        <v>1</v>
      </c>
      <c r="AC37" s="1560">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46" t="s">
        <v>550</v>
      </c>
      <c r="Q38" s="1556">
        <f t="shared" si="8"/>
        <v>111</v>
      </c>
      <c r="R38" s="1557" t="s">
        <v>8</v>
      </c>
      <c r="S38" s="1558">
        <f t="shared" si="10"/>
        <v>100</v>
      </c>
      <c r="T38" s="1557" t="s">
        <v>8</v>
      </c>
      <c r="U38" s="1558">
        <f t="shared" si="11"/>
        <v>100</v>
      </c>
      <c r="V38" s="1557" t="s">
        <v>8</v>
      </c>
      <c r="W38" s="1558">
        <f t="shared" si="12"/>
        <v>100</v>
      </c>
      <c r="X38" s="1551"/>
      <c r="Y38" s="3447" t="s">
        <v>550</v>
      </c>
      <c r="Z38" s="1559">
        <f t="shared" si="13"/>
        <v>111</v>
      </c>
      <c r="AA38" s="1560">
        <f t="shared" si="3"/>
        <v>1</v>
      </c>
      <c r="AB38" s="1560">
        <f t="shared" si="4"/>
        <v>1</v>
      </c>
      <c r="AC38" s="1560">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47"/>
      <c r="Q39" s="1556">
        <f t="shared" si="8"/>
        <v>111</v>
      </c>
      <c r="R39" s="1561" t="s">
        <v>8</v>
      </c>
      <c r="S39" s="1562">
        <f t="shared" si="10"/>
        <v>100</v>
      </c>
      <c r="T39" s="1561" t="s">
        <v>8</v>
      </c>
      <c r="U39" s="1562">
        <f t="shared" si="11"/>
        <v>100</v>
      </c>
      <c r="V39" s="1561" t="s">
        <v>8</v>
      </c>
      <c r="W39" s="1562">
        <f t="shared" si="12"/>
        <v>100</v>
      </c>
      <c r="X39" s="1563"/>
      <c r="Y39" s="3447"/>
      <c r="Z39" s="1564">
        <f t="shared" si="13"/>
        <v>111</v>
      </c>
      <c r="AA39" s="1560">
        <f t="shared" si="3"/>
        <v>1</v>
      </c>
      <c r="AB39" s="1560">
        <f t="shared" si="4"/>
        <v>1</v>
      </c>
      <c r="AC39" s="1560">
        <f t="shared" si="5"/>
        <v>1</v>
      </c>
    </row>
    <row r="40" spans="1:29" ht="20.25">
      <c r="A40" s="2860" t="s">
        <v>2753</v>
      </c>
      <c r="B40" s="593" t="s">
        <v>552</v>
      </c>
      <c r="C40" s="594">
        <f>'数据-基础表'!A3</f>
        <v>142581.63</v>
      </c>
      <c r="D40" s="595">
        <v>100</v>
      </c>
      <c r="E40" s="594">
        <f>Sheet1!$D$7</f>
        <v>69856.02</v>
      </c>
      <c r="F40" s="595">
        <f>LOOKUP(E40,119:119,120:120)-LOOKUP(C40,119:119,120:120)+100</f>
        <v>104</v>
      </c>
      <c r="G40" s="594">
        <f>Sheet1!$D$6</f>
        <v>28367.279999999999</v>
      </c>
      <c r="H40" s="595">
        <f>LOOKUP(G40,119:119,120:120)-LOOKUP(C40,119:119,120:120)+100</f>
        <v>100</v>
      </c>
      <c r="I40" s="596">
        <f>Sheet1!$D$4</f>
        <v>21403.13</v>
      </c>
      <c r="J40" s="595">
        <f>LOOKUP(I40,119:119,120:120)-LOOKUP(C40,119:119,120:120)+100</f>
        <v>100</v>
      </c>
      <c r="K40" s="579"/>
      <c r="L40" s="2125"/>
      <c r="M40" s="2115"/>
      <c r="N40" s="2115"/>
      <c r="O40" s="2124"/>
      <c r="P40" s="3447"/>
      <c r="Q40" s="1556" t="str">
        <f>B40</f>
        <v>宗地面积</v>
      </c>
      <c r="R40" s="1557" t="s">
        <v>8</v>
      </c>
      <c r="S40" s="1558">
        <f t="shared" si="10"/>
        <v>104</v>
      </c>
      <c r="T40" s="1557" t="s">
        <v>8</v>
      </c>
      <c r="U40" s="1558">
        <f t="shared" si="11"/>
        <v>100</v>
      </c>
      <c r="V40" s="1557" t="s">
        <v>8</v>
      </c>
      <c r="W40" s="1558">
        <f t="shared" si="12"/>
        <v>100</v>
      </c>
      <c r="X40" s="1551"/>
      <c r="Y40" s="3447"/>
      <c r="Z40" s="1559" t="str">
        <f t="shared" si="13"/>
        <v>宗地面积</v>
      </c>
      <c r="AA40" s="1560">
        <f t="shared" si="3"/>
        <v>0.96153846153846156</v>
      </c>
      <c r="AB40" s="1560">
        <f t="shared" si="4"/>
        <v>1</v>
      </c>
      <c r="AC40" s="1560">
        <f t="shared" si="5"/>
        <v>1</v>
      </c>
    </row>
    <row r="41" spans="1:29" ht="20.25">
      <c r="A41" s="592"/>
      <c r="B41" s="525" t="s">
        <v>553</v>
      </c>
      <c r="C41" s="597" t="s">
        <v>3105</v>
      </c>
      <c r="D41" s="538">
        <v>100</v>
      </c>
      <c r="E41" s="597" t="s">
        <v>3105</v>
      </c>
      <c r="F41" s="538">
        <f>SUMIF(121:121,E41,122:122)-SUMIF(121:121,C41,122:122)+100</f>
        <v>100</v>
      </c>
      <c r="G41" s="597" t="s">
        <v>3105</v>
      </c>
      <c r="H41" s="538">
        <f>SUMIF(121:121,G41,122:122)-SUMIF(121:121,C41,122:122)+100</f>
        <v>100</v>
      </c>
      <c r="I41" s="597" t="s">
        <v>3105</v>
      </c>
      <c r="J41" s="538">
        <f>SUMIF(121:121,I41,122:122)-SUMIF(121:121,C41,122:122)+100</f>
        <v>100</v>
      </c>
      <c r="K41" s="582">
        <v>2</v>
      </c>
      <c r="L41" s="2125"/>
      <c r="M41" s="2115"/>
      <c r="N41" s="2115"/>
      <c r="O41" s="2124"/>
      <c r="P41" s="3447"/>
      <c r="Q41" s="1556" t="str">
        <f t="shared" ref="Q41:Q47" si="14">B41</f>
        <v>宗地形状</v>
      </c>
      <c r="R41" s="1557" t="s">
        <v>8</v>
      </c>
      <c r="S41" s="1558">
        <f t="shared" si="10"/>
        <v>100</v>
      </c>
      <c r="T41" s="1557" t="s">
        <v>8</v>
      </c>
      <c r="U41" s="1558">
        <f t="shared" si="11"/>
        <v>100</v>
      </c>
      <c r="V41" s="1557" t="s">
        <v>8</v>
      </c>
      <c r="W41" s="1558">
        <f t="shared" si="12"/>
        <v>100</v>
      </c>
      <c r="X41" s="1551"/>
      <c r="Y41" s="3447"/>
      <c r="Z41" s="1559" t="str">
        <f t="shared" si="13"/>
        <v>宗地形状</v>
      </c>
      <c r="AA41" s="1560">
        <f t="shared" si="3"/>
        <v>1</v>
      </c>
      <c r="AB41" s="1560">
        <f t="shared" si="4"/>
        <v>1</v>
      </c>
      <c r="AC41" s="1560">
        <f t="shared" si="5"/>
        <v>1</v>
      </c>
    </row>
    <row r="42" spans="1:29" ht="20.25">
      <c r="A42" s="592"/>
      <c r="B42" s="525" t="s">
        <v>554</v>
      </c>
      <c r="C42" s="597" t="s">
        <v>3110</v>
      </c>
      <c r="D42" s="538">
        <v>100</v>
      </c>
      <c r="E42" s="597" t="s">
        <v>3110</v>
      </c>
      <c r="F42" s="538">
        <f>SUMIF(123:123,E42,124:124)-SUMIF(123:123,C42,124:124)+100</f>
        <v>100</v>
      </c>
      <c r="G42" s="597" t="s">
        <v>3110</v>
      </c>
      <c r="H42" s="538">
        <f>SUMIF(123:123,G42,124:124)-SUMIF(123:123,C42,124:124)+100</f>
        <v>100</v>
      </c>
      <c r="I42" s="597" t="s">
        <v>3110</v>
      </c>
      <c r="J42" s="538">
        <f>SUMIF(123:123,I42,124:124)-SUMIF(123:123,C42,124:124)+100</f>
        <v>100</v>
      </c>
      <c r="K42" s="582">
        <v>2</v>
      </c>
      <c r="L42" s="2125"/>
      <c r="M42" s="2115"/>
      <c r="N42" s="2115"/>
      <c r="O42" s="2124"/>
      <c r="P42" s="3447"/>
      <c r="Q42" s="1556" t="str">
        <f t="shared" si="14"/>
        <v>临街宽度及深度</v>
      </c>
      <c r="R42" s="1557" t="s">
        <v>8</v>
      </c>
      <c r="S42" s="1558">
        <f t="shared" si="10"/>
        <v>100</v>
      </c>
      <c r="T42" s="1557" t="s">
        <v>8</v>
      </c>
      <c r="U42" s="1558">
        <f t="shared" si="11"/>
        <v>100</v>
      </c>
      <c r="V42" s="1557" t="s">
        <v>8</v>
      </c>
      <c r="W42" s="1558">
        <f t="shared" si="12"/>
        <v>100</v>
      </c>
      <c r="X42" s="1551"/>
      <c r="Y42" s="3447"/>
      <c r="Z42" s="1559" t="str">
        <f t="shared" si="13"/>
        <v>临街宽度及深度</v>
      </c>
      <c r="AA42" s="1560">
        <f t="shared" si="3"/>
        <v>1</v>
      </c>
      <c r="AB42" s="1560">
        <f t="shared" si="4"/>
        <v>1</v>
      </c>
      <c r="AC42" s="1560">
        <f t="shared" si="5"/>
        <v>1</v>
      </c>
    </row>
    <row r="43" spans="1:29" s="1214" customFormat="1" ht="20.25">
      <c r="A43" s="598"/>
      <c r="B43" s="1878" t="s">
        <v>2423</v>
      </c>
      <c r="C43" s="599" t="s">
        <v>3119</v>
      </c>
      <c r="D43" s="253">
        <v>100</v>
      </c>
      <c r="E43" s="599" t="s">
        <v>3091</v>
      </c>
      <c r="F43" s="538">
        <f>SUMIF(125:125,E43,126:126)-SUMIF(125:125,C43,126:126)+100</f>
        <v>103</v>
      </c>
      <c r="G43" s="599" t="s">
        <v>3091</v>
      </c>
      <c r="H43" s="538">
        <f>SUMIF(125:125,G43,126:126)-SUMIF(125:125,C43,126:126)+100</f>
        <v>103</v>
      </c>
      <c r="I43" s="599" t="s">
        <v>3119</v>
      </c>
      <c r="J43" s="538">
        <f>SUMIF(125:125,I43,126:126)-SUMIF(125:125,C43,126:126)+100</f>
        <v>100</v>
      </c>
      <c r="K43" s="582">
        <v>1</v>
      </c>
      <c r="L43" s="2118"/>
      <c r="M43" s="2115"/>
      <c r="N43" s="2115"/>
      <c r="O43" s="2120"/>
      <c r="P43" s="3447"/>
      <c r="Q43" s="1556" t="str">
        <f t="shared" si="14"/>
        <v>宗地开发程度</v>
      </c>
      <c r="R43" s="1552" t="s">
        <v>8</v>
      </c>
      <c r="S43" s="1553">
        <f t="shared" si="10"/>
        <v>103</v>
      </c>
      <c r="T43" s="1552" t="s">
        <v>8</v>
      </c>
      <c r="U43" s="1553">
        <f t="shared" si="11"/>
        <v>103</v>
      </c>
      <c r="V43" s="1552" t="s">
        <v>8</v>
      </c>
      <c r="W43" s="1553">
        <f t="shared" si="12"/>
        <v>100</v>
      </c>
      <c r="X43" s="1554"/>
      <c r="Y43" s="3447"/>
      <c r="Z43" s="1144" t="str">
        <f t="shared" si="13"/>
        <v>宗地开发程度</v>
      </c>
      <c r="AA43" s="1555">
        <f t="shared" si="3"/>
        <v>0.970873786407767</v>
      </c>
      <c r="AB43" s="1555">
        <f t="shared" si="4"/>
        <v>0.970873786407767</v>
      </c>
      <c r="AC43" s="1555">
        <f t="shared" si="5"/>
        <v>1</v>
      </c>
    </row>
    <row r="44" spans="1:29" ht="20.25">
      <c r="A44" s="592"/>
      <c r="B44" s="525" t="s">
        <v>555</v>
      </c>
      <c r="C44" s="597" t="s">
        <v>3087</v>
      </c>
      <c r="D44" s="538">
        <v>100</v>
      </c>
      <c r="E44" s="597" t="s">
        <v>3087</v>
      </c>
      <c r="F44" s="538">
        <f>SUMIF(127:127,E44,128:128)-SUMIF(127:127,C44,128:128)+100</f>
        <v>100</v>
      </c>
      <c r="G44" s="597" t="s">
        <v>3087</v>
      </c>
      <c r="H44" s="538">
        <f>SUMIF(127:127,G44,128:128)-SUMIF(127:127,C44,128:128)+100</f>
        <v>100</v>
      </c>
      <c r="I44" s="597" t="s">
        <v>3087</v>
      </c>
      <c r="J44" s="538">
        <f>SUMIF(127:127,I44,128:128)-SUMIF(127:127,C44,128:128)+100</f>
        <v>100</v>
      </c>
      <c r="K44" s="582">
        <v>2</v>
      </c>
      <c r="L44" s="2125"/>
      <c r="M44" s="2115"/>
      <c r="N44" s="2115"/>
      <c r="O44" s="2124"/>
      <c r="P44" s="3447" t="s">
        <v>550</v>
      </c>
      <c r="Q44" s="1556" t="str">
        <f t="shared" si="14"/>
        <v>工程地质条件</v>
      </c>
      <c r="R44" s="1557" t="s">
        <v>8</v>
      </c>
      <c r="S44" s="1558">
        <f t="shared" si="10"/>
        <v>100</v>
      </c>
      <c r="T44" s="1557" t="s">
        <v>8</v>
      </c>
      <c r="U44" s="1558">
        <f t="shared" si="11"/>
        <v>100</v>
      </c>
      <c r="V44" s="1557" t="s">
        <v>8</v>
      </c>
      <c r="W44" s="1558">
        <f t="shared" si="12"/>
        <v>100</v>
      </c>
      <c r="X44" s="1551"/>
      <c r="Y44" s="3447" t="s">
        <v>550</v>
      </c>
      <c r="Z44" s="1559" t="str">
        <f t="shared" si="13"/>
        <v>工程地质条件</v>
      </c>
      <c r="AA44" s="1560">
        <f t="shared" si="3"/>
        <v>1</v>
      </c>
      <c r="AB44" s="1560">
        <f t="shared" si="4"/>
        <v>1</v>
      </c>
      <c r="AC44" s="1560">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47"/>
      <c r="Q45" s="1556">
        <f t="shared" si="14"/>
        <v>111</v>
      </c>
      <c r="R45" s="1557" t="s">
        <v>8</v>
      </c>
      <c r="S45" s="1558">
        <f t="shared" si="10"/>
        <v>100</v>
      </c>
      <c r="T45" s="1557" t="s">
        <v>8</v>
      </c>
      <c r="U45" s="1558">
        <f t="shared" si="11"/>
        <v>100</v>
      </c>
      <c r="V45" s="1557" t="s">
        <v>8</v>
      </c>
      <c r="W45" s="1558">
        <f t="shared" si="12"/>
        <v>100</v>
      </c>
      <c r="X45" s="1551"/>
      <c r="Y45" s="3447"/>
      <c r="Z45" s="1559">
        <f t="shared" si="13"/>
        <v>111</v>
      </c>
      <c r="AA45" s="1560">
        <f t="shared" si="3"/>
        <v>1</v>
      </c>
      <c r="AB45" s="1560">
        <f t="shared" si="4"/>
        <v>1</v>
      </c>
      <c r="AC45" s="1560">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47"/>
      <c r="Q46" s="1556">
        <f t="shared" si="14"/>
        <v>111</v>
      </c>
      <c r="R46" s="1557" t="s">
        <v>8</v>
      </c>
      <c r="S46" s="1558">
        <f t="shared" si="10"/>
        <v>100</v>
      </c>
      <c r="T46" s="1557" t="s">
        <v>8</v>
      </c>
      <c r="U46" s="1558">
        <f t="shared" si="11"/>
        <v>100</v>
      </c>
      <c r="V46" s="1557" t="s">
        <v>8</v>
      </c>
      <c r="W46" s="1558">
        <f t="shared" si="12"/>
        <v>100</v>
      </c>
      <c r="X46" s="1551"/>
      <c r="Y46" s="3447"/>
      <c r="Z46" s="1559">
        <f t="shared" si="13"/>
        <v>111</v>
      </c>
      <c r="AA46" s="1560">
        <f t="shared" si="3"/>
        <v>1</v>
      </c>
      <c r="AB46" s="1560">
        <f t="shared" si="4"/>
        <v>1</v>
      </c>
      <c r="AC46" s="1560">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47"/>
      <c r="Q47" s="1556">
        <f t="shared" si="14"/>
        <v>111</v>
      </c>
      <c r="R47" s="1561" t="s">
        <v>8</v>
      </c>
      <c r="S47" s="1562">
        <f t="shared" si="10"/>
        <v>100</v>
      </c>
      <c r="T47" s="1561" t="s">
        <v>8</v>
      </c>
      <c r="U47" s="1562">
        <f t="shared" si="11"/>
        <v>100</v>
      </c>
      <c r="V47" s="1561" t="s">
        <v>8</v>
      </c>
      <c r="W47" s="1562">
        <f t="shared" si="12"/>
        <v>100</v>
      </c>
      <c r="X47" s="1563"/>
      <c r="Y47" s="3447"/>
      <c r="Z47" s="1564">
        <f t="shared" si="13"/>
        <v>111</v>
      </c>
      <c r="AA47" s="1560">
        <f t="shared" si="3"/>
        <v>1</v>
      </c>
      <c r="AB47" s="1560">
        <f t="shared" si="4"/>
        <v>1</v>
      </c>
      <c r="AC47" s="1560">
        <f t="shared" si="5"/>
        <v>1</v>
      </c>
    </row>
    <row r="48" spans="1:29" ht="20.25">
      <c r="A48" s="605" t="s">
        <v>556</v>
      </c>
      <c r="B48" s="606" t="s">
        <v>3103</v>
      </c>
      <c r="C48" s="607" t="s">
        <v>1</v>
      </c>
      <c r="D48" s="608"/>
      <c r="E48" s="609">
        <f>ROUND(Sheet1!$K$7/1.2,0)</f>
        <v>18638</v>
      </c>
      <c r="F48" s="610"/>
      <c r="G48" s="611">
        <f>ROUND(Sheet1!$K$6/1.2,0)</f>
        <v>17548</v>
      </c>
      <c r="H48" s="612"/>
      <c r="I48" s="609">
        <f>ROUND(Sheet1!$K$4/1.2,0)</f>
        <v>19900</v>
      </c>
      <c r="J48" s="612"/>
      <c r="K48" s="1334"/>
      <c r="L48" s="2127"/>
      <c r="M48" s="2115"/>
      <c r="N48" s="2115"/>
      <c r="O48" s="2128"/>
      <c r="P48" s="3409" t="str">
        <f>A48</f>
        <v>成交单价</v>
      </c>
      <c r="Q48" s="3409"/>
      <c r="R48" s="3410">
        <f>E48</f>
        <v>18638</v>
      </c>
      <c r="S48" s="3410"/>
      <c r="T48" s="3410">
        <f>G48</f>
        <v>17548</v>
      </c>
      <c r="U48" s="3410"/>
      <c r="V48" s="3410">
        <f>I48</f>
        <v>19900</v>
      </c>
      <c r="W48" s="3410"/>
      <c r="X48" s="1543"/>
      <c r="Y48" s="1565"/>
      <c r="Z48" s="1543"/>
      <c r="AA48" s="1543"/>
      <c r="AB48" s="1543"/>
      <c r="AC48" s="1543"/>
    </row>
    <row r="49" spans="1:29" ht="21" thickBot="1">
      <c r="A49" s="613" t="s">
        <v>2691</v>
      </c>
      <c r="B49" s="614"/>
      <c r="C49" s="615">
        <f>R50</f>
        <v>15685</v>
      </c>
      <c r="D49" s="616"/>
      <c r="E49" s="615">
        <f>R49</f>
        <v>15179</v>
      </c>
      <c r="F49" s="617"/>
      <c r="G49" s="618">
        <f>T49</f>
        <v>14863</v>
      </c>
      <c r="H49" s="616"/>
      <c r="I49" s="615">
        <f>V49</f>
        <v>17014</v>
      </c>
      <c r="J49" s="616"/>
      <c r="K49" s="1335"/>
      <c r="L49" s="2127"/>
      <c r="M49" s="2115"/>
      <c r="N49" s="2115"/>
      <c r="O49" s="2128"/>
      <c r="P49" s="3409" t="str">
        <f>A49</f>
        <v>比较价格（元/平方米）</v>
      </c>
      <c r="Q49" s="3409"/>
      <c r="R49" s="3411">
        <f>ROUND(PRODUCT(R48,AA9:AA47),0)</f>
        <v>15179</v>
      </c>
      <c r="S49" s="3411"/>
      <c r="T49" s="3411">
        <f>ROUND(PRODUCT(T48,AB9:AB47),0)</f>
        <v>14863</v>
      </c>
      <c r="U49" s="3411"/>
      <c r="V49" s="3411">
        <f>ROUND(PRODUCT(V48,AC9:AC47),0)</f>
        <v>17014</v>
      </c>
      <c r="W49" s="3411"/>
      <c r="X49" s="1543"/>
      <c r="Y49" s="1543"/>
      <c r="Z49" s="1543"/>
      <c r="AA49" s="1543"/>
      <c r="AB49" s="1543"/>
      <c r="AC49" s="1543"/>
    </row>
    <row r="50" spans="1:29" ht="21" thickBot="1">
      <c r="A50" s="619" t="s">
        <v>2927</v>
      </c>
      <c r="B50" s="620"/>
      <c r="C50" s="621">
        <f>R50</f>
        <v>15685</v>
      </c>
      <c r="D50" s="621"/>
      <c r="E50" s="621"/>
      <c r="F50" s="621"/>
      <c r="G50" s="621"/>
      <c r="H50" s="621"/>
      <c r="I50" s="621"/>
      <c r="J50" s="621"/>
      <c r="K50" s="1336"/>
      <c r="L50" s="2127"/>
      <c r="M50" s="2115"/>
      <c r="N50" s="2115"/>
      <c r="O50" s="2128"/>
      <c r="P50" s="3406" t="str">
        <f>A50</f>
        <v>估价对象XX用房的比较价格（楼面单价，元/平方米）</v>
      </c>
      <c r="Q50" s="3407"/>
      <c r="R50" s="3408">
        <f>ROUND(AVERAGE(R49:V49),0)</f>
        <v>15685</v>
      </c>
      <c r="S50" s="3408"/>
      <c r="T50" s="3408"/>
      <c r="U50" s="3408"/>
      <c r="V50" s="3408"/>
      <c r="W50" s="3408"/>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0.2278806245470717</v>
      </c>
      <c r="F53" s="625" t="str">
        <f>IF(OR(E53&gt;=0.3,E53&lt;=-0.3),"超过30%","")</f>
        <v/>
      </c>
      <c r="G53" s="624">
        <f>IF(G48&lt;G49,G49/G48-1,G48/G49-1)</f>
        <v>0.18064993608289037</v>
      </c>
      <c r="H53" s="625" t="str">
        <f>IF(OR(G53&gt;=0.3,G53&lt;=-0.3),"超过30%","")</f>
        <v/>
      </c>
      <c r="I53" s="624">
        <f>IF(I48&lt;I49,I49/I48-1,I48/I49-1)</f>
        <v>0.16962501469378166</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2.1260849088340139E-2</v>
      </c>
      <c r="F54" s="625" t="str">
        <f>IF(OR(E54&gt;=0.2,E54&lt;=-0.2),"超过20%","")</f>
        <v/>
      </c>
      <c r="G54" s="624">
        <f>IF(G49&lt;I49,I49/G49-1,G49/I49-1)</f>
        <v>0.14472179237031546</v>
      </c>
      <c r="H54" s="625" t="str">
        <f>IF(OR(G54&gt;=0.2,G54&lt;=-0.2),"超过20%","")</f>
        <v/>
      </c>
      <c r="I54" s="624">
        <f>IF(I49&lt;E49,E49/I49-1,I49/E49-1)</f>
        <v>0.12089070426246784</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f>IF(E48&lt;G48,G48/E48-1,E48/G48-1)</f>
        <v>6.2115340779576034E-2</v>
      </c>
      <c r="F55" s="625" t="str">
        <f>IF(OR(E55&gt;=0.3,E55&lt;=-0.3),"超过30%","")</f>
        <v/>
      </c>
      <c r="G55" s="624">
        <f>IF(G48&lt;I48,I48/G48-1,G48/I48-1)</f>
        <v>0.13403236836106669</v>
      </c>
      <c r="H55" s="625" t="str">
        <f>IF(OR(G55&gt;=0.3,G55&lt;=-0.3),"超过30%","")</f>
        <v/>
      </c>
      <c r="I55" s="624">
        <f>IF(I48&lt;E48,E48/I48-1,I48/E48-1)</f>
        <v>6.7711127803412374E-2</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560</v>
      </c>
      <c r="B57" s="628" t="s">
        <v>561</v>
      </c>
      <c r="C57" s="1544" t="s">
        <v>1724</v>
      </c>
      <c r="D57" s="2210" t="s">
        <v>2292</v>
      </c>
      <c r="E57" s="629" t="s">
        <v>562</v>
      </c>
      <c r="F57" s="630" t="s">
        <v>563</v>
      </c>
      <c r="G57" s="3436" t="s">
        <v>2280</v>
      </c>
      <c r="H57" s="3437"/>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1" t="s">
        <v>564</v>
      </c>
      <c r="B58" s="632">
        <f>C50</f>
        <v>15685</v>
      </c>
      <c r="C58" s="633">
        <v>1</v>
      </c>
      <c r="D58" s="2211">
        <v>1</v>
      </c>
      <c r="E58" s="633">
        <f>'数据-汇总表'!E8+'数据-汇总表'!E9</f>
        <v>275334.25</v>
      </c>
      <c r="F58" s="634">
        <f t="shared" ref="F58:F67" si="15">ROUND(B58*E58/10000,0)</f>
        <v>431862</v>
      </c>
      <c r="G58" s="3438"/>
      <c r="H58" s="3439"/>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565</v>
      </c>
      <c r="B59" s="636">
        <f>ROUND($C$50*C59*D59,0)</f>
        <v>0</v>
      </c>
      <c r="C59" s="376">
        <f t="shared" ref="C59:C67" si="16">IF($C$57="北京市系数",I59,J59)</f>
        <v>0</v>
      </c>
      <c r="D59" s="2212">
        <v>0.25</v>
      </c>
      <c r="E59" s="637">
        <v>0</v>
      </c>
      <c r="F59" s="634">
        <f t="shared" si="15"/>
        <v>0</v>
      </c>
      <c r="G59" s="3440"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566</v>
      </c>
      <c r="B60" s="636">
        <f t="shared" ref="B60:B67" si="17">ROUND($C$50*C60*D60,0)</f>
        <v>0</v>
      </c>
      <c r="C60" s="376">
        <f t="shared" si="16"/>
        <v>0</v>
      </c>
      <c r="D60" s="2212">
        <v>0.25</v>
      </c>
      <c r="E60" s="637">
        <v>0</v>
      </c>
      <c r="F60" s="634">
        <f t="shared" si="15"/>
        <v>0</v>
      </c>
      <c r="G60" s="3440"/>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567</v>
      </c>
      <c r="B61" s="636">
        <f t="shared" si="17"/>
        <v>0</v>
      </c>
      <c r="C61" s="376">
        <f t="shared" si="16"/>
        <v>0</v>
      </c>
      <c r="D61" s="2212">
        <v>0.25</v>
      </c>
      <c r="E61" s="637">
        <v>0</v>
      </c>
      <c r="F61" s="634">
        <f t="shared" si="15"/>
        <v>0</v>
      </c>
      <c r="G61" s="3440"/>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5" t="s">
        <v>568</v>
      </c>
      <c r="B62" s="636">
        <f t="shared" si="17"/>
        <v>0</v>
      </c>
      <c r="C62" s="376">
        <f t="shared" si="16"/>
        <v>0</v>
      </c>
      <c r="D62" s="2212">
        <v>0.25</v>
      </c>
      <c r="E62" s="637">
        <v>0</v>
      </c>
      <c r="F62" s="634">
        <f t="shared" si="15"/>
        <v>0</v>
      </c>
      <c r="G62" s="3440"/>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2327</v>
      </c>
      <c r="B63" s="636">
        <f t="shared" si="17"/>
        <v>0</v>
      </c>
      <c r="C63" s="376">
        <f t="shared" si="16"/>
        <v>0</v>
      </c>
      <c r="D63" s="2212">
        <v>0.25</v>
      </c>
      <c r="E63" s="639">
        <f>'数据-汇总表'!E11</f>
        <v>147</v>
      </c>
      <c r="F63" s="634">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5" t="s">
        <v>569</v>
      </c>
      <c r="B64" s="636">
        <f t="shared" si="17"/>
        <v>784</v>
      </c>
      <c r="C64" s="376">
        <f t="shared" si="16"/>
        <v>0.2</v>
      </c>
      <c r="D64" s="2212">
        <v>0.25</v>
      </c>
      <c r="E64" s="639">
        <f>'数据-汇总表'!E12</f>
        <v>2440.73</v>
      </c>
      <c r="F64" s="634">
        <f t="shared" si="15"/>
        <v>191</v>
      </c>
      <c r="G64" s="1929" t="s">
        <v>923</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5" t="s">
        <v>570</v>
      </c>
      <c r="B65" s="636">
        <f t="shared" si="17"/>
        <v>588</v>
      </c>
      <c r="C65" s="376">
        <f t="shared" si="16"/>
        <v>0.15</v>
      </c>
      <c r="D65" s="2212">
        <v>0.25</v>
      </c>
      <c r="E65" s="639">
        <f>'数据-汇总表'!E13</f>
        <v>81890.259999999995</v>
      </c>
      <c r="F65" s="634">
        <f t="shared" si="15"/>
        <v>4815</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5" t="s">
        <v>571</v>
      </c>
      <c r="B66" s="636">
        <f t="shared" si="17"/>
        <v>0</v>
      </c>
      <c r="C66" s="376">
        <f t="shared" si="16"/>
        <v>0</v>
      </c>
      <c r="D66" s="2212">
        <v>0.25</v>
      </c>
      <c r="E66" s="639">
        <f>'数据-汇总表'!E14</f>
        <v>0</v>
      </c>
      <c r="F66" s="634">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5" t="s">
        <v>572</v>
      </c>
      <c r="B67" s="636">
        <f t="shared" si="17"/>
        <v>0</v>
      </c>
      <c r="C67" s="376">
        <f t="shared" si="16"/>
        <v>0</v>
      </c>
      <c r="D67" s="2212">
        <v>0.25</v>
      </c>
      <c r="E67" s="639">
        <f>'数据-汇总表'!E15</f>
        <v>0</v>
      </c>
      <c r="F67" s="634">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0" t="s">
        <v>573</v>
      </c>
      <c r="B68" s="641" t="s">
        <v>17</v>
      </c>
      <c r="C68" s="641" t="s">
        <v>18</v>
      </c>
      <c r="D68" s="641" t="s">
        <v>2293</v>
      </c>
      <c r="E68" s="641">
        <f>IF(B48="楼面地价",SUM(E58:E67),'数据-汇总表'!D3)</f>
        <v>359812.24</v>
      </c>
      <c r="F68" s="642">
        <f>IF(B48="楼面地价",SUM(F58:F67),ROUND(C50*E68/10000,0))</f>
        <v>436868</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2019-12-1</v>
      </c>
      <c r="D70" s="2752">
        <f>EDATE(C70,-3)</f>
        <v>43709</v>
      </c>
      <c r="E70" s="2752">
        <f t="shared" ref="E70:N70" si="18">EDATE(D70,-3)</f>
        <v>43617</v>
      </c>
      <c r="F70" s="2752">
        <f t="shared" si="18"/>
        <v>43525</v>
      </c>
      <c r="G70" s="2752">
        <f t="shared" si="18"/>
        <v>43435</v>
      </c>
      <c r="H70" s="2752">
        <f t="shared" si="18"/>
        <v>43344</v>
      </c>
      <c r="I70" s="2752">
        <f t="shared" si="18"/>
        <v>43252</v>
      </c>
      <c r="J70" s="2752">
        <f t="shared" si="18"/>
        <v>43160</v>
      </c>
      <c r="K70" s="2752">
        <f t="shared" si="18"/>
        <v>43070</v>
      </c>
      <c r="L70" s="2752">
        <f t="shared" si="18"/>
        <v>42979</v>
      </c>
      <c r="M70" s="2752">
        <f t="shared" si="18"/>
        <v>42887</v>
      </c>
      <c r="N70" s="2752">
        <f t="shared" si="18"/>
        <v>42795</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2531</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923</v>
      </c>
      <c r="B73" s="477" t="str">
        <f>"北京市平均增长率"&amp;TEXT(SUMIF(基准地价!N21:N25,A73,基准地价!P21:P25),"0.00%")</f>
        <v>北京市平均增长率2.16%</v>
      </c>
      <c r="C73" s="892">
        <v>100</v>
      </c>
      <c r="D73" s="728">
        <v>100</v>
      </c>
      <c r="E73" s="728">
        <v>99.5</v>
      </c>
      <c r="F73" s="728">
        <v>99.5</v>
      </c>
      <c r="G73" s="728">
        <f t="shared" ref="G73:M73" si="20">F73-0.5</f>
        <v>99</v>
      </c>
      <c r="H73" s="728">
        <v>99</v>
      </c>
      <c r="I73" s="728">
        <f t="shared" si="20"/>
        <v>98.5</v>
      </c>
      <c r="J73" s="728">
        <v>98.5</v>
      </c>
      <c r="K73" s="728">
        <v>98</v>
      </c>
      <c r="L73" s="728">
        <v>98</v>
      </c>
      <c r="M73" s="728">
        <f t="shared" si="20"/>
        <v>97.5</v>
      </c>
      <c r="N73" s="728">
        <v>97.5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2645</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7" t="s">
        <v>531</v>
      </c>
      <c r="B75" s="646"/>
      <c r="C75" s="658" t="s">
        <v>576</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c r="A77" s="662" t="s">
        <v>577</v>
      </c>
      <c r="B77" s="663" t="s">
        <v>534</v>
      </c>
      <c r="C77" s="3177" t="s">
        <v>3084</v>
      </c>
      <c r="D77" s="59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537</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538</v>
      </c>
      <c r="C81" s="680" t="str">
        <f>C82&amp;"（含）"&amp;"-"&amp;D82</f>
        <v>0（含）-1</v>
      </c>
      <c r="D81" s="680" t="str">
        <f t="shared" ref="D81:L81" si="21">D82&amp;"（含）"&amp;"-"&amp;E82</f>
        <v>1（含）-2</v>
      </c>
      <c r="E81" s="680" t="str">
        <f t="shared" si="21"/>
        <v>2（含）-3</v>
      </c>
      <c r="F81" s="680" t="str">
        <f t="shared" si="21"/>
        <v>3（含）-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c r="H82" s="539"/>
      <c r="I82" s="539"/>
      <c r="J82" s="539"/>
      <c r="K82" s="682"/>
      <c r="L82" s="683"/>
      <c r="M82" s="684"/>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5"/>
      <c r="B84" s="671" t="str">
        <f>B14</f>
        <v>配建</v>
      </c>
      <c r="C84" s="686"/>
      <c r="D84" s="1370"/>
      <c r="E84" s="1371"/>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3" customFormat="1" ht="16.5" customHeight="1" thickTop="1">
      <c r="A86" s="685"/>
      <c r="B86" s="671" t="str">
        <f>B15</f>
        <v>限价</v>
      </c>
      <c r="C86" s="686" t="s">
        <v>3089</v>
      </c>
      <c r="D86" s="686" t="s">
        <v>3090</v>
      </c>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5"/>
      <c r="B87" s="676"/>
      <c r="C87" s="690">
        <v>100</v>
      </c>
      <c r="D87" s="690">
        <v>120</v>
      </c>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5"/>
      <c r="B88" s="679">
        <f>B16</f>
        <v>0</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539</v>
      </c>
      <c r="B90" s="663" t="s">
        <v>578</v>
      </c>
      <c r="C90" s="701" t="s">
        <v>579</v>
      </c>
      <c r="D90" s="701" t="s">
        <v>580</v>
      </c>
      <c r="E90" s="701" t="s">
        <v>581</v>
      </c>
      <c r="F90" s="701" t="s">
        <v>582</v>
      </c>
      <c r="G90" s="701" t="s">
        <v>583</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95</v>
      </c>
      <c r="E91" s="677">
        <f>D91-$K17</f>
        <v>90</v>
      </c>
      <c r="F91" s="677">
        <f>E91-$K17</f>
        <v>85</v>
      </c>
      <c r="G91" s="677">
        <f>F91-$K17</f>
        <v>80</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584</v>
      </c>
      <c r="C92" s="706" t="s">
        <v>579</v>
      </c>
      <c r="D92" s="706" t="s">
        <v>580</v>
      </c>
      <c r="E92" s="706" t="s">
        <v>581</v>
      </c>
      <c r="F92" s="706" t="s">
        <v>582</v>
      </c>
      <c r="G92" s="706" t="s">
        <v>583</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585</v>
      </c>
      <c r="C94" s="706" t="s">
        <v>579</v>
      </c>
      <c r="D94" s="706" t="s">
        <v>580</v>
      </c>
      <c r="E94" s="706" t="s">
        <v>581</v>
      </c>
      <c r="F94" s="706" t="s">
        <v>582</v>
      </c>
      <c r="G94" s="706" t="s">
        <v>583</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586</v>
      </c>
      <c r="C96" s="706" t="s">
        <v>579</v>
      </c>
      <c r="D96" s="706" t="s">
        <v>580</v>
      </c>
      <c r="E96" s="706" t="s">
        <v>581</v>
      </c>
      <c r="F96" s="706" t="s">
        <v>582</v>
      </c>
      <c r="G96" s="706" t="s">
        <v>583</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5"/>
      <c r="B102" s="1879" t="s">
        <v>2547</v>
      </c>
      <c r="C102" s="701" t="s">
        <v>579</v>
      </c>
      <c r="D102" s="701" t="s">
        <v>580</v>
      </c>
      <c r="E102" s="701" t="s">
        <v>581</v>
      </c>
      <c r="F102" s="701" t="s">
        <v>582</v>
      </c>
      <c r="G102" s="701" t="s">
        <v>583</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5"/>
      <c r="B104" s="2559" t="s">
        <v>2549</v>
      </c>
      <c r="C104" s="2560" t="s">
        <v>2550</v>
      </c>
      <c r="D104" s="2560" t="s">
        <v>2551</v>
      </c>
      <c r="E104" s="2560" t="s">
        <v>2552</v>
      </c>
      <c r="F104" s="2560" t="s">
        <v>2553</v>
      </c>
      <c r="G104" s="2560" t="s">
        <v>2554</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548</v>
      </c>
      <c r="C108" s="3179" t="s">
        <v>3096</v>
      </c>
      <c r="D108" s="3179" t="s">
        <v>3097</v>
      </c>
      <c r="E108" s="3179" t="s">
        <v>3098</v>
      </c>
      <c r="F108" s="3179" t="s">
        <v>3100</v>
      </c>
      <c r="G108" s="3179" t="s">
        <v>3102</v>
      </c>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549</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8.5">
      <c r="A118" s="662" t="s">
        <v>551</v>
      </c>
      <c r="B118" s="663" t="s">
        <v>593</v>
      </c>
      <c r="C118" s="702" t="str">
        <f t="shared" ref="C118:L118" si="26">C119&amp;"(含)"&amp;"-"&amp;D119</f>
        <v>0(含)-30000</v>
      </c>
      <c r="D118" s="702" t="str">
        <f t="shared" si="26"/>
        <v>30000(含)-60000</v>
      </c>
      <c r="E118" s="702" t="str">
        <f t="shared" si="26"/>
        <v>60000(含)-90000</v>
      </c>
      <c r="F118" s="702" t="str">
        <f t="shared" si="26"/>
        <v>90000(含)-120000</v>
      </c>
      <c r="G118" s="702" t="str">
        <f t="shared" si="26"/>
        <v>120000(含)-150000</v>
      </c>
      <c r="H118" s="702" t="str">
        <f t="shared" si="26"/>
        <v>150000(含)-</v>
      </c>
      <c r="I118" s="702" t="str">
        <f t="shared" si="26"/>
        <v>(含)-</v>
      </c>
      <c r="J118" s="3037" t="str">
        <f t="shared" si="26"/>
        <v>(含)-</v>
      </c>
      <c r="K118" s="3037" t="str">
        <f t="shared" si="26"/>
        <v>(含)-</v>
      </c>
      <c r="L118" s="3038" t="str">
        <f t="shared" si="26"/>
        <v>(含)-</v>
      </c>
      <c r="M118" s="3039"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f>C119+30000</f>
        <v>30000</v>
      </c>
      <c r="E119" s="728">
        <f t="shared" ref="E119:H119" si="27">D119+30000</f>
        <v>60000</v>
      </c>
      <c r="F119" s="728">
        <f t="shared" si="27"/>
        <v>90000</v>
      </c>
      <c r="G119" s="728">
        <f t="shared" si="27"/>
        <v>120000</v>
      </c>
      <c r="H119" s="728">
        <f t="shared" si="27"/>
        <v>150000</v>
      </c>
      <c r="I119" s="728"/>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v>102</v>
      </c>
      <c r="E120" s="724">
        <v>104</v>
      </c>
      <c r="F120" s="724">
        <v>102</v>
      </c>
      <c r="G120" s="724">
        <v>100</v>
      </c>
      <c r="H120" s="724">
        <v>98</v>
      </c>
      <c r="I120" s="724"/>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594</v>
      </c>
      <c r="C121" s="3180" t="s">
        <v>3104</v>
      </c>
      <c r="D121" s="3180" t="s">
        <v>3106</v>
      </c>
      <c r="E121" s="3180" t="s">
        <v>3107</v>
      </c>
      <c r="F121" s="3180" t="s">
        <v>3108</v>
      </c>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8">C122-$K41</f>
        <v>98</v>
      </c>
      <c r="E122" s="677">
        <f t="shared" si="28"/>
        <v>96</v>
      </c>
      <c r="F122" s="677">
        <f t="shared" si="28"/>
        <v>94</v>
      </c>
      <c r="G122" s="677">
        <f t="shared" si="28"/>
        <v>92</v>
      </c>
      <c r="H122" s="677">
        <f t="shared" si="28"/>
        <v>90</v>
      </c>
      <c r="I122" s="677">
        <f t="shared" si="28"/>
        <v>88</v>
      </c>
      <c r="J122" s="677">
        <f t="shared" si="28"/>
        <v>86</v>
      </c>
      <c r="K122" s="677">
        <f t="shared" si="28"/>
        <v>84</v>
      </c>
      <c r="L122" s="677">
        <f t="shared" si="28"/>
        <v>82</v>
      </c>
      <c r="M122" s="678">
        <f t="shared" si="28"/>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595</v>
      </c>
      <c r="C123" s="3179" t="s">
        <v>3109</v>
      </c>
      <c r="D123" s="3179" t="s">
        <v>3111</v>
      </c>
      <c r="E123" s="3179" t="s">
        <v>3112</v>
      </c>
      <c r="F123" s="3180" t="s">
        <v>3113</v>
      </c>
      <c r="G123" s="3180" t="s">
        <v>3114</v>
      </c>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9">C124-$K42</f>
        <v>98</v>
      </c>
      <c r="E124" s="677">
        <f t="shared" si="29"/>
        <v>96</v>
      </c>
      <c r="F124" s="677">
        <f t="shared" si="29"/>
        <v>94</v>
      </c>
      <c r="G124" s="677">
        <f t="shared" si="29"/>
        <v>92</v>
      </c>
      <c r="H124" s="677">
        <f t="shared" si="29"/>
        <v>90</v>
      </c>
      <c r="I124" s="677">
        <f t="shared" si="29"/>
        <v>88</v>
      </c>
      <c r="J124" s="677">
        <f t="shared" si="29"/>
        <v>86</v>
      </c>
      <c r="K124" s="677">
        <f t="shared" si="29"/>
        <v>84</v>
      </c>
      <c r="L124" s="677">
        <f t="shared" si="29"/>
        <v>82</v>
      </c>
      <c r="M124" s="678">
        <f t="shared" si="29"/>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6"/>
      <c r="B125" s="1879" t="s">
        <v>2424</v>
      </c>
      <c r="C125" s="1370" t="s">
        <v>3115</v>
      </c>
      <c r="D125" s="1370" t="s">
        <v>3116</v>
      </c>
      <c r="E125" s="1370" t="s">
        <v>3117</v>
      </c>
      <c r="F125" s="1370" t="s">
        <v>3118</v>
      </c>
      <c r="G125" s="1370" t="s">
        <v>3120</v>
      </c>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596</v>
      </c>
      <c r="C127" s="3179" t="s">
        <v>3121</v>
      </c>
      <c r="D127" s="3179" t="s">
        <v>3122</v>
      </c>
      <c r="E127" s="3180" t="s">
        <v>3123</v>
      </c>
      <c r="F127" s="3180" t="s">
        <v>3124</v>
      </c>
      <c r="G127" s="3180" t="s">
        <v>3125</v>
      </c>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1">C128-$K44</f>
        <v>98</v>
      </c>
      <c r="E128" s="677">
        <f t="shared" si="31"/>
        <v>96</v>
      </c>
      <c r="F128" s="677">
        <f t="shared" si="31"/>
        <v>94</v>
      </c>
      <c r="G128" s="677">
        <f t="shared" si="31"/>
        <v>92</v>
      </c>
      <c r="H128" s="677">
        <f t="shared" si="31"/>
        <v>90</v>
      </c>
      <c r="I128" s="677">
        <f t="shared" si="31"/>
        <v>88</v>
      </c>
      <c r="J128" s="677">
        <f t="shared" si="31"/>
        <v>86</v>
      </c>
      <c r="K128" s="677">
        <f t="shared" si="31"/>
        <v>84</v>
      </c>
      <c r="L128" s="677">
        <f t="shared" si="31"/>
        <v>82</v>
      </c>
      <c r="M128" s="678">
        <f t="shared" si="31"/>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37" sqref="B37:I37"/>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1685</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30" customFormat="1" ht="28.5" customHeight="1">
      <c r="A4" s="509" t="s">
        <v>520</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521</v>
      </c>
      <c r="B6" s="511"/>
      <c r="C6" s="3415" t="s">
        <v>522</v>
      </c>
      <c r="D6" s="3416"/>
      <c r="E6" s="3451" t="s">
        <v>523</v>
      </c>
      <c r="F6" s="3452"/>
      <c r="G6" s="3415" t="s">
        <v>524</v>
      </c>
      <c r="H6" s="3416"/>
      <c r="I6" s="3415" t="s">
        <v>525</v>
      </c>
      <c r="J6" s="3416"/>
      <c r="K6" s="512" t="s">
        <v>526</v>
      </c>
      <c r="L6" s="2116"/>
      <c r="M6" s="2117"/>
      <c r="N6" s="2117"/>
      <c r="O6" s="2117"/>
      <c r="P6" s="3417" t="s">
        <v>527</v>
      </c>
      <c r="Q6" s="3418"/>
      <c r="R6" s="3423" t="s">
        <v>523</v>
      </c>
      <c r="S6" s="3424"/>
      <c r="T6" s="3423" t="s">
        <v>524</v>
      </c>
      <c r="U6" s="3424"/>
      <c r="V6" s="3410" t="s">
        <v>525</v>
      </c>
      <c r="W6" s="3410"/>
      <c r="X6" s="1551"/>
      <c r="Y6" s="3423" t="s">
        <v>527</v>
      </c>
      <c r="Z6" s="3424"/>
      <c r="AA6" s="3412" t="s">
        <v>523</v>
      </c>
      <c r="AB6" s="3413" t="s">
        <v>524</v>
      </c>
      <c r="AC6" s="3412" t="s">
        <v>525</v>
      </c>
    </row>
    <row r="7" spans="1:29" ht="15">
      <c r="A7" s="513"/>
      <c r="B7" s="514"/>
      <c r="C7" s="3431" t="s">
        <v>2921</v>
      </c>
      <c r="D7" s="3432"/>
      <c r="E7" s="3453" t="s">
        <v>2922</v>
      </c>
      <c r="F7" s="3454"/>
      <c r="G7" s="3431" t="s">
        <v>2923</v>
      </c>
      <c r="H7" s="3432"/>
      <c r="I7" s="3431" t="s">
        <v>2924</v>
      </c>
      <c r="J7" s="3432"/>
      <c r="K7" s="512"/>
      <c r="L7" s="2116"/>
      <c r="M7" s="2117"/>
      <c r="N7" s="2117"/>
      <c r="O7" s="2117"/>
      <c r="P7" s="3419"/>
      <c r="Q7" s="3420"/>
      <c r="R7" s="3425"/>
      <c r="S7" s="3426"/>
      <c r="T7" s="3425"/>
      <c r="U7" s="3426"/>
      <c r="V7" s="3410"/>
      <c r="W7" s="3410"/>
      <c r="X7" s="1551"/>
      <c r="Y7" s="3425"/>
      <c r="Z7" s="3426"/>
      <c r="AA7" s="3413"/>
      <c r="AB7" s="3413"/>
      <c r="AC7" s="3413"/>
    </row>
    <row r="8" spans="1:29" ht="15.75" thickBot="1">
      <c r="A8" s="515"/>
      <c r="B8" s="516"/>
      <c r="C8" s="3448" t="s">
        <v>2925</v>
      </c>
      <c r="D8" s="3430"/>
      <c r="E8" s="3449" t="s">
        <v>2925</v>
      </c>
      <c r="F8" s="3450"/>
      <c r="G8" s="3448" t="s">
        <v>2925</v>
      </c>
      <c r="H8" s="3430"/>
      <c r="I8" s="3448" t="s">
        <v>2925</v>
      </c>
      <c r="J8" s="3430"/>
      <c r="K8" s="512" t="s">
        <v>528</v>
      </c>
      <c r="L8" s="2116"/>
      <c r="M8" s="2117"/>
      <c r="N8" s="2117"/>
      <c r="O8" s="2117"/>
      <c r="P8" s="3421"/>
      <c r="Q8" s="3422"/>
      <c r="R8" s="3425"/>
      <c r="S8" s="3426"/>
      <c r="T8" s="3427"/>
      <c r="U8" s="3428"/>
      <c r="V8" s="3410"/>
      <c r="W8" s="3410"/>
      <c r="X8" s="1551"/>
      <c r="Y8" s="3427"/>
      <c r="Z8" s="3428"/>
      <c r="AA8" s="3414"/>
      <c r="AB8" s="3414"/>
      <c r="AC8" s="3414"/>
    </row>
    <row r="9" spans="1:29" s="1214" customFormat="1" ht="15.75" thickBot="1">
      <c r="A9" s="2865"/>
      <c r="B9" s="2872" t="s">
        <v>529</v>
      </c>
      <c r="C9" s="517">
        <f>'数据-取费表'!B2</f>
        <v>43830</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41" t="s">
        <v>530</v>
      </c>
      <c r="Q9" s="3443"/>
      <c r="R9" s="1552" t="s">
        <v>8</v>
      </c>
      <c r="S9" s="1553">
        <f t="shared" ref="S9:S17" si="0">F9</f>
        <v>0</v>
      </c>
      <c r="T9" s="1552" t="s">
        <v>8</v>
      </c>
      <c r="U9" s="1553">
        <f t="shared" ref="U9:U17" si="1">H9</f>
        <v>0</v>
      </c>
      <c r="V9" s="1552" t="s">
        <v>8</v>
      </c>
      <c r="W9" s="1553">
        <f t="shared" ref="W9:W17" si="2">J9</f>
        <v>0</v>
      </c>
      <c r="X9" s="1554"/>
      <c r="Y9" s="3441" t="s">
        <v>530</v>
      </c>
      <c r="Z9" s="3442"/>
      <c r="AA9" s="1555" t="e">
        <f>D9/F9</f>
        <v>#DIV/0!</v>
      </c>
      <c r="AB9" s="1555" t="e">
        <f>D9/H9</f>
        <v>#DIV/0!</v>
      </c>
      <c r="AC9" s="1555" t="e">
        <f>D9/J9</f>
        <v>#DIV/0!</v>
      </c>
    </row>
    <row r="10" spans="1:29" s="1214" customFormat="1" ht="15.75" thickBot="1">
      <c r="A10" s="2866"/>
      <c r="B10" s="287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41" t="s">
        <v>533</v>
      </c>
      <c r="Q10" s="3442"/>
      <c r="R10" s="1552" t="s">
        <v>8</v>
      </c>
      <c r="S10" s="1553">
        <f t="shared" si="0"/>
        <v>0</v>
      </c>
      <c r="T10" s="1552" t="s">
        <v>8</v>
      </c>
      <c r="U10" s="1553">
        <f t="shared" si="1"/>
        <v>0</v>
      </c>
      <c r="V10" s="1552" t="s">
        <v>8</v>
      </c>
      <c r="W10" s="1553">
        <f t="shared" si="2"/>
        <v>0</v>
      </c>
      <c r="X10" s="1554"/>
      <c r="Y10" s="3441" t="s">
        <v>533</v>
      </c>
      <c r="Z10" s="3442"/>
      <c r="AA10" s="1555" t="e">
        <f t="shared" ref="AA10:AA42" si="3">D10/F10</f>
        <v>#DIV/0!</v>
      </c>
      <c r="AB10" s="1555" t="e">
        <f t="shared" ref="AB10:AB42" si="4">D10/H10</f>
        <v>#DIV/0!</v>
      </c>
      <c r="AC10" s="1555" t="e">
        <f t="shared" ref="AC10:AC42" si="5">D10/J10</f>
        <v>#DIV/0!</v>
      </c>
    </row>
    <row r="11" spans="1:29" s="1214" customFormat="1" ht="15">
      <c r="A11" s="2867"/>
      <c r="B11" s="2874" t="s">
        <v>2754</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409" t="s">
        <v>535</v>
      </c>
      <c r="Q11" s="1145" t="str">
        <f t="shared" ref="Q11:Q17" si="6">B11</f>
        <v>用途</v>
      </c>
      <c r="R11" s="1552" t="s">
        <v>8</v>
      </c>
      <c r="S11" s="1553">
        <f t="shared" si="0"/>
        <v>100</v>
      </c>
      <c r="T11" s="1552" t="s">
        <v>8</v>
      </c>
      <c r="U11" s="1553">
        <f t="shared" si="1"/>
        <v>100</v>
      </c>
      <c r="V11" s="1552" t="s">
        <v>8</v>
      </c>
      <c r="W11" s="1553">
        <f t="shared" si="2"/>
        <v>100</v>
      </c>
      <c r="X11" s="1554"/>
      <c r="Y11" s="3355" t="s">
        <v>536</v>
      </c>
      <c r="Z11" s="1144" t="str">
        <f t="shared" ref="Z11:Z17" si="7">Q11</f>
        <v>用途</v>
      </c>
      <c r="AA11" s="1555">
        <f t="shared" si="3"/>
        <v>1</v>
      </c>
      <c r="AB11" s="1555">
        <f t="shared" si="4"/>
        <v>1</v>
      </c>
      <c r="AC11" s="1555">
        <f t="shared" si="5"/>
        <v>1</v>
      </c>
    </row>
    <row r="12" spans="1:29" s="1332" customFormat="1" ht="27">
      <c r="A12" s="2868"/>
      <c r="B12" s="2873" t="s">
        <v>2755</v>
      </c>
      <c r="C12" s="526"/>
      <c r="D12" s="253">
        <v>100</v>
      </c>
      <c r="E12" s="526"/>
      <c r="F12" s="253">
        <f>ROUND(100/'数据-取费表'!G16,0)</f>
        <v>100</v>
      </c>
      <c r="G12" s="526"/>
      <c r="H12" s="253">
        <f>ROUND(100/'数据-取费表'!G16,0)</f>
        <v>100</v>
      </c>
      <c r="I12" s="526"/>
      <c r="J12" s="253">
        <f>ROUND(100/'数据-取费表'!G16,0)</f>
        <v>100</v>
      </c>
      <c r="K12" s="529"/>
      <c r="L12" s="2121"/>
      <c r="M12" s="2161"/>
      <c r="N12" s="2161"/>
      <c r="O12" s="2122"/>
      <c r="P12" s="3409"/>
      <c r="Q12" s="1145" t="str">
        <f t="shared" si="6"/>
        <v>土地使用年限（年）</v>
      </c>
      <c r="R12" s="1552" t="s">
        <v>8</v>
      </c>
      <c r="S12" s="1553">
        <f t="shared" si="0"/>
        <v>100</v>
      </c>
      <c r="T12" s="1552" t="s">
        <v>8</v>
      </c>
      <c r="U12" s="1553">
        <f t="shared" si="1"/>
        <v>100</v>
      </c>
      <c r="V12" s="1552" t="s">
        <v>8</v>
      </c>
      <c r="W12" s="1553">
        <f t="shared" si="2"/>
        <v>100</v>
      </c>
      <c r="X12" s="1554"/>
      <c r="Y12" s="3355"/>
      <c r="Z12" s="1144" t="str">
        <f t="shared" si="7"/>
        <v>土地使用年限（年）</v>
      </c>
      <c r="AA12" s="1555">
        <f t="shared" si="3"/>
        <v>1</v>
      </c>
      <c r="AB12" s="1555">
        <f t="shared" si="4"/>
        <v>1</v>
      </c>
      <c r="AC12" s="1555">
        <f t="shared" si="5"/>
        <v>1</v>
      </c>
    </row>
    <row r="13" spans="1:29" ht="15">
      <c r="A13" s="2869"/>
      <c r="B13" s="2873" t="s">
        <v>2756</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409"/>
      <c r="Q13" s="1145" t="str">
        <f t="shared" si="6"/>
        <v>容积率</v>
      </c>
      <c r="R13" s="1552" t="s">
        <v>8</v>
      </c>
      <c r="S13" s="1553" t="e">
        <f t="shared" si="0"/>
        <v>#N/A</v>
      </c>
      <c r="T13" s="1552" t="s">
        <v>8</v>
      </c>
      <c r="U13" s="1553" t="e">
        <f t="shared" si="1"/>
        <v>#N/A</v>
      </c>
      <c r="V13" s="1552" t="s">
        <v>8</v>
      </c>
      <c r="W13" s="1553" t="e">
        <f t="shared" si="2"/>
        <v>#N/A</v>
      </c>
      <c r="X13" s="1554"/>
      <c r="Y13" s="3355"/>
      <c r="Z13" s="1144" t="str">
        <f t="shared" si="7"/>
        <v>容积率</v>
      </c>
      <c r="AA13" s="1555" t="e">
        <f t="shared" si="3"/>
        <v>#N/A</v>
      </c>
      <c r="AB13" s="1555" t="e">
        <f t="shared" si="4"/>
        <v>#N/A</v>
      </c>
      <c r="AC13" s="1555" t="e">
        <f t="shared" si="5"/>
        <v>#N/A</v>
      </c>
    </row>
    <row r="14" spans="1:29" s="1214"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409"/>
      <c r="Q14" s="1145">
        <f t="shared" si="6"/>
        <v>111</v>
      </c>
      <c r="R14" s="1552" t="s">
        <v>8</v>
      </c>
      <c r="S14" s="1553">
        <f t="shared" si="0"/>
        <v>100</v>
      </c>
      <c r="T14" s="1552" t="s">
        <v>8</v>
      </c>
      <c r="U14" s="1553">
        <f t="shared" si="1"/>
        <v>100</v>
      </c>
      <c r="V14" s="1552" t="s">
        <v>8</v>
      </c>
      <c r="W14" s="1553">
        <f t="shared" si="2"/>
        <v>100</v>
      </c>
      <c r="X14" s="1554"/>
      <c r="Y14" s="3355"/>
      <c r="Z14" s="1144">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409"/>
      <c r="Q15" s="1145">
        <f t="shared" si="6"/>
        <v>111</v>
      </c>
      <c r="R15" s="1552" t="s">
        <v>8</v>
      </c>
      <c r="S15" s="1553">
        <f t="shared" si="0"/>
        <v>100</v>
      </c>
      <c r="T15" s="1552" t="s">
        <v>8</v>
      </c>
      <c r="U15" s="1553">
        <f t="shared" si="1"/>
        <v>100</v>
      </c>
      <c r="V15" s="1552" t="s">
        <v>8</v>
      </c>
      <c r="W15" s="1553">
        <f t="shared" si="2"/>
        <v>100</v>
      </c>
      <c r="X15" s="1554"/>
      <c r="Y15" s="3355"/>
      <c r="Z15" s="1144">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409"/>
      <c r="Q16" s="1145">
        <f t="shared" si="6"/>
        <v>111</v>
      </c>
      <c r="R16" s="1552" t="s">
        <v>8</v>
      </c>
      <c r="S16" s="1553">
        <f t="shared" si="0"/>
        <v>100</v>
      </c>
      <c r="T16" s="1552" t="s">
        <v>8</v>
      </c>
      <c r="U16" s="1553">
        <f t="shared" si="1"/>
        <v>100</v>
      </c>
      <c r="V16" s="1552" t="s">
        <v>8</v>
      </c>
      <c r="W16" s="1553">
        <f t="shared" si="2"/>
        <v>100</v>
      </c>
      <c r="X16" s="1554"/>
      <c r="Y16" s="3355"/>
      <c r="Z16" s="1144">
        <f t="shared" si="7"/>
        <v>111</v>
      </c>
      <c r="AA16" s="1555">
        <f t="shared" si="3"/>
        <v>1</v>
      </c>
      <c r="AB16" s="1555">
        <f t="shared" si="4"/>
        <v>1</v>
      </c>
      <c r="AC16" s="1555">
        <f t="shared" si="5"/>
        <v>1</v>
      </c>
    </row>
    <row r="17" spans="1:29" ht="57">
      <c r="A17" s="2863" t="s">
        <v>2752</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44" t="s">
        <v>540</v>
      </c>
      <c r="Q17" s="1556" t="str">
        <f t="shared" si="6"/>
        <v>产业集聚程度</v>
      </c>
      <c r="R17" s="1557" t="s">
        <v>8</v>
      </c>
      <c r="S17" s="1558">
        <f t="shared" si="0"/>
        <v>100</v>
      </c>
      <c r="T17" s="1557" t="s">
        <v>8</v>
      </c>
      <c r="U17" s="1558">
        <f t="shared" si="1"/>
        <v>100</v>
      </c>
      <c r="V17" s="1557" t="s">
        <v>8</v>
      </c>
      <c r="W17" s="1558">
        <f t="shared" si="2"/>
        <v>100</v>
      </c>
      <c r="X17" s="1551"/>
      <c r="Y17" s="3444" t="s">
        <v>540</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45"/>
      <c r="Q18" s="1556"/>
      <c r="R18" s="1557"/>
      <c r="S18" s="1558"/>
      <c r="T18" s="1557"/>
      <c r="U18" s="1558"/>
      <c r="V18" s="1557"/>
      <c r="W18" s="1558"/>
      <c r="X18" s="1551"/>
      <c r="Y18" s="3445"/>
      <c r="Z18" s="1559"/>
      <c r="AA18" s="1560">
        <v>1</v>
      </c>
      <c r="AB18" s="1560">
        <v>1</v>
      </c>
      <c r="AC18" s="1560">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45"/>
      <c r="Q19" s="1556" t="str">
        <f>B19</f>
        <v>交通便捷度</v>
      </c>
      <c r="R19" s="1557" t="s">
        <v>8</v>
      </c>
      <c r="S19" s="1558">
        <f>F19</f>
        <v>100</v>
      </c>
      <c r="T19" s="1557" t="s">
        <v>8</v>
      </c>
      <c r="U19" s="1558">
        <f>H19</f>
        <v>100</v>
      </c>
      <c r="V19" s="1557" t="s">
        <v>8</v>
      </c>
      <c r="W19" s="1558">
        <f>J19</f>
        <v>100</v>
      </c>
      <c r="X19" s="1551"/>
      <c r="Y19" s="3445"/>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5"/>
      <c r="M20" s="2117"/>
      <c r="N20" s="2117"/>
      <c r="O20" s="2124"/>
      <c r="P20" s="3445"/>
      <c r="Q20" s="1556"/>
      <c r="R20" s="1557"/>
      <c r="S20" s="1558"/>
      <c r="T20" s="1557"/>
      <c r="U20" s="1558"/>
      <c r="V20" s="1557"/>
      <c r="W20" s="1558"/>
      <c r="X20" s="1551"/>
      <c r="Y20" s="3445"/>
      <c r="Z20" s="1559"/>
      <c r="AA20" s="1560">
        <v>1</v>
      </c>
      <c r="AB20" s="1560">
        <v>1</v>
      </c>
      <c r="AC20" s="1560">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5"/>
      <c r="M21" s="2117"/>
      <c r="N21" s="2117"/>
      <c r="O21" s="2124"/>
      <c r="P21" s="3445"/>
      <c r="Q21" s="1556" t="str">
        <f t="shared" ref="Q21:Q35" si="8">B21</f>
        <v>区域土地利用方向</v>
      </c>
      <c r="R21" s="1557" t="s">
        <v>8</v>
      </c>
      <c r="S21" s="1558">
        <f>F21</f>
        <v>100</v>
      </c>
      <c r="T21" s="1557" t="s">
        <v>8</v>
      </c>
      <c r="U21" s="1558">
        <f>H21</f>
        <v>100</v>
      </c>
      <c r="V21" s="1557" t="s">
        <v>8</v>
      </c>
      <c r="W21" s="1558">
        <f>J21</f>
        <v>100</v>
      </c>
      <c r="X21" s="1551"/>
      <c r="Y21" s="3445"/>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5"/>
      <c r="M22" s="2117"/>
      <c r="N22" s="2117"/>
      <c r="O22" s="2124"/>
      <c r="P22" s="3445"/>
      <c r="Q22" s="1556"/>
      <c r="R22" s="1557"/>
      <c r="S22" s="1558"/>
      <c r="T22" s="1557"/>
      <c r="U22" s="1558"/>
      <c r="V22" s="1557"/>
      <c r="W22" s="1558"/>
      <c r="X22" s="1551"/>
      <c r="Y22" s="3445"/>
      <c r="Z22" s="1559"/>
      <c r="AA22" s="1560"/>
      <c r="AB22" s="1560"/>
      <c r="AC22" s="1560"/>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45"/>
      <c r="Q23" s="1556" t="str">
        <f t="shared" si="8"/>
        <v>环境状况</v>
      </c>
      <c r="R23" s="1557" t="s">
        <v>8</v>
      </c>
      <c r="S23" s="1558">
        <f>F23</f>
        <v>100</v>
      </c>
      <c r="T23" s="1557" t="s">
        <v>8</v>
      </c>
      <c r="U23" s="1558">
        <f>H23</f>
        <v>100</v>
      </c>
      <c r="V23" s="1557" t="s">
        <v>8</v>
      </c>
      <c r="W23" s="1558">
        <f>J23</f>
        <v>100</v>
      </c>
      <c r="X23" s="1551"/>
      <c r="Y23" s="3445"/>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45"/>
      <c r="Q24" s="1556"/>
      <c r="R24" s="1557"/>
      <c r="S24" s="1558"/>
      <c r="T24" s="1557"/>
      <c r="U24" s="1558"/>
      <c r="V24" s="1557"/>
      <c r="W24" s="1558"/>
      <c r="X24" s="1551"/>
      <c r="Y24" s="3445"/>
      <c r="Z24" s="1559"/>
      <c r="AA24" s="1560">
        <v>1</v>
      </c>
      <c r="AB24" s="1560">
        <v>1</v>
      </c>
      <c r="AC24" s="1560">
        <v>1</v>
      </c>
    </row>
    <row r="25" spans="1:29" s="1214" customFormat="1" ht="42.75">
      <c r="A25" s="575"/>
      <c r="B25" s="2555"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45"/>
      <c r="Q25" s="1145" t="str">
        <f t="shared" si="8"/>
        <v>公共配套设施</v>
      </c>
      <c r="R25" s="1552" t="s">
        <v>8</v>
      </c>
      <c r="S25" s="1553">
        <f>F25</f>
        <v>100</v>
      </c>
      <c r="T25" s="1552" t="s">
        <v>8</v>
      </c>
      <c r="U25" s="1553">
        <f>H25</f>
        <v>100</v>
      </c>
      <c r="V25" s="1552" t="s">
        <v>8</v>
      </c>
      <c r="W25" s="1553">
        <f>J25</f>
        <v>100</v>
      </c>
      <c r="X25" s="1554"/>
      <c r="Y25" s="3445"/>
      <c r="Z25" s="1144" t="str">
        <f>Q25</f>
        <v>公共配套设施</v>
      </c>
      <c r="AA25" s="1560">
        <f>D25/F25</f>
        <v>1</v>
      </c>
      <c r="AB25" s="1560">
        <f>D25/H25</f>
        <v>1</v>
      </c>
      <c r="AC25" s="1560">
        <f>D25/J25</f>
        <v>1</v>
      </c>
    </row>
    <row r="26" spans="1:29" s="1214" customFormat="1" ht="15">
      <c r="A26" s="575"/>
      <c r="B26" s="593"/>
      <c r="C26" s="2554"/>
      <c r="D26" s="553"/>
      <c r="E26" s="552"/>
      <c r="F26" s="553"/>
      <c r="G26" s="552"/>
      <c r="H26" s="553"/>
      <c r="I26" s="574"/>
      <c r="J26" s="553"/>
      <c r="K26" s="529"/>
      <c r="L26" s="2118"/>
      <c r="M26" s="2119"/>
      <c r="N26" s="2119"/>
      <c r="O26" s="2120"/>
      <c r="P26" s="3445"/>
      <c r="Q26" s="1145"/>
      <c r="R26" s="1552"/>
      <c r="S26" s="1553"/>
      <c r="T26" s="1552"/>
      <c r="U26" s="1553"/>
      <c r="V26" s="1552"/>
      <c r="W26" s="1553"/>
      <c r="X26" s="1554"/>
      <c r="Y26" s="3445"/>
      <c r="Z26" s="1144"/>
      <c r="AA26" s="1555">
        <v>1</v>
      </c>
      <c r="AB26" s="1555">
        <v>1</v>
      </c>
      <c r="AC26" s="1555">
        <v>1</v>
      </c>
    </row>
    <row r="27" spans="1:29" s="1214" customFormat="1" ht="28.5">
      <c r="A27" s="575"/>
      <c r="B27" s="2555"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45"/>
      <c r="Q27" s="2540" t="str">
        <f t="shared" ref="Q27" si="9">B27</f>
        <v>基础设施水平</v>
      </c>
      <c r="R27" s="1552" t="s">
        <v>8</v>
      </c>
      <c r="S27" s="1553">
        <f>F27</f>
        <v>100</v>
      </c>
      <c r="T27" s="1552" t="s">
        <v>8</v>
      </c>
      <c r="U27" s="1553">
        <f>H27</f>
        <v>100</v>
      </c>
      <c r="V27" s="1552" t="s">
        <v>8</v>
      </c>
      <c r="W27" s="1553">
        <f>J27</f>
        <v>100</v>
      </c>
      <c r="X27" s="1554"/>
      <c r="Y27" s="3445"/>
      <c r="Z27" s="2537" t="str">
        <f>Q27</f>
        <v>基础设施水平</v>
      </c>
      <c r="AA27" s="1560">
        <f>D27/F27</f>
        <v>1</v>
      </c>
      <c r="AB27" s="1560">
        <f>D27/H27</f>
        <v>1</v>
      </c>
      <c r="AC27" s="1560">
        <f>D27/J27</f>
        <v>1</v>
      </c>
    </row>
    <row r="28" spans="1:29" s="1214" customFormat="1" ht="15">
      <c r="A28" s="575"/>
      <c r="B28" s="593"/>
      <c r="C28" s="2554"/>
      <c r="D28" s="553"/>
      <c r="E28" s="577"/>
      <c r="F28" s="553"/>
      <c r="G28" s="577"/>
      <c r="H28" s="553"/>
      <c r="I28" s="577"/>
      <c r="J28" s="553"/>
      <c r="K28" s="529"/>
      <c r="L28" s="2118"/>
      <c r="M28" s="2119"/>
      <c r="N28" s="2119"/>
      <c r="O28" s="2120"/>
      <c r="P28" s="3445"/>
      <c r="Q28" s="2540"/>
      <c r="R28" s="1552"/>
      <c r="S28" s="1553"/>
      <c r="T28" s="1552"/>
      <c r="U28" s="1553"/>
      <c r="V28" s="1552"/>
      <c r="W28" s="1553"/>
      <c r="X28" s="1554"/>
      <c r="Y28" s="3445"/>
      <c r="Z28" s="2537"/>
      <c r="AA28" s="1555">
        <v>1</v>
      </c>
      <c r="AB28" s="1555">
        <v>1</v>
      </c>
      <c r="AC28" s="1555">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45"/>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45"/>
      <c r="Z29" s="1559" t="str">
        <f t="shared" ref="Z29:Z42" si="13">Q29</f>
        <v>临街状况</v>
      </c>
      <c r="AA29" s="1560">
        <f t="shared" si="3"/>
        <v>1</v>
      </c>
      <c r="AB29" s="1560">
        <f t="shared" si="4"/>
        <v>1</v>
      </c>
      <c r="AC29" s="1560">
        <f t="shared" si="5"/>
        <v>1</v>
      </c>
    </row>
    <row r="30" spans="1:29" ht="27">
      <c r="A30" s="530"/>
      <c r="B30" s="920" t="s">
        <v>548</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45"/>
      <c r="Q30" s="1556" t="str">
        <f t="shared" si="8"/>
        <v>毗邻道路的类型与等级</v>
      </c>
      <c r="R30" s="1557" t="s">
        <v>8</v>
      </c>
      <c r="S30" s="1558">
        <f t="shared" si="10"/>
        <v>100</v>
      </c>
      <c r="T30" s="1557" t="s">
        <v>8</v>
      </c>
      <c r="U30" s="1558">
        <f t="shared" si="11"/>
        <v>100</v>
      </c>
      <c r="V30" s="1557" t="s">
        <v>8</v>
      </c>
      <c r="W30" s="1558">
        <f t="shared" si="12"/>
        <v>100</v>
      </c>
      <c r="X30" s="1551"/>
      <c r="Y30" s="3445"/>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45"/>
      <c r="Q31" s="1556"/>
      <c r="R31" s="1557"/>
      <c r="S31" s="1558"/>
      <c r="T31" s="1557"/>
      <c r="U31" s="1558"/>
      <c r="V31" s="1557"/>
      <c r="W31" s="1558"/>
      <c r="X31" s="1551"/>
      <c r="Y31" s="3445"/>
      <c r="Z31" s="1559"/>
      <c r="AA31" s="1560">
        <v>1</v>
      </c>
      <c r="AB31" s="1560">
        <v>1</v>
      </c>
      <c r="AC31" s="1560">
        <v>1</v>
      </c>
    </row>
    <row r="32" spans="1:29" ht="15">
      <c r="A32" s="530"/>
      <c r="B32" s="525" t="s">
        <v>549</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45"/>
      <c r="Q32" s="1556" t="str">
        <f t="shared" si="8"/>
        <v>土地级别</v>
      </c>
      <c r="R32" s="1557" t="s">
        <v>8</v>
      </c>
      <c r="S32" s="1558">
        <f t="shared" si="10"/>
        <v>100</v>
      </c>
      <c r="T32" s="1557" t="s">
        <v>8</v>
      </c>
      <c r="U32" s="1558">
        <f t="shared" si="11"/>
        <v>100</v>
      </c>
      <c r="V32" s="1557" t="s">
        <v>8</v>
      </c>
      <c r="W32" s="1558">
        <f t="shared" si="12"/>
        <v>100</v>
      </c>
      <c r="X32" s="1551"/>
      <c r="Y32" s="3445"/>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45"/>
      <c r="Q33" s="1556">
        <f t="shared" si="8"/>
        <v>111</v>
      </c>
      <c r="R33" s="1557" t="s">
        <v>8</v>
      </c>
      <c r="S33" s="1558">
        <f t="shared" si="10"/>
        <v>100</v>
      </c>
      <c r="T33" s="1557" t="s">
        <v>8</v>
      </c>
      <c r="U33" s="1558">
        <f t="shared" si="11"/>
        <v>100</v>
      </c>
      <c r="V33" s="1557" t="s">
        <v>8</v>
      </c>
      <c r="W33" s="1558">
        <f t="shared" si="12"/>
        <v>100</v>
      </c>
      <c r="X33" s="1551"/>
      <c r="Y33" s="3445"/>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46" t="s">
        <v>550</v>
      </c>
      <c r="Q34" s="1556">
        <f t="shared" si="8"/>
        <v>111</v>
      </c>
      <c r="R34" s="1557" t="s">
        <v>8</v>
      </c>
      <c r="S34" s="1558">
        <f t="shared" si="10"/>
        <v>100</v>
      </c>
      <c r="T34" s="1557" t="s">
        <v>8</v>
      </c>
      <c r="U34" s="1558">
        <f t="shared" si="11"/>
        <v>100</v>
      </c>
      <c r="V34" s="1557" t="s">
        <v>8</v>
      </c>
      <c r="W34" s="1558">
        <f t="shared" si="12"/>
        <v>100</v>
      </c>
      <c r="X34" s="1551"/>
      <c r="Y34" s="3447" t="s">
        <v>550</v>
      </c>
      <c r="Z34" s="1559">
        <f t="shared" si="13"/>
        <v>111</v>
      </c>
      <c r="AA34" s="1560">
        <f t="shared" si="3"/>
        <v>1</v>
      </c>
      <c r="AB34" s="1560">
        <f t="shared" si="4"/>
        <v>1</v>
      </c>
      <c r="AC34" s="1560">
        <f t="shared" si="5"/>
        <v>1</v>
      </c>
    </row>
    <row r="35" spans="1:29" s="1333"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47"/>
      <c r="Q35" s="1556">
        <f t="shared" si="8"/>
        <v>111</v>
      </c>
      <c r="R35" s="1561" t="s">
        <v>8</v>
      </c>
      <c r="S35" s="1562">
        <f t="shared" si="10"/>
        <v>100</v>
      </c>
      <c r="T35" s="1561" t="s">
        <v>8</v>
      </c>
      <c r="U35" s="1562">
        <f t="shared" si="11"/>
        <v>100</v>
      </c>
      <c r="V35" s="1561" t="s">
        <v>8</v>
      </c>
      <c r="W35" s="1562">
        <f t="shared" si="12"/>
        <v>100</v>
      </c>
      <c r="X35" s="1563"/>
      <c r="Y35" s="3447"/>
      <c r="Z35" s="1564">
        <f t="shared" si="13"/>
        <v>111</v>
      </c>
      <c r="AA35" s="1560">
        <f t="shared" si="3"/>
        <v>1</v>
      </c>
      <c r="AB35" s="1560">
        <f t="shared" si="4"/>
        <v>1</v>
      </c>
      <c r="AC35" s="1560">
        <f t="shared" si="5"/>
        <v>1</v>
      </c>
    </row>
    <row r="36" spans="1:29" ht="15">
      <c r="A36" s="2860" t="s">
        <v>2753</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47"/>
      <c r="Q36" s="1556" t="str">
        <f>B36</f>
        <v>宗地面积</v>
      </c>
      <c r="R36" s="1557" t="s">
        <v>8</v>
      </c>
      <c r="S36" s="1558" t="e">
        <f t="shared" si="10"/>
        <v>#N/A</v>
      </c>
      <c r="T36" s="1557" t="s">
        <v>8</v>
      </c>
      <c r="U36" s="1558" t="e">
        <f t="shared" si="11"/>
        <v>#N/A</v>
      </c>
      <c r="V36" s="1557" t="s">
        <v>8</v>
      </c>
      <c r="W36" s="1558" t="e">
        <f t="shared" si="12"/>
        <v>#N/A</v>
      </c>
      <c r="X36" s="1551"/>
      <c r="Y36" s="3447"/>
      <c r="Z36" s="1559" t="str">
        <f t="shared" si="13"/>
        <v>宗地面积</v>
      </c>
      <c r="AA36" s="1560" t="e">
        <f t="shared" si="3"/>
        <v>#N/A</v>
      </c>
      <c r="AB36" s="1560" t="e">
        <f t="shared" si="4"/>
        <v>#N/A</v>
      </c>
      <c r="AC36" s="1560"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47"/>
      <c r="Q37" s="1556" t="str">
        <f t="shared" ref="Q37:Q42" si="14">B37</f>
        <v>宗地形状</v>
      </c>
      <c r="R37" s="1557" t="s">
        <v>8</v>
      </c>
      <c r="S37" s="1558">
        <f t="shared" si="10"/>
        <v>100</v>
      </c>
      <c r="T37" s="1557" t="s">
        <v>8</v>
      </c>
      <c r="U37" s="1558">
        <f t="shared" si="11"/>
        <v>100</v>
      </c>
      <c r="V37" s="1557" t="s">
        <v>8</v>
      </c>
      <c r="W37" s="1558">
        <f t="shared" si="12"/>
        <v>100</v>
      </c>
      <c r="X37" s="1551"/>
      <c r="Y37" s="3447"/>
      <c r="Z37" s="1559" t="str">
        <f t="shared" si="13"/>
        <v>宗地形状</v>
      </c>
      <c r="AA37" s="1560">
        <f t="shared" si="3"/>
        <v>1</v>
      </c>
      <c r="AB37" s="1560">
        <f t="shared" si="4"/>
        <v>1</v>
      </c>
      <c r="AC37" s="1560">
        <f t="shared" si="5"/>
        <v>1</v>
      </c>
    </row>
    <row r="38" spans="1:29" s="1214" customFormat="1" ht="15">
      <c r="A38" s="598"/>
      <c r="B38" s="1878"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47"/>
      <c r="Q38" s="1556" t="str">
        <f t="shared" si="14"/>
        <v>宗地开发程度</v>
      </c>
      <c r="R38" s="1552" t="s">
        <v>8</v>
      </c>
      <c r="S38" s="1553">
        <f t="shared" si="10"/>
        <v>100</v>
      </c>
      <c r="T38" s="1552" t="s">
        <v>8</v>
      </c>
      <c r="U38" s="1553">
        <f t="shared" si="11"/>
        <v>100</v>
      </c>
      <c r="V38" s="1552" t="s">
        <v>8</v>
      </c>
      <c r="W38" s="1553">
        <f t="shared" si="12"/>
        <v>100</v>
      </c>
      <c r="X38" s="1554"/>
      <c r="Y38" s="3447"/>
      <c r="Z38" s="1144" t="str">
        <f t="shared" si="13"/>
        <v>宗地开发程度</v>
      </c>
      <c r="AA38" s="1555">
        <f t="shared" si="3"/>
        <v>1</v>
      </c>
      <c r="AB38" s="1555">
        <f t="shared" si="4"/>
        <v>1</v>
      </c>
      <c r="AC38" s="1555">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47" t="s">
        <v>601</v>
      </c>
      <c r="Q39" s="1556" t="str">
        <f t="shared" si="14"/>
        <v>工程地质条件</v>
      </c>
      <c r="R39" s="1557" t="s">
        <v>8</v>
      </c>
      <c r="S39" s="1558">
        <f t="shared" si="10"/>
        <v>100</v>
      </c>
      <c r="T39" s="1557" t="s">
        <v>8</v>
      </c>
      <c r="U39" s="1558">
        <f t="shared" si="11"/>
        <v>100</v>
      </c>
      <c r="V39" s="1557" t="s">
        <v>8</v>
      </c>
      <c r="W39" s="1558">
        <f t="shared" si="12"/>
        <v>100</v>
      </c>
      <c r="X39" s="1551"/>
      <c r="Y39" s="3447" t="s">
        <v>601</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47"/>
      <c r="Q40" s="1556">
        <f t="shared" si="14"/>
        <v>111</v>
      </c>
      <c r="R40" s="1557" t="s">
        <v>8</v>
      </c>
      <c r="S40" s="1558">
        <f t="shared" si="10"/>
        <v>100</v>
      </c>
      <c r="T40" s="1557" t="s">
        <v>8</v>
      </c>
      <c r="U40" s="1558">
        <f t="shared" si="11"/>
        <v>100</v>
      </c>
      <c r="V40" s="1557" t="s">
        <v>8</v>
      </c>
      <c r="W40" s="1558">
        <f t="shared" si="12"/>
        <v>100</v>
      </c>
      <c r="X40" s="1551"/>
      <c r="Y40" s="3447"/>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47"/>
      <c r="Q41" s="1556">
        <f t="shared" si="14"/>
        <v>111</v>
      </c>
      <c r="R41" s="1557" t="s">
        <v>8</v>
      </c>
      <c r="S41" s="1558">
        <f t="shared" si="10"/>
        <v>100</v>
      </c>
      <c r="T41" s="1557" t="s">
        <v>8</v>
      </c>
      <c r="U41" s="1558">
        <f t="shared" si="11"/>
        <v>100</v>
      </c>
      <c r="V41" s="1557" t="s">
        <v>8</v>
      </c>
      <c r="W41" s="1558">
        <f t="shared" si="12"/>
        <v>100</v>
      </c>
      <c r="X41" s="1551"/>
      <c r="Y41" s="3447"/>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47"/>
      <c r="Q42" s="1556">
        <f t="shared" si="14"/>
        <v>111</v>
      </c>
      <c r="R42" s="1561" t="s">
        <v>8</v>
      </c>
      <c r="S42" s="1562">
        <f t="shared" si="10"/>
        <v>100</v>
      </c>
      <c r="T42" s="1561" t="s">
        <v>8</v>
      </c>
      <c r="U42" s="1562">
        <f t="shared" si="11"/>
        <v>100</v>
      </c>
      <c r="V42" s="1561" t="s">
        <v>8</v>
      </c>
      <c r="W42" s="1562">
        <f t="shared" si="12"/>
        <v>100</v>
      </c>
      <c r="X42" s="1563"/>
      <c r="Y42" s="3447"/>
      <c r="Z42" s="1564">
        <f t="shared" si="13"/>
        <v>111</v>
      </c>
      <c r="AA42" s="1560">
        <f t="shared" si="3"/>
        <v>1</v>
      </c>
      <c r="AB42" s="1560">
        <f t="shared" si="4"/>
        <v>1</v>
      </c>
      <c r="AC42" s="1560">
        <f t="shared" si="5"/>
        <v>1</v>
      </c>
    </row>
    <row r="43" spans="1:29" ht="15">
      <c r="A43" s="605" t="s">
        <v>556</v>
      </c>
      <c r="B43" s="606" t="s">
        <v>2926</v>
      </c>
      <c r="C43" s="607" t="s">
        <v>1</v>
      </c>
      <c r="D43" s="608"/>
      <c r="E43" s="609"/>
      <c r="F43" s="610"/>
      <c r="G43" s="611"/>
      <c r="H43" s="612"/>
      <c r="I43" s="609"/>
      <c r="J43" s="612"/>
      <c r="K43" s="1334"/>
      <c r="L43" s="2127"/>
      <c r="M43" s="2117"/>
      <c r="N43" s="2117"/>
      <c r="O43" s="2128"/>
      <c r="P43" s="3409" t="str">
        <f>A43</f>
        <v>成交单价</v>
      </c>
      <c r="Q43" s="3409"/>
      <c r="R43" s="3410">
        <f>E43</f>
        <v>0</v>
      </c>
      <c r="S43" s="3410"/>
      <c r="T43" s="3410">
        <f>G43</f>
        <v>0</v>
      </c>
      <c r="U43" s="3410"/>
      <c r="V43" s="3410">
        <f>I43</f>
        <v>0</v>
      </c>
      <c r="W43" s="3410"/>
      <c r="X43" s="1543"/>
      <c r="Y43" s="1565"/>
      <c r="Z43" s="1543"/>
      <c r="AA43" s="1543"/>
      <c r="AB43" s="1543"/>
      <c r="AC43" s="1543"/>
    </row>
    <row r="44" spans="1:29" ht="15.75" thickBot="1">
      <c r="A44" s="613" t="s">
        <v>2691</v>
      </c>
      <c r="B44" s="614"/>
      <c r="C44" s="615" t="e">
        <f>R45</f>
        <v>#DIV/0!</v>
      </c>
      <c r="D44" s="616"/>
      <c r="E44" s="615" t="e">
        <f>R44</f>
        <v>#DIV/0!</v>
      </c>
      <c r="F44" s="617"/>
      <c r="G44" s="618" t="e">
        <f>T44</f>
        <v>#DIV/0!</v>
      </c>
      <c r="H44" s="616"/>
      <c r="I44" s="615" t="e">
        <f>V44</f>
        <v>#DIV/0!</v>
      </c>
      <c r="J44" s="616"/>
      <c r="K44" s="1335"/>
      <c r="L44" s="2127"/>
      <c r="M44" s="2117"/>
      <c r="N44" s="2117"/>
      <c r="O44" s="2128"/>
      <c r="P44" s="3409" t="str">
        <f>A44</f>
        <v>比较价格（元/平方米）</v>
      </c>
      <c r="Q44" s="3409"/>
      <c r="R44" s="3411" t="e">
        <f>ROUND(PRODUCT(R43,AA9:AA42),0)</f>
        <v>#DIV/0!</v>
      </c>
      <c r="S44" s="3411"/>
      <c r="T44" s="3411" t="e">
        <f>ROUND(PRODUCT(T43,AB9:AB42),0)</f>
        <v>#DIV/0!</v>
      </c>
      <c r="U44" s="3411"/>
      <c r="V44" s="3411" t="e">
        <f>ROUND(PRODUCT(V43,AC9:AC42),0)</f>
        <v>#DIV/0!</v>
      </c>
      <c r="W44" s="3411"/>
      <c r="X44" s="1543"/>
      <c r="Y44" s="1543"/>
      <c r="Z44" s="1543"/>
      <c r="AA44" s="1543"/>
      <c r="AB44" s="1543"/>
      <c r="AC44" s="1543"/>
    </row>
    <row r="45" spans="1:29" ht="15.75" thickBot="1">
      <c r="A45" s="619" t="s">
        <v>2927</v>
      </c>
      <c r="B45" s="620"/>
      <c r="C45" s="621" t="e">
        <f>R45</f>
        <v>#DIV/0!</v>
      </c>
      <c r="D45" s="621"/>
      <c r="E45" s="621"/>
      <c r="F45" s="621"/>
      <c r="G45" s="621"/>
      <c r="H45" s="621"/>
      <c r="I45" s="621"/>
      <c r="J45" s="621"/>
      <c r="K45" s="1336"/>
      <c r="L45" s="2127"/>
      <c r="M45" s="2117"/>
      <c r="N45" s="2117"/>
      <c r="O45" s="2128"/>
      <c r="P45" s="3406" t="str">
        <f>A45</f>
        <v>估价对象XX用房的比较价格（楼面单价，元/平方米）</v>
      </c>
      <c r="Q45" s="3407"/>
      <c r="R45" s="3408" t="e">
        <f>ROUND(AVERAGE(R44:V44),0)</f>
        <v>#DIV/0!</v>
      </c>
      <c r="S45" s="3408"/>
      <c r="T45" s="3408"/>
      <c r="U45" s="3408"/>
      <c r="V45" s="3408"/>
      <c r="W45" s="3408"/>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560</v>
      </c>
      <c r="B52" s="628" t="s">
        <v>561</v>
      </c>
      <c r="C52" s="1544" t="s">
        <v>1724</v>
      </c>
      <c r="D52" s="2210" t="s">
        <v>2292</v>
      </c>
      <c r="E52" s="629" t="s">
        <v>562</v>
      </c>
      <c r="F52" s="1934" t="s">
        <v>563</v>
      </c>
      <c r="G52" s="3455" t="s">
        <v>2283</v>
      </c>
      <c r="H52" s="3456"/>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1" t="s">
        <v>564</v>
      </c>
      <c r="B53" s="632" t="e">
        <f>C45</f>
        <v>#DIV/0!</v>
      </c>
      <c r="C53" s="633">
        <v>1</v>
      </c>
      <c r="D53" s="2211">
        <v>1</v>
      </c>
      <c r="E53" s="633">
        <f>'数据-汇总表'!E8+'数据-汇总表'!E9</f>
        <v>275334.25</v>
      </c>
      <c r="F53" s="1933" t="e">
        <f t="shared" ref="F53:F62" si="15">ROUND(B53*E53/10000,0)</f>
        <v>#DIV/0!</v>
      </c>
      <c r="G53" s="3457"/>
      <c r="H53" s="3458"/>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5" t="s">
        <v>565</v>
      </c>
      <c r="B54" s="636" t="e">
        <f>ROUND($C$45*C54*D54,0)</f>
        <v>#DIV/0!</v>
      </c>
      <c r="C54" s="376">
        <f t="shared" ref="C54:C62" si="16">IF($C$52="北京市系数",I54,J54)</f>
        <v>0</v>
      </c>
      <c r="D54" s="2212">
        <v>0.25</v>
      </c>
      <c r="E54" s="637"/>
      <c r="F54" s="1933" t="e">
        <f t="shared" si="15"/>
        <v>#DIV/0!</v>
      </c>
      <c r="G54" s="3459"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5" t="s">
        <v>566</v>
      </c>
      <c r="B55" s="636" t="e">
        <f t="shared" ref="B55:B62" si="17">ROUND($C$45*C55*D55,0)</f>
        <v>#DIV/0!</v>
      </c>
      <c r="C55" s="376">
        <f t="shared" si="16"/>
        <v>0</v>
      </c>
      <c r="D55" s="2212">
        <v>0.25</v>
      </c>
      <c r="E55" s="637"/>
      <c r="F55" s="1933" t="e">
        <f t="shared" si="15"/>
        <v>#DIV/0!</v>
      </c>
      <c r="G55" s="3459"/>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5" t="s">
        <v>567</v>
      </c>
      <c r="B56" s="636" t="e">
        <f t="shared" si="17"/>
        <v>#DIV/0!</v>
      </c>
      <c r="C56" s="376">
        <f t="shared" si="16"/>
        <v>0</v>
      </c>
      <c r="D56" s="2212">
        <v>0.25</v>
      </c>
      <c r="E56" s="637"/>
      <c r="F56" s="1933" t="e">
        <f t="shared" si="15"/>
        <v>#DIV/0!</v>
      </c>
      <c r="G56" s="3459"/>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5" t="s">
        <v>568</v>
      </c>
      <c r="B57" s="636" t="e">
        <f t="shared" si="17"/>
        <v>#DIV/0!</v>
      </c>
      <c r="C57" s="376">
        <f t="shared" si="16"/>
        <v>0</v>
      </c>
      <c r="D57" s="2212">
        <v>0.25</v>
      </c>
      <c r="E57" s="637"/>
      <c r="F57" s="1933" t="e">
        <f t="shared" si="15"/>
        <v>#DIV/0!</v>
      </c>
      <c r="G57" s="3459"/>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2327</v>
      </c>
      <c r="B58" s="636" t="e">
        <f t="shared" si="17"/>
        <v>#DIV/0!</v>
      </c>
      <c r="C58" s="376">
        <f t="shared" si="16"/>
        <v>0</v>
      </c>
      <c r="D58" s="2212">
        <v>0.25</v>
      </c>
      <c r="E58" s="639">
        <f>'数据-汇总表'!E11</f>
        <v>147</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569</v>
      </c>
      <c r="B59" s="636" t="e">
        <f t="shared" si="17"/>
        <v>#DIV/0!</v>
      </c>
      <c r="C59" s="376">
        <f t="shared" si="16"/>
        <v>0</v>
      </c>
      <c r="D59" s="2212">
        <v>0.25</v>
      </c>
      <c r="E59" s="639">
        <f>'数据-汇总表'!E12</f>
        <v>2440.73</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570</v>
      </c>
      <c r="B60" s="636" t="e">
        <f t="shared" si="17"/>
        <v>#DIV/0!</v>
      </c>
      <c r="C60" s="376">
        <f t="shared" si="16"/>
        <v>0.15</v>
      </c>
      <c r="D60" s="2212">
        <v>0.25</v>
      </c>
      <c r="E60" s="639">
        <f>'数据-汇总表'!E13</f>
        <v>81890.259999999995</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571</v>
      </c>
      <c r="B61" s="636" t="e">
        <f t="shared" si="17"/>
        <v>#DIV/0!</v>
      </c>
      <c r="C61" s="376">
        <f t="shared" si="16"/>
        <v>0</v>
      </c>
      <c r="D61" s="2212">
        <v>0.25</v>
      </c>
      <c r="E61" s="639">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5" t="s">
        <v>572</v>
      </c>
      <c r="B62" s="636" t="e">
        <f t="shared" si="17"/>
        <v>#DIV/0!</v>
      </c>
      <c r="C62" s="376">
        <f t="shared" si="16"/>
        <v>0</v>
      </c>
      <c r="D62" s="2212">
        <v>0.25</v>
      </c>
      <c r="E62" s="639">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0" t="s">
        <v>573</v>
      </c>
      <c r="B63" s="641" t="s">
        <v>17</v>
      </c>
      <c r="C63" s="641" t="s">
        <v>18</v>
      </c>
      <c r="D63" s="641" t="s">
        <v>2293</v>
      </c>
      <c r="E63" s="641">
        <f>IF(B43="楼面地价",SUM(E53:E62),'数据-汇总表'!D3)</f>
        <v>142581.63</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2019-12-1</v>
      </c>
      <c r="D65" s="2752">
        <f>EDATE(C65,-3)</f>
        <v>43709</v>
      </c>
      <c r="E65" s="2752">
        <f t="shared" ref="E65:N65" si="18">EDATE(D65,-3)</f>
        <v>43617</v>
      </c>
      <c r="F65" s="2752">
        <f t="shared" si="18"/>
        <v>43525</v>
      </c>
      <c r="G65" s="2752">
        <f t="shared" si="18"/>
        <v>43435</v>
      </c>
      <c r="H65" s="2752">
        <f t="shared" si="18"/>
        <v>43344</v>
      </c>
      <c r="I65" s="2752">
        <f t="shared" si="18"/>
        <v>43252</v>
      </c>
      <c r="J65" s="2752">
        <f t="shared" si="18"/>
        <v>43160</v>
      </c>
      <c r="K65" s="2752">
        <f t="shared" si="18"/>
        <v>43070</v>
      </c>
      <c r="L65" s="2752">
        <f t="shared" si="18"/>
        <v>42979</v>
      </c>
      <c r="M65" s="2752">
        <f t="shared" si="18"/>
        <v>42887</v>
      </c>
      <c r="N65" s="2752">
        <f t="shared" si="18"/>
        <v>42795</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2532</v>
      </c>
      <c r="B67" s="644"/>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2647</v>
      </c>
      <c r="B68" s="477" t="str">
        <f>"北京市平均增长率"&amp;TEXT(基准地价!P24,"0.00%")</f>
        <v>北京市平均增长率1.38%</v>
      </c>
      <c r="C68" s="892">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1" t="s">
        <v>575</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7" t="s">
        <v>531</v>
      </c>
      <c r="B70" s="646"/>
      <c r="C70" s="658" t="s">
        <v>576</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577</v>
      </c>
      <c r="B72" s="663" t="s">
        <v>534</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537</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539</v>
      </c>
      <c r="B85" s="663" t="s">
        <v>602</v>
      </c>
      <c r="C85" s="701" t="s">
        <v>579</v>
      </c>
      <c r="D85" s="701" t="s">
        <v>580</v>
      </c>
      <c r="E85" s="701" t="s">
        <v>581</v>
      </c>
      <c r="F85" s="701" t="s">
        <v>582</v>
      </c>
      <c r="G85" s="701" t="s">
        <v>583</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586</v>
      </c>
      <c r="C87" s="706" t="s">
        <v>579</v>
      </c>
      <c r="D87" s="706" t="s">
        <v>580</v>
      </c>
      <c r="E87" s="706" t="s">
        <v>581</v>
      </c>
      <c r="F87" s="706" t="s">
        <v>582</v>
      </c>
      <c r="G87" s="706" t="s">
        <v>583</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5"/>
      <c r="B93" s="1879" t="s">
        <v>2547</v>
      </c>
      <c r="C93" s="701" t="s">
        <v>579</v>
      </c>
      <c r="D93" s="701" t="s">
        <v>580</v>
      </c>
      <c r="E93" s="701" t="s">
        <v>581</v>
      </c>
      <c r="F93" s="701" t="s">
        <v>582</v>
      </c>
      <c r="G93" s="701" t="s">
        <v>583</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5"/>
      <c r="B95" s="2559" t="s">
        <v>2549</v>
      </c>
      <c r="C95" s="2560" t="s">
        <v>2550</v>
      </c>
      <c r="D95" s="2560" t="s">
        <v>2551</v>
      </c>
      <c r="E95" s="2560" t="s">
        <v>2552</v>
      </c>
      <c r="F95" s="2560" t="s">
        <v>2553</v>
      </c>
      <c r="G95" s="2560" t="s">
        <v>2554</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589</v>
      </c>
      <c r="D97" s="672" t="s">
        <v>590</v>
      </c>
      <c r="E97" s="672" t="s">
        <v>591</v>
      </c>
      <c r="F97" s="672" t="s">
        <v>592</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548</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549</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7" t="str">
        <f t="shared" si="25"/>
        <v>(含)-</v>
      </c>
      <c r="L109" s="3038" t="str">
        <f t="shared" si="25"/>
        <v>(含)-</v>
      </c>
      <c r="M109" s="3039"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594</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6"/>
      <c r="B114" s="1879" t="s">
        <v>2424</v>
      </c>
      <c r="C114" s="1370"/>
      <c r="D114" s="1370"/>
      <c r="E114" s="1370"/>
      <c r="F114" s="1370"/>
      <c r="G114" s="1370"/>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596</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17" sqref="D17"/>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2425</v>
      </c>
      <c r="D1" s="1506">
        <f>SUM(D29:D30,D33:D39)</f>
        <v>0</v>
      </c>
      <c r="E1" s="1400" t="s">
        <v>2426</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920</v>
      </c>
      <c r="B2" s="1036">
        <f ca="1">C26</f>
        <v>0</v>
      </c>
      <c r="C2" s="1401" t="s">
        <v>921</v>
      </c>
      <c r="D2" s="1402" t="s">
        <v>922</v>
      </c>
      <c r="E2" s="1403" t="s">
        <v>923</v>
      </c>
      <c r="F2" s="1402" t="s">
        <v>924</v>
      </c>
      <c r="G2" s="1635" t="str">
        <f>IF(E2="商业",项目基本情况!B43,IF(E2="办公",项目基本情况!C43,IF(E2="住宅",项目基本情况!D43,项目基本情况!E43)))</f>
        <v>九级</v>
      </c>
      <c r="H2" s="1402" t="s">
        <v>926</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-323</v>
      </c>
      <c r="U2" s="2879"/>
      <c r="V2" s="2890">
        <f ca="1">ROUND(T2*U2/10000,0)</f>
        <v>0</v>
      </c>
      <c r="W2" s="2172"/>
      <c r="X2" s="2172"/>
      <c r="Y2" s="2172"/>
      <c r="Z2" s="2172"/>
      <c r="AA2" s="2172"/>
      <c r="AB2" s="2172"/>
      <c r="AC2" s="2173"/>
    </row>
    <row r="3" spans="1:39" ht="24">
      <c r="A3" s="1405" t="s">
        <v>1687</v>
      </c>
      <c r="B3" s="1036" t="e">
        <f ca="1">ROUND(B2*10000/D1,0)</f>
        <v>#DIV/0!</v>
      </c>
      <c r="C3" s="1401" t="s">
        <v>927</v>
      </c>
      <c r="D3" s="1402" t="s">
        <v>928</v>
      </c>
      <c r="E3" s="1406" t="s">
        <v>3093</v>
      </c>
      <c r="F3" s="1407" t="s">
        <v>3092</v>
      </c>
      <c r="G3" s="1037">
        <f>IF(F3="宗地容积率",'数据-汇总表'!I4,IF(F3="估价对象容积率",'数据-汇总表'!I6,'数据-汇总表'!I7))</f>
        <v>2</v>
      </c>
      <c r="H3" s="1408" t="s">
        <v>929</v>
      </c>
      <c r="I3" s="1038"/>
      <c r="J3" s="1404" t="s">
        <v>930</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-213</v>
      </c>
      <c r="U3" s="2879"/>
      <c r="V3" s="2890">
        <f t="shared" ref="V3:V16" ca="1" si="1">ROUND(T3*U3/10000,0)</f>
        <v>0</v>
      </c>
      <c r="W3" s="2172"/>
      <c r="X3" s="2172"/>
      <c r="Y3" s="2172"/>
      <c r="Z3" s="2172"/>
      <c r="AA3" s="2172"/>
      <c r="AB3" s="2172"/>
      <c r="AC3" s="2173"/>
    </row>
    <row r="4" spans="1:39" ht="28.5">
      <c r="A4" s="1874" t="s">
        <v>2279</v>
      </c>
      <c r="B4" s="2415" t="e">
        <f ca="1">ROUND(B2*10000/F1,0)</f>
        <v>#DIV/0!</v>
      </c>
      <c r="C4" s="1877" t="s">
        <v>2253</v>
      </c>
      <c r="D4" s="1877" t="e">
        <f ca="1">ROUND(B2/(F1/666.67),0)</f>
        <v>#DIV/0!</v>
      </c>
      <c r="E4" s="1877" t="s">
        <v>2254</v>
      </c>
      <c r="F4" s="1875"/>
      <c r="G4" s="1875"/>
      <c r="H4" s="1875"/>
      <c r="I4" s="1875"/>
      <c r="J4" s="1876"/>
      <c r="K4" s="3141"/>
      <c r="L4" s="1868" t="s">
        <v>2240</v>
      </c>
      <c r="M4" s="1869">
        <f>SUMPRODUCT((区片价!B49:B75=I2)*(区片价!C3:F3=E2)*(区片价!C49:F75))</f>
        <v>0</v>
      </c>
      <c r="N4" s="1870">
        <f>SUMPRODUCT((因素修正幅度!B49:B75=I2)*(因素修正幅度!C3:F3=E2)*(因素修正幅度!C49:F75))</f>
        <v>0</v>
      </c>
      <c r="O4" s="3141"/>
      <c r="P4" s="1395"/>
      <c r="Q4" s="2172"/>
      <c r="R4" s="2890">
        <v>3</v>
      </c>
      <c r="S4" s="2890">
        <f>ROUND(IF(G3&gt;1,IF(R4&lt;7,SUMPRODUCT((B93:B98=R4)*(C92:N92=G2)*(C93:N98)),SUMIF(C92:N92,G2,C100:N100)),IF(R4&lt;7,SUMPRODUCT((B102:B107=R4)*(C92:N92=G2)*(C102:N107)),SUMIF(C92:N92,G2,C109:N109))),4)</f>
        <v>1.0072000000000001</v>
      </c>
      <c r="T4" s="2890">
        <f t="shared" ca="1" si="0"/>
        <v>-167</v>
      </c>
      <c r="U4" s="2879"/>
      <c r="V4" s="2890">
        <f t="shared" ca="1" si="1"/>
        <v>0</v>
      </c>
      <c r="W4" s="2172"/>
      <c r="X4" s="2172"/>
      <c r="Y4" s="2172"/>
      <c r="Z4" s="2172"/>
      <c r="AA4" s="2172"/>
      <c r="AB4" s="2172"/>
      <c r="AC4" s="2173"/>
    </row>
    <row r="5" spans="1:39" s="1415" customFormat="1" ht="15.75" thickBot="1">
      <c r="A5" s="1621" t="s">
        <v>1823</v>
      </c>
      <c r="B5" s="1409" t="s">
        <v>931</v>
      </c>
      <c r="C5" s="1039">
        <f>ROUND(IF(E2="商业",C6*C7+C16,(IF(E2="住宅",C6*C12+C16,C6+C16))),0)</f>
        <v>-103</v>
      </c>
      <c r="D5" s="3065">
        <f>ROUND(C6+C16,0)</f>
        <v>-103</v>
      </c>
      <c r="E5" s="3065"/>
      <c r="F5" s="1410"/>
      <c r="G5" s="1411"/>
      <c r="H5" s="1411"/>
      <c r="I5" s="1411"/>
      <c r="J5" s="1412"/>
      <c r="K5" s="3142"/>
      <c r="L5" s="1868" t="s">
        <v>2241</v>
      </c>
      <c r="M5" s="1869">
        <f>SUMPRODUCT((区片价!B76:B109=I2)*(区片价!C3:F3=E2)*(区片价!C76:F109))</f>
        <v>0</v>
      </c>
      <c r="N5" s="1870">
        <f>SUMPRODUCT((因素修正幅度!B76:B109=I2)*(因素修正幅度!C3:F3=E2)*(因素修正幅度!C76:F109))</f>
        <v>0</v>
      </c>
      <c r="O5" s="3142"/>
      <c r="P5" s="1578"/>
      <c r="Q5" s="2172"/>
      <c r="R5" s="2890">
        <v>4</v>
      </c>
      <c r="S5" s="2890">
        <f>ROUND(IF(G3&gt;1,IF(R5&lt;7,SUMPRODUCT((B93:B98=R5)*(C92:N92=G2)*(C93:N98)),SUMIF(C92:N92,G2,C100:N100)),IF(R5&lt;7,SUMPRODUCT((B102:B107=R5)*(C92:N92=G2)*(C102:N107)),SUMIF(C92:N92,G2,C109:N109))),4)</f>
        <v>0.75249999999999995</v>
      </c>
      <c r="T5" s="2890">
        <f t="shared" ca="1" si="0"/>
        <v>-125</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0">
        <f>SUMIF(L1:L12,基准地价!G2,M1:M12)</f>
        <v>0</v>
      </c>
      <c r="D6" s="1417" t="s">
        <v>1695</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-94</v>
      </c>
      <c r="U6" s="2879"/>
      <c r="V6" s="2890">
        <f t="shared" ca="1" si="1"/>
        <v>0</v>
      </c>
      <c r="W6" s="2172"/>
      <c r="X6" s="2172"/>
      <c r="Y6" s="2172"/>
      <c r="Z6" s="2172"/>
      <c r="AA6" s="2172"/>
      <c r="AB6" s="2172"/>
      <c r="AC6" s="2174"/>
      <c r="AD6" s="1413"/>
      <c r="AE6" s="1413"/>
      <c r="AF6" s="1413"/>
      <c r="AG6" s="1413"/>
      <c r="AH6" s="1413"/>
      <c r="AI6" s="1413"/>
      <c r="AJ6" s="1414"/>
    </row>
    <row r="7" spans="1:39" ht="24">
      <c r="A7" s="3471" t="str">
        <f>IF(E2="商业",IF(C8="不临58条商业街","",2),"")</f>
        <v/>
      </c>
      <c r="B7" s="1421" t="s">
        <v>932</v>
      </c>
      <c r="C7" s="1041" t="e">
        <f>IF(C8="不临58条商业街",1,ROUND(1+(1.6*E8+1.2*E9+0.8*E10+0.4*E11)*C9,4))</f>
        <v>#DIV/0!</v>
      </c>
      <c r="D7" s="1422" t="s">
        <v>933</v>
      </c>
      <c r="E7" s="1042"/>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-75</v>
      </c>
      <c r="U7" s="2879"/>
      <c r="V7" s="2890">
        <f t="shared" ca="1" si="1"/>
        <v>0</v>
      </c>
      <c r="W7" s="2888" t="s">
        <v>2763</v>
      </c>
      <c r="X7" s="2880" t="str">
        <f>G2</f>
        <v>九级</v>
      </c>
      <c r="Y7" s="2880" t="s">
        <v>2764</v>
      </c>
      <c r="Z7" s="2881">
        <f>G3</f>
        <v>2</v>
      </c>
      <c r="AA7" s="2175"/>
      <c r="AB7" s="2175"/>
      <c r="AC7" s="2176"/>
      <c r="AD7" s="2882"/>
      <c r="AE7" s="2882"/>
      <c r="AF7" s="2882"/>
      <c r="AG7" s="2882"/>
      <c r="AH7" s="2882"/>
      <c r="AI7" s="2882"/>
      <c r="AJ7" s="2883"/>
    </row>
    <row r="8" spans="1:39" ht="15">
      <c r="A8" s="3472"/>
      <c r="B8" s="1408" t="s">
        <v>934</v>
      </c>
      <c r="C8" s="1514"/>
      <c r="D8" s="1043" t="s">
        <v>935</v>
      </c>
      <c r="E8" s="1044" t="e">
        <f>ROUND(C11/E7,4)</f>
        <v>#DIV/0!</v>
      </c>
      <c r="F8" s="1426" t="s">
        <v>936</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461" t="s">
        <v>2781</v>
      </c>
      <c r="X8" s="3462"/>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72"/>
      <c r="B9" s="1408" t="s">
        <v>937</v>
      </c>
      <c r="C9" s="1045">
        <f>SUMIF(修正!C59:C119,C8,修正!E59:E119)</f>
        <v>0</v>
      </c>
      <c r="D9" s="1046" t="s">
        <v>938</v>
      </c>
      <c r="E9" s="1046" t="e">
        <f>ROUND(C11/E7,4)</f>
        <v>#DIV/0!</v>
      </c>
      <c r="F9" s="1426" t="s">
        <v>939</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f t="shared" ca="1" si="0"/>
        <v>0</v>
      </c>
      <c r="U9" s="2879"/>
      <c r="V9" s="2890">
        <f t="shared" ca="1" si="1"/>
        <v>0</v>
      </c>
      <c r="W9" s="3460" t="s">
        <v>2777</v>
      </c>
      <c r="X9" s="2884" t="s">
        <v>2778</v>
      </c>
      <c r="Y9" s="3043"/>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72"/>
      <c r="B10" s="1408" t="s">
        <v>940</v>
      </c>
      <c r="C10" s="1046">
        <f>SUMIF(修正!C59:C119,C8,修正!F59:F119)</f>
        <v>0</v>
      </c>
      <c r="D10" s="1046" t="s">
        <v>941</v>
      </c>
      <c r="E10" s="1046" t="e">
        <f>ROUND(C11/E7,4)</f>
        <v>#DIV/0!</v>
      </c>
      <c r="F10" s="1426" t="s">
        <v>942</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46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72"/>
      <c r="B11" s="1429" t="s">
        <v>943</v>
      </c>
      <c r="C11" s="1047">
        <f>C10/4</f>
        <v>0</v>
      </c>
      <c r="D11" s="1047" t="s">
        <v>944</v>
      </c>
      <c r="E11" s="1047" t="e">
        <f>ROUND(C11/E7,4)</f>
        <v>#DIV/0!</v>
      </c>
      <c r="F11" s="1430" t="s">
        <v>945</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460" t="s">
        <v>2779</v>
      </c>
      <c r="X11" s="1046" t="s">
        <v>2764</v>
      </c>
      <c r="Y11" s="1636">
        <f>$G$3</f>
        <v>2</v>
      </c>
      <c r="Z11" s="1636">
        <f t="shared" ref="Z11:AJ11" si="3">$G$3</f>
        <v>2</v>
      </c>
      <c r="AA11" s="1636">
        <f t="shared" si="3"/>
        <v>2</v>
      </c>
      <c r="AB11" s="1636">
        <f t="shared" si="3"/>
        <v>2</v>
      </c>
      <c r="AC11" s="1636">
        <f t="shared" si="3"/>
        <v>2</v>
      </c>
      <c r="AD11" s="1636">
        <f t="shared" si="3"/>
        <v>2</v>
      </c>
      <c r="AE11" s="1636">
        <f t="shared" si="3"/>
        <v>2</v>
      </c>
      <c r="AF11" s="1636">
        <f t="shared" si="3"/>
        <v>2</v>
      </c>
      <c r="AG11" s="1636">
        <f t="shared" si="3"/>
        <v>2</v>
      </c>
      <c r="AH11" s="1636">
        <f t="shared" si="3"/>
        <v>2</v>
      </c>
      <c r="AI11" s="1636">
        <f t="shared" si="3"/>
        <v>2</v>
      </c>
      <c r="AJ11" s="1636">
        <f t="shared" si="3"/>
        <v>2</v>
      </c>
    </row>
    <row r="12" spans="1:39" ht="25.5" thickBot="1">
      <c r="A12" s="3471" t="s">
        <v>1871</v>
      </c>
      <c r="B12" s="1433" t="s">
        <v>946</v>
      </c>
      <c r="C12" s="1041">
        <f>ROUND(C15*D15*E15*F15*G15*H15*I15*J15,4)</f>
        <v>1</v>
      </c>
      <c r="D12" s="1434" t="s">
        <v>947</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460"/>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73"/>
      <c r="B13" s="1438" t="s">
        <v>1696</v>
      </c>
      <c r="C13" s="1439" t="s">
        <v>1697</v>
      </c>
      <c r="D13" s="1083" t="s">
        <v>1698</v>
      </c>
      <c r="E13" s="1083" t="s">
        <v>1699</v>
      </c>
      <c r="F13" s="1440" t="s">
        <v>948</v>
      </c>
      <c r="G13" s="1441" t="s">
        <v>1642</v>
      </c>
      <c r="H13" s="1442" t="s">
        <v>1642</v>
      </c>
      <c r="I13" s="1443" t="s">
        <v>1642</v>
      </c>
      <c r="J13" s="1444" t="s">
        <v>1642</v>
      </c>
      <c r="K13" s="3157"/>
      <c r="L13" s="3157"/>
      <c r="M13" s="3157"/>
      <c r="N13" s="3157"/>
      <c r="O13" s="3157"/>
      <c r="P13" s="1395"/>
      <c r="Q13" s="2172"/>
      <c r="R13" s="2890">
        <v>12</v>
      </c>
      <c r="S13" s="2879"/>
      <c r="T13" s="2890">
        <f t="shared" ca="1" si="0"/>
        <v>0</v>
      </c>
      <c r="U13" s="2879"/>
      <c r="V13" s="2890">
        <f t="shared" ca="1" si="1"/>
        <v>0</v>
      </c>
      <c r="W13" s="3460"/>
      <c r="X13" s="2887"/>
      <c r="Y13" s="2886">
        <f>(-0.163*(Y12^2)-0.59*Y12+7617)*(10^(-4))/Y11</f>
        <v>0.38085000000000002</v>
      </c>
      <c r="Z13" s="2886">
        <f t="shared" ref="Z13:AJ13" si="5">(-0.163*(Z12^2)-0.59*Z12+7617)*(10^(-4))/Z11</f>
        <v>0.38085000000000002</v>
      </c>
      <c r="AA13" s="2886">
        <f t="shared" si="5"/>
        <v>0.38085000000000002</v>
      </c>
      <c r="AB13" s="2886">
        <f t="shared" si="5"/>
        <v>0.38085000000000002</v>
      </c>
      <c r="AC13" s="2886">
        <f t="shared" si="5"/>
        <v>0.38085000000000002</v>
      </c>
      <c r="AD13" s="2886">
        <f t="shared" si="5"/>
        <v>0.38085000000000002</v>
      </c>
      <c r="AE13" s="2886">
        <f t="shared" si="5"/>
        <v>0.38085000000000002</v>
      </c>
      <c r="AF13" s="2886">
        <f t="shared" si="5"/>
        <v>0.38085000000000002</v>
      </c>
      <c r="AG13" s="2886">
        <f t="shared" si="5"/>
        <v>0.38085000000000002</v>
      </c>
      <c r="AH13" s="2886">
        <f t="shared" si="5"/>
        <v>0.38085000000000002</v>
      </c>
      <c r="AI13" s="2886">
        <f t="shared" si="5"/>
        <v>0.38085000000000002</v>
      </c>
      <c r="AJ13" s="2886">
        <f t="shared" si="5"/>
        <v>0.38085000000000002</v>
      </c>
    </row>
    <row r="14" spans="1:39" ht="12.75" customHeight="1">
      <c r="A14" s="3473"/>
      <c r="B14" s="1445"/>
      <c r="C14" s="1446"/>
      <c r="D14" s="1447"/>
      <c r="E14" s="1447"/>
      <c r="F14" s="1448"/>
      <c r="G14" s="1449" t="s">
        <v>949</v>
      </c>
      <c r="H14" s="1450"/>
      <c r="I14" s="1451"/>
      <c r="J14" s="1452"/>
      <c r="K14" s="3143"/>
      <c r="L14" s="3143"/>
      <c r="M14" s="3143"/>
      <c r="N14" s="3143"/>
      <c r="O14" s="3143"/>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474"/>
      <c r="B15" s="3162" t="s">
        <v>1700</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471" t="s">
        <v>1838</v>
      </c>
      <c r="B16" s="1421" t="s">
        <v>950</v>
      </c>
      <c r="C16" s="1050">
        <f>ROUND(IF(F17="与级别开发程度一致",0,(G17-E17)/C17),0)</f>
        <v>-103</v>
      </c>
      <c r="D16" s="3468" t="s">
        <v>954</v>
      </c>
      <c r="E16" s="3469"/>
      <c r="F16" s="3468" t="s">
        <v>951</v>
      </c>
      <c r="G16" s="3469"/>
      <c r="H16" s="1453"/>
      <c r="I16" s="1453"/>
      <c r="J16" s="1453"/>
      <c r="K16" s="1453"/>
      <c r="L16" s="1453"/>
      <c r="M16" s="1453"/>
      <c r="N16" s="1453"/>
      <c r="O16" s="3167"/>
      <c r="P16" s="1395"/>
      <c r="Q16" s="2175"/>
      <c r="R16" s="2890">
        <v>15</v>
      </c>
      <c r="S16" s="2879"/>
      <c r="T16" s="2890">
        <f t="shared" ca="1" si="0"/>
        <v>0</v>
      </c>
      <c r="U16" s="2879"/>
      <c r="V16" s="2890">
        <f t="shared" ca="1" si="1"/>
        <v>0</v>
      </c>
      <c r="W16" s="2175"/>
      <c r="X16" s="2175"/>
      <c r="Y16" s="2175"/>
      <c r="Z16" s="2175"/>
      <c r="AA16" s="2175"/>
      <c r="AB16" s="2175"/>
      <c r="AC16" s="2176"/>
    </row>
    <row r="17" spans="1:40" ht="13.5" thickBot="1">
      <c r="A17" s="3475"/>
      <c r="B17" s="3168" t="s">
        <v>953</v>
      </c>
      <c r="C17" s="3169">
        <f>SUMPRODUCT((修正!A2:A5=E2)*(修正!B1:M1=G2)*(修正!B2:M5))</f>
        <v>1.5</v>
      </c>
      <c r="D17" s="3170" t="str">
        <f>IF(OR(G2="八级",G2="九级",G2="十级",G2="十一级",G2="十二级"),"五通一平","七通一平")</f>
        <v>五通一平</v>
      </c>
      <c r="E17" s="3160">
        <f>SUMPRODUCT((修正!B1:M1=G2)*(修正!B15:M15))</f>
        <v>155</v>
      </c>
      <c r="F17" s="3161"/>
      <c r="G17" s="3160">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1">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3" t="s">
        <v>955</v>
      </c>
      <c r="C18" s="3164">
        <f>SUMIF(修正!C18:C39,E3,修正!E18:E39)</f>
        <v>1</v>
      </c>
      <c r="D18" s="3165"/>
      <c r="E18" s="3166"/>
      <c r="F18" s="3148"/>
      <c r="G18" s="3142"/>
      <c r="H18" s="3142"/>
      <c r="I18" s="3142"/>
      <c r="J18" s="3156"/>
      <c r="K18" s="3142"/>
      <c r="L18" s="3142"/>
      <c r="M18" s="3142"/>
      <c r="N18" s="3142"/>
      <c r="O18" s="3142"/>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1">
        <f>ROUND(IF(H19="按公示增长率计算",SUMPRODUCT((地价!A3:A28=YEAR(G19)&amp;"-"&amp;ROUNDUP(MONTH(G19)/3,0))*(地价!X2:AB2=E2)*(地价!X3:AB28)),IF(H19="地价指数",M20/M19,(1+I19)^O19)),4)</f>
        <v>1.6133999999999999</v>
      </c>
      <c r="D19" s="1460" t="s">
        <v>957</v>
      </c>
      <c r="E19" s="1052">
        <v>41640</v>
      </c>
      <c r="F19" s="1460" t="s">
        <v>958</v>
      </c>
      <c r="G19" s="1053">
        <f>'数据-取费表'!B2</f>
        <v>43830</v>
      </c>
      <c r="H19" s="1461" t="s">
        <v>2985</v>
      </c>
      <c r="I19" s="2738" t="str">
        <f>IF(H19="季度增幅（自定义）",SUMIF(N21:N24,E2,O21:O24),"")</f>
        <v/>
      </c>
      <c r="J19" s="1457"/>
      <c r="K19" s="3142"/>
      <c r="L19" s="2987" t="s">
        <v>2839</v>
      </c>
      <c r="M19" s="2988">
        <f>ROUND(SUMIF(地价!B2:F2,E2,地价!B28:F28),0)</f>
        <v>423</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0.99970000000000003</v>
      </c>
      <c r="D20" s="2735" t="s">
        <v>972</v>
      </c>
      <c r="E20" s="3040">
        <f ca="1">存贷款利率!I4/100</f>
        <v>4.3499999999999997E-2</v>
      </c>
      <c r="F20" s="2735" t="s">
        <v>973</v>
      </c>
      <c r="G20" s="2736">
        <f ca="1">SUMIF(M26:P26,E2,M28:P28)</f>
        <v>0.05</v>
      </c>
      <c r="H20" s="2735" t="s">
        <v>974</v>
      </c>
      <c r="I20" s="2731">
        <f>SUMIF('数据-取费表'!C6:C15,E2,'数据-取费表'!F6:F15)/COUNTIF('数据-取费表'!C6:C15,E2)</f>
        <v>69.81</v>
      </c>
      <c r="J20" s="2737">
        <f>IF(E2="住宅",70,IF(E2="商业",40,50))</f>
        <v>70</v>
      </c>
      <c r="K20" s="3144"/>
      <c r="L20" s="2989" t="s">
        <v>2840</v>
      </c>
      <c r="M20" s="3151">
        <f>ROUND(SUMPRODUCT((地价!A4:A28=YEAR(G19)&amp;"-"&amp;ROUNDUP(MONTH(G19)/3,0))*(地价!B2:F2=E2)*(地价!B4:F28)),0)</f>
        <v>682</v>
      </c>
      <c r="N20" s="2743" t="s">
        <v>2644</v>
      </c>
      <c r="O20" s="2741" t="s">
        <v>2643</v>
      </c>
      <c r="P20" s="2742" t="s">
        <v>2648</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2759</v>
      </c>
      <c r="C21" s="1152">
        <f>IF(B21="容积率修正",IF(G3&lt;=10,D22,J22),C23)</f>
        <v>0</v>
      </c>
      <c r="D21" s="1467"/>
      <c r="E21" s="1467"/>
      <c r="F21" s="1467"/>
      <c r="G21" s="1467"/>
      <c r="H21" s="1467"/>
      <c r="I21" s="1467"/>
      <c r="J21" s="1468"/>
      <c r="K21" s="3142"/>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4" t="s">
        <v>1702</v>
      </c>
      <c r="D22" s="1054">
        <f>IF(E22=G22,F22,IF(G3&lt;=10,ROUND(F22+(H22-F22)*(G3-E22)/(G22-E22),4),"——"))</f>
        <v>0.9224</v>
      </c>
      <c r="E22" s="1037">
        <f>ROUNDDOWN(G3,1)</f>
        <v>2</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1037">
        <f>ROUNDUP(G3,1)</f>
        <v>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1054" t="s">
        <v>977</v>
      </c>
      <c r="J22" s="1054" t="str">
        <f>IF(G3&gt;10,D113,"——")</f>
        <v>——</v>
      </c>
      <c r="K22" s="3145"/>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5">
        <f>ROUND(IF(G3&gt;1,IF(I3&lt;7,SUMPRODUCT((B93:B98=I3)*(C92:N92=G2)*(C93:N98)),SUMIF(C92:N92,G2,C100:N100)),IF(I3&lt;7,SUMPRODUCT((B102:B107=I3)*(C92:N92=G2)*(C102:N107)),SUMIF(C92:N92,G2,C109:N109))),4)</f>
        <v>0</v>
      </c>
      <c r="D23" s="1515"/>
      <c r="E23" s="1515"/>
      <c r="F23" s="1516"/>
      <c r="G23" s="1517"/>
      <c r="H23" s="1518"/>
      <c r="I23" s="1519"/>
      <c r="J23" s="1519"/>
      <c r="K23" s="3146"/>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6">
        <f>SUMIF(A44:A87,E2,B44:B87)</f>
        <v>1</v>
      </c>
      <c r="D24" s="1520"/>
      <c r="E24" s="1521"/>
      <c r="F24" s="1521"/>
      <c r="G24" s="1521"/>
      <c r="H24" s="1521"/>
      <c r="I24" s="1521"/>
      <c r="J24" s="1521"/>
      <c r="K24" s="3146"/>
      <c r="L24" s="1467"/>
      <c r="M24" s="1467"/>
      <c r="N24" s="1464" t="s">
        <v>981</v>
      </c>
      <c r="O24" s="3150"/>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2" t="s">
        <v>2646</v>
      </c>
      <c r="O25" s="3153"/>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7">
        <f ca="1">E29+SUM(E33:E39)</f>
        <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8">
        <f ca="1">E30+SUM(I33:I39)</f>
        <v>0</v>
      </c>
      <c r="D27" s="1479"/>
      <c r="E27" s="1480"/>
      <c r="F27" s="1481"/>
      <c r="G27" s="1480"/>
      <c r="H27" s="1480"/>
      <c r="I27" s="1480"/>
      <c r="J27" s="1482"/>
      <c r="K27" s="1450"/>
      <c r="L27" s="1454" t="s">
        <v>987</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7">
        <f ca="1">ROUND(C5*C18*C19*C20*C21*C24,0)</f>
        <v>0</v>
      </c>
      <c r="D29" s="1489"/>
      <c r="E29" s="1832">
        <f ca="1">ROUND(C29*D29/10000,0)</f>
        <v>0</v>
      </c>
      <c r="F29" s="1490" t="s">
        <v>1701</v>
      </c>
      <c r="G29" s="1491"/>
      <c r="H29" s="1491"/>
      <c r="I29" s="1491"/>
      <c r="J29" s="1492"/>
      <c r="K29" s="3147"/>
      <c r="L29" s="3147"/>
      <c r="M29" s="3147"/>
      <c r="N29" s="3147"/>
      <c r="O29" s="3147"/>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9">
        <f ca="1">ROUND(IF(E2="工业",C29*M39,C29*M38),0)</f>
        <v>0</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48"/>
      <c r="L32" s="3148"/>
      <c r="M32" s="3148"/>
      <c r="N32" s="3148"/>
      <c r="O32" s="3148"/>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78" t="s">
        <v>2952</v>
      </c>
      <c r="B33" s="1509" t="s">
        <v>999</v>
      </c>
      <c r="C33" s="1057">
        <f ca="1">ROUND(D5*C19*C20*C24*F33,0)</f>
        <v>-100</v>
      </c>
      <c r="D33" s="1522"/>
      <c r="E33" s="1046">
        <f ca="1">ROUND(C33*D33/10000,0)</f>
        <v>0</v>
      </c>
      <c r="F33" s="1046">
        <f>SUMIF(修正!A45:A56,G2,修正!B45:B56)</f>
        <v>0.6</v>
      </c>
      <c r="G33" s="1046">
        <f t="shared" ref="G33" ca="1" si="6">ROUND(IF(E2="工业",C33*$M$39,C33*$M$38),0)</f>
        <v>-25</v>
      </c>
      <c r="H33" s="1046">
        <f>D33</f>
        <v>0</v>
      </c>
      <c r="I33" s="1046">
        <f ca="1">ROUND(G33*H33/10000,0)</f>
        <v>0</v>
      </c>
      <c r="J33" s="1510"/>
      <c r="K33" s="3149"/>
      <c r="L33" s="3149"/>
      <c r="M33" s="3149"/>
      <c r="N33" s="3149"/>
      <c r="O33" s="3149"/>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79"/>
      <c r="B34" s="1439" t="s">
        <v>1000</v>
      </c>
      <c r="C34" s="1057">
        <f ca="1">ROUND(D5*C19*C20*C24*F34,0)</f>
        <v>-50</v>
      </c>
      <c r="D34" s="1522"/>
      <c r="E34" s="1046">
        <f t="shared" ref="E34:E39" ca="1" si="7">ROUND(C34*D34/10000,0)</f>
        <v>0</v>
      </c>
      <c r="F34" s="1046">
        <f>SUMIF(修正!A45:A56,G2,修正!C45:C56)</f>
        <v>0.3</v>
      </c>
      <c r="G34" s="1046">
        <f ca="1">ROUND(IF(E2="工业",C34*$M$39,C34*$M$38),0)</f>
        <v>-13</v>
      </c>
      <c r="H34" s="1046">
        <f t="shared" ref="H34:H39" si="8">D34</f>
        <v>0</v>
      </c>
      <c r="I34" s="1046">
        <f t="shared" ref="I34:I39" ca="1" si="9">ROUND(G34*H34/10000,0)</f>
        <v>0</v>
      </c>
      <c r="J34" s="1510"/>
      <c r="K34" s="3149"/>
      <c r="L34" s="3149"/>
      <c r="M34" s="3149"/>
      <c r="N34" s="3149"/>
      <c r="O34" s="3149"/>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79"/>
      <c r="B35" s="1439" t="s">
        <v>1001</v>
      </c>
      <c r="C35" s="1057">
        <f ca="1">ROUND(D5*C19*C20*C24*F35,0)</f>
        <v>-33</v>
      </c>
      <c r="D35" s="1522"/>
      <c r="E35" s="1046">
        <f t="shared" ca="1" si="7"/>
        <v>0</v>
      </c>
      <c r="F35" s="1046">
        <f>SUMIF(修正!A45:A56,G2,修正!D45:D56)</f>
        <v>0.2</v>
      </c>
      <c r="G35" s="1046">
        <f ca="1">ROUND(IF(E2="工业",C35*$M$39,C35*$M$38),0)</f>
        <v>-8</v>
      </c>
      <c r="H35" s="1046">
        <f t="shared" si="8"/>
        <v>0</v>
      </c>
      <c r="I35" s="1046">
        <f t="shared" ca="1" si="9"/>
        <v>0</v>
      </c>
      <c r="J35" s="1510"/>
      <c r="K35" s="3149"/>
      <c r="L35" s="3149"/>
      <c r="M35" s="3149"/>
      <c r="N35" s="3149"/>
      <c r="O35" s="3149"/>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80"/>
      <c r="B36" s="1439" t="s">
        <v>1002</v>
      </c>
      <c r="C36" s="1057">
        <f ca="1">ROUND(D5*C19*C20*C24*F36,0)</f>
        <v>-33</v>
      </c>
      <c r="D36" s="1522"/>
      <c r="E36" s="1046">
        <f t="shared" ca="1" si="7"/>
        <v>0</v>
      </c>
      <c r="F36" s="1046">
        <f>SUMIF(修正!A45:A56,G2,修正!E45:E56)</f>
        <v>0.2</v>
      </c>
      <c r="G36" s="1046">
        <f ca="1">ROUND(IF(E2="工业",C36*$M$39,C36*$M$38),0)</f>
        <v>-8</v>
      </c>
      <c r="H36" s="1046">
        <f t="shared" si="8"/>
        <v>0</v>
      </c>
      <c r="I36" s="1046">
        <f t="shared" ca="1" si="9"/>
        <v>0</v>
      </c>
      <c r="J36" s="1510"/>
      <c r="K36" s="3149"/>
      <c r="L36" s="3149"/>
      <c r="M36" s="3149"/>
      <c r="N36" s="3149"/>
      <c r="O36" s="3149"/>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6">
        <f ca="1">ROUND(D5*C19*C20*C24*F37,0)</f>
        <v>-33</v>
      </c>
      <c r="D37" s="1522"/>
      <c r="E37" s="1046">
        <f t="shared" ca="1" si="7"/>
        <v>0</v>
      </c>
      <c r="F37" s="1057">
        <f>SUMIF(修正!A45:A56,G2,修正!F45:F56)</f>
        <v>0.2</v>
      </c>
      <c r="G37" s="1046">
        <f ca="1">ROUND(IF(E2="工业",C37*$M$39,C37*$M$38),0)</f>
        <v>-8</v>
      </c>
      <c r="H37" s="1046">
        <f t="shared" si="8"/>
        <v>0</v>
      </c>
      <c r="I37" s="1046">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6">
        <f ca="1">ROUND(D5*C19*C41*C24*F38,0)</f>
        <v>0</v>
      </c>
      <c r="D38" s="1522"/>
      <c r="E38" s="1046">
        <f t="shared" ca="1" si="7"/>
        <v>0</v>
      </c>
      <c r="F38" s="1057">
        <f>SUMIF(修正!A45:A56,G2,修正!G45:G56)</f>
        <v>0.2</v>
      </c>
      <c r="G38" s="1046">
        <f ca="1">ROUND(IF(E2="工业",C38*$M$39,C38*$M$38),0)</f>
        <v>0</v>
      </c>
      <c r="H38" s="1046">
        <f t="shared" si="8"/>
        <v>0</v>
      </c>
      <c r="I38" s="1046">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9">
        <f ca="1">ROUND(D5*C19*C41*C24*F39,0)</f>
        <v>0</v>
      </c>
      <c r="D39" s="1523"/>
      <c r="E39" s="1049">
        <f t="shared" ca="1" si="7"/>
        <v>0</v>
      </c>
      <c r="F39" s="1059">
        <f>SUMIF(修正!A45:A56,G2,修正!H45:H56)</f>
        <v>0.15</v>
      </c>
      <c r="G39" s="1049">
        <f ca="1">ROUND(IF(E2="工业",C39*$M$39,C39*$M$38),0)</f>
        <v>0</v>
      </c>
      <c r="H39" s="1049">
        <f t="shared" si="8"/>
        <v>0</v>
      </c>
      <c r="I39" s="1049">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0" t="s">
        <v>2979</v>
      </c>
      <c r="C41" s="837">
        <f ca="1">ROUND(POWER(1+E41,H41-G41)*(POWER(1+E41,G41)-1)/(POWER(1+E41,H41)-1),4)</f>
        <v>0</v>
      </c>
      <c r="D41" s="376" t="s">
        <v>2977</v>
      </c>
      <c r="E41" s="3139">
        <f ca="1">G20</f>
        <v>0.05</v>
      </c>
      <c r="F41" s="376" t="s">
        <v>2978</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1008</v>
      </c>
      <c r="B46" s="2370" t="s">
        <v>1009</v>
      </c>
      <c r="C46" s="2392" t="s">
        <v>1010</v>
      </c>
      <c r="D46" s="2393" t="s">
        <v>1011</v>
      </c>
      <c r="E46" s="2394" t="s">
        <v>1013</v>
      </c>
      <c r="F46" s="2395" t="s">
        <v>2249</v>
      </c>
      <c r="G46" s="2393" t="s">
        <v>1014</v>
      </c>
      <c r="H46" s="2376" t="s">
        <v>2417</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1" t="s">
        <v>1020</v>
      </c>
      <c r="B47" s="2373">
        <f>估价对象房地状况!C16</f>
        <v>0</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96">
      <c r="A48" s="1061" t="s">
        <v>1021</v>
      </c>
      <c r="B48" s="2370" t="str">
        <f>估价对象房地状况!C18</f>
        <v>估价对象紧邻城市主干道——昌金路，临近城市主干道——顺密路。估价对象周边有顺16路、顺27路、顺32路、顺37路等多条公交线路通过，距离地铁15号线（俸伯站）约9公里，综合评价交通便捷度一般</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1023</v>
      </c>
      <c r="B50" s="3042" t="s">
        <v>2929</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1024</v>
      </c>
      <c r="B51" s="2370" t="str">
        <f>估价对象房地状况!C24</f>
        <v>次干道</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1025</v>
      </c>
      <c r="B52" s="3041" t="s">
        <v>2928</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96">
      <c r="A53" s="2402" t="s">
        <v>1026</v>
      </c>
      <c r="B53" s="2371" t="str">
        <f>估价对象房地状况!C21</f>
        <v>估价对象所在区域有银行（北京顺义银座村镇银行(北小营支行)等），学校（北京顺义第十三中学等），无大型购物场所、医院、餐饮等公共配套设施，综合确定公共配套设施齐备度一般</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估价对象所在区域基础设施水平为六通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72.75" thickBot="1">
      <c r="A55" s="2403" t="s">
        <v>1028</v>
      </c>
      <c r="B55" s="2374" t="str">
        <f>估价对象房地状况!C20</f>
        <v>估价对象周边有箭杆河、民悦广场、凤阳广场、顺义奥林匹克水上公园等自然景观；有北小营镇政府等人文设施，综合考虑自然环境与人文环境一般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1008</v>
      </c>
      <c r="B57" s="2370"/>
      <c r="C57" s="2392" t="s">
        <v>1010</v>
      </c>
      <c r="D57" s="2393" t="s">
        <v>1011</v>
      </c>
      <c r="E57" s="2394" t="s">
        <v>1013</v>
      </c>
      <c r="F57" s="2395" t="s">
        <v>2250</v>
      </c>
      <c r="G57" s="2393" t="s">
        <v>1014</v>
      </c>
      <c r="H57" s="2376" t="s">
        <v>2417</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1" t="s">
        <v>1030</v>
      </c>
      <c r="B58" s="2373">
        <f>估价对象房地状况!C17</f>
        <v>0</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96">
      <c r="A59" s="1061" t="s">
        <v>1021</v>
      </c>
      <c r="B59" s="2370" t="str">
        <f>估价对象房地状况!C18</f>
        <v>估价对象紧邻城市主干道——昌金路，临近城市主干道——顺密路。估价对象周边有顺16路、顺27路、顺32路、顺37路等多条公交线路通过，距离地铁15号线（俸伯站）约9公里，综合评价交通便捷度一般</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1023</v>
      </c>
      <c r="B61" s="3042" t="s">
        <v>2930</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1024</v>
      </c>
      <c r="B62" s="2370" t="str">
        <f>估价对象房地状况!C24</f>
        <v>次干道</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1025</v>
      </c>
      <c r="B63" s="3041" t="s">
        <v>2928</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96">
      <c r="A64" s="1061" t="s">
        <v>1026</v>
      </c>
      <c r="B64" s="2371" t="str">
        <f>估价对象房地状况!C21</f>
        <v>估价对象所在区域有银行（北京顺义银座村镇银行(北小营支行)等），学校（北京顺义第十三中学等），无大型购物场所、医院、餐饮等公共配套设施，综合确定公共配套设施齐备度一般</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1027</v>
      </c>
      <c r="B65" s="2371" t="str">
        <f>估价对象房地状况!C22</f>
        <v>估价对象所在区域基础设施水平为六通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72.75" thickBot="1">
      <c r="A66" s="2403" t="s">
        <v>1028</v>
      </c>
      <c r="B66" s="2375" t="str">
        <f>估价对象房地状况!C20</f>
        <v>估价对象周边有箭杆河、民悦广场、凤阳广场、顺义奥林匹克水上公园等自然景观；有北小营镇政府等人文设施，综合考虑自然环境与人文环境一般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1008</v>
      </c>
      <c r="B68" s="2370"/>
      <c r="C68" s="2392" t="s">
        <v>1010</v>
      </c>
      <c r="D68" s="2393" t="s">
        <v>1011</v>
      </c>
      <c r="E68" s="2394" t="s">
        <v>1013</v>
      </c>
      <c r="F68" s="2395" t="s">
        <v>2251</v>
      </c>
      <c r="G68" s="2393" t="s">
        <v>1014</v>
      </c>
      <c r="H68" s="2376" t="s">
        <v>2417</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60">
      <c r="A69" s="1061" t="s">
        <v>1032</v>
      </c>
      <c r="B69" s="2373" t="str">
        <f>估价对象房地状况!C15</f>
        <v>估价对象位于北京市顺义区北小营镇顺义新城，周边有水色时光花园、永利小区等住宅社区，居住社区成熟度一般</v>
      </c>
      <c r="C69" s="1153"/>
      <c r="D69" s="2379">
        <f t="shared" ref="D69:D77" si="20">SUMIF($J$68:$N$68,C69,J69:N69)</f>
        <v>0</v>
      </c>
      <c r="E69" s="2398">
        <f>ROUND(SUM(D69:D77),4)</f>
        <v>0</v>
      </c>
      <c r="F69" s="2399">
        <f>IF(E2="住宅",SUMIF(L1:L12,G2,N1:N12),"——")</f>
        <v>0</v>
      </c>
      <c r="G69" s="2380"/>
      <c r="H69" s="2424">
        <f t="shared" ref="H69:H77" si="21">IFERROR(ROUNDDOWN($F$69*I69/2,4),"——")</f>
        <v>0</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96">
      <c r="A70" s="1061" t="s">
        <v>1033</v>
      </c>
      <c r="B70" s="2370" t="str">
        <f>估价对象房地状况!C18</f>
        <v>估价对象紧邻城市主干道——昌金路，临近城市主干道——顺密路。估价对象周边有顺16路、顺27路、顺32路、顺37路等多条公交线路通过，距离地铁15号线（俸伯站）约9公里，综合评价交通便捷度一般</v>
      </c>
      <c r="C70" s="1153"/>
      <c r="D70" s="2379">
        <f t="shared" si="20"/>
        <v>0</v>
      </c>
      <c r="E70" s="2407"/>
      <c r="F70" s="2408"/>
      <c r="G70" s="2380"/>
      <c r="H70" s="2424">
        <f t="shared" si="21"/>
        <v>0</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1022</v>
      </c>
      <c r="B71" s="2370">
        <f>估价对象房地状况!C19</f>
        <v>0</v>
      </c>
      <c r="C71" s="1153"/>
      <c r="D71" s="2379">
        <f t="shared" si="20"/>
        <v>0</v>
      </c>
      <c r="E71" s="2407"/>
      <c r="F71" s="2408"/>
      <c r="G71" s="2380"/>
      <c r="H71" s="2424">
        <f t="shared" si="21"/>
        <v>0</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1034</v>
      </c>
      <c r="B72" s="2370" t="str">
        <f>估价对象房地状况!C24</f>
        <v>次干道</v>
      </c>
      <c r="C72" s="1153"/>
      <c r="D72" s="2379">
        <f t="shared" si="20"/>
        <v>0</v>
      </c>
      <c r="E72" s="2407"/>
      <c r="F72" s="2408"/>
      <c r="G72" s="2380"/>
      <c r="H72" s="2424">
        <f t="shared" si="21"/>
        <v>0</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96">
      <c r="A73" s="1061" t="s">
        <v>1026</v>
      </c>
      <c r="B73" s="2371" t="str">
        <f>估价对象房地状况!C21</f>
        <v>估价对象所在区域有银行（北京顺义银座村镇银行(北小营支行)等），学校（北京顺义第十三中学等），无大型购物场所、医院、餐饮等公共配套设施，综合确定公共配套设施齐备度一般</v>
      </c>
      <c r="C73" s="1153"/>
      <c r="D73" s="2379">
        <f t="shared" si="20"/>
        <v>0</v>
      </c>
      <c r="E73" s="2407"/>
      <c r="F73" s="2408"/>
      <c r="G73" s="2380"/>
      <c r="H73" s="2424">
        <f t="shared" si="21"/>
        <v>0</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1027</v>
      </c>
      <c r="B74" s="2371" t="str">
        <f>估价对象房地状况!C22</f>
        <v>估价对象所在区域基础设施水平为六通</v>
      </c>
      <c r="C74" s="1153"/>
      <c r="D74" s="2379">
        <f t="shared" si="20"/>
        <v>0</v>
      </c>
      <c r="E74" s="2407"/>
      <c r="F74" s="2408"/>
      <c r="G74" s="2380"/>
      <c r="H74" s="2424">
        <f t="shared" si="21"/>
        <v>0</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1025</v>
      </c>
      <c r="B75" s="3041" t="s">
        <v>2928</v>
      </c>
      <c r="C75" s="1153"/>
      <c r="D75" s="2379">
        <f t="shared" si="20"/>
        <v>0</v>
      </c>
      <c r="E75" s="2407"/>
      <c r="F75" s="2408"/>
      <c r="G75" s="2380"/>
      <c r="H75" s="2424">
        <f t="shared" si="21"/>
        <v>0</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72">
      <c r="A76" s="1061" t="s">
        <v>1028</v>
      </c>
      <c r="B76" s="2373" t="str">
        <f>估价对象房地状况!C20</f>
        <v>估价对象周边有箭杆河、民悦广场、凤阳广场、顺义奥林匹克水上公园等自然景观；有北小营镇政府等人文设施，综合考虑自然环境与人文环境一般</v>
      </c>
      <c r="C76" s="1153"/>
      <c r="D76" s="2379">
        <f t="shared" si="20"/>
        <v>0</v>
      </c>
      <c r="E76" s="2407"/>
      <c r="F76" s="2408"/>
      <c r="G76" s="2380"/>
      <c r="H76" s="2424">
        <f t="shared" si="21"/>
        <v>0</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3"/>
      <c r="D77" s="2379">
        <f t="shared" si="20"/>
        <v>0</v>
      </c>
      <c r="E77" s="2409"/>
      <c r="F77" s="2408"/>
      <c r="G77" s="2380"/>
      <c r="H77" s="2424">
        <f t="shared" si="21"/>
        <v>0</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1008</v>
      </c>
      <c r="B79" s="2370"/>
      <c r="C79" s="2392" t="s">
        <v>1010</v>
      </c>
      <c r="D79" s="2393" t="s">
        <v>1011</v>
      </c>
      <c r="E79" s="2394" t="s">
        <v>1013</v>
      </c>
      <c r="F79" s="2395" t="s">
        <v>2252</v>
      </c>
      <c r="G79" s="2393" t="s">
        <v>1014</v>
      </c>
      <c r="H79" s="2376" t="s">
        <v>2417</v>
      </c>
      <c r="I79" s="2393" t="s">
        <v>1012</v>
      </c>
      <c r="J79" s="2396" t="s">
        <v>1015</v>
      </c>
      <c r="K79" s="2396" t="s">
        <v>1016</v>
      </c>
      <c r="L79" s="2396" t="s">
        <v>1017</v>
      </c>
      <c r="M79" s="2396" t="s">
        <v>1018</v>
      </c>
      <c r="N79" s="2396" t="s">
        <v>1019</v>
      </c>
      <c r="AC79" s="1399"/>
      <c r="AD79" s="1398"/>
      <c r="AJ79" s="1397"/>
      <c r="AN79" s="1398"/>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1025</v>
      </c>
      <c r="B86" s="3041" t="s">
        <v>2928</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76" t="s">
        <v>1633</v>
      </c>
      <c r="B90" s="3476"/>
      <c r="C90" s="3476"/>
      <c r="D90" s="3476"/>
      <c r="E90" s="3476"/>
      <c r="F90" s="3476"/>
      <c r="G90" s="3476"/>
      <c r="H90" s="3476"/>
      <c r="I90" s="3476"/>
      <c r="J90" s="3476"/>
      <c r="K90" s="2412"/>
      <c r="L90" s="2412"/>
      <c r="M90" s="2412"/>
      <c r="N90" s="2412"/>
    </row>
    <row r="91" spans="1:40">
      <c r="A91" s="3477" t="s">
        <v>1443</v>
      </c>
      <c r="B91" s="3477" t="s">
        <v>1634</v>
      </c>
      <c r="C91" s="1134" t="s">
        <v>1635</v>
      </c>
      <c r="D91" s="1135"/>
      <c r="E91" s="1135"/>
      <c r="F91" s="1135"/>
      <c r="G91" s="1135"/>
      <c r="H91" s="1135"/>
      <c r="I91" s="1135"/>
      <c r="J91" s="1136"/>
      <c r="K91" s="1128"/>
      <c r="L91" s="1128"/>
      <c r="M91" s="1128"/>
      <c r="N91" s="1128"/>
    </row>
    <row r="92" spans="1:40">
      <c r="A92" s="3477"/>
      <c r="B92" s="3477"/>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63"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6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6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6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6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6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64"/>
      <c r="B99" s="1137" t="s">
        <v>1636</v>
      </c>
      <c r="C99" s="1139">
        <f>$I$3</f>
        <v>0</v>
      </c>
      <c r="D99" s="1139">
        <f t="shared" ref="D99:N99" si="30">$I$3</f>
        <v>0</v>
      </c>
      <c r="E99" s="1139">
        <f t="shared" si="30"/>
        <v>0</v>
      </c>
      <c r="F99" s="1139">
        <f t="shared" si="30"/>
        <v>0</v>
      </c>
      <c r="G99" s="1139">
        <f t="shared" si="30"/>
        <v>0</v>
      </c>
      <c r="H99" s="1139">
        <f t="shared" si="30"/>
        <v>0</v>
      </c>
      <c r="I99" s="1139">
        <f t="shared" si="30"/>
        <v>0</v>
      </c>
      <c r="J99" s="1139">
        <f t="shared" si="30"/>
        <v>0</v>
      </c>
      <c r="K99" s="1139">
        <f t="shared" si="30"/>
        <v>0</v>
      </c>
      <c r="L99" s="1139">
        <f t="shared" si="30"/>
        <v>0</v>
      </c>
      <c r="M99" s="1139">
        <f t="shared" si="30"/>
        <v>0</v>
      </c>
      <c r="N99" s="1139">
        <f t="shared" si="30"/>
        <v>0</v>
      </c>
    </row>
    <row r="100" spans="1:14">
      <c r="A100" s="3465"/>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463" t="s">
        <v>1637</v>
      </c>
      <c r="B101" s="1141" t="s">
        <v>906</v>
      </c>
      <c r="C101" s="1142">
        <f>$G$3</f>
        <v>2</v>
      </c>
      <c r="D101" s="1142">
        <f t="shared" ref="D101:N101" si="31">$G$3</f>
        <v>2</v>
      </c>
      <c r="E101" s="1142">
        <f t="shared" si="31"/>
        <v>2</v>
      </c>
      <c r="F101" s="1142">
        <f t="shared" si="31"/>
        <v>2</v>
      </c>
      <c r="G101" s="1142">
        <f t="shared" si="31"/>
        <v>2</v>
      </c>
      <c r="H101" s="1142">
        <f t="shared" si="31"/>
        <v>2</v>
      </c>
      <c r="I101" s="1142">
        <f t="shared" si="31"/>
        <v>2</v>
      </c>
      <c r="J101" s="1142">
        <f t="shared" si="31"/>
        <v>2</v>
      </c>
      <c r="K101" s="1142">
        <f t="shared" si="31"/>
        <v>2</v>
      </c>
      <c r="L101" s="1142">
        <f t="shared" si="31"/>
        <v>2</v>
      </c>
      <c r="M101" s="1142">
        <f t="shared" si="31"/>
        <v>2</v>
      </c>
      <c r="N101" s="1142">
        <f t="shared" si="31"/>
        <v>2</v>
      </c>
    </row>
    <row r="102" spans="1:14">
      <c r="A102" s="3464"/>
      <c r="B102" s="1137">
        <v>1</v>
      </c>
      <c r="C102" s="1138">
        <f>1.9362/C101</f>
        <v>0.96809999999999996</v>
      </c>
      <c r="D102" s="1138">
        <f>1.9362/D101</f>
        <v>0.96809999999999996</v>
      </c>
      <c r="E102" s="1138">
        <f>1.8629/E101</f>
        <v>0.93145</v>
      </c>
      <c r="F102" s="1138">
        <f>1.8629/F101</f>
        <v>0.93145</v>
      </c>
      <c r="G102" s="1138">
        <f>1.8629/G101</f>
        <v>0.93145</v>
      </c>
      <c r="H102" s="1138">
        <f>1.8629/H101</f>
        <v>0.93145</v>
      </c>
      <c r="I102" s="1138">
        <f>1.8629/I101</f>
        <v>0.93145</v>
      </c>
      <c r="J102" s="1138">
        <f>1.942/J101</f>
        <v>0.97099999999999997</v>
      </c>
      <c r="K102" s="1138">
        <f>1.942/K101</f>
        <v>0.97099999999999997</v>
      </c>
      <c r="L102" s="1138">
        <f>1.942/L101</f>
        <v>0.97099999999999997</v>
      </c>
      <c r="M102" s="1138">
        <f>1.942/M101</f>
        <v>0.97099999999999997</v>
      </c>
      <c r="N102" s="1138">
        <f>1.942/N101</f>
        <v>0.97099999999999997</v>
      </c>
    </row>
    <row r="103" spans="1:14">
      <c r="A103" s="3464"/>
      <c r="B103" s="1137">
        <v>2</v>
      </c>
      <c r="C103" s="1138">
        <f>1.4198/C101</f>
        <v>0.70989999999999998</v>
      </c>
      <c r="D103" s="1138">
        <f>1.4198/D101</f>
        <v>0.70989999999999998</v>
      </c>
      <c r="E103" s="1138">
        <f>1.3372/E101</f>
        <v>0.66859999999999997</v>
      </c>
      <c r="F103" s="1138">
        <f>1.3372/F101</f>
        <v>0.66859999999999997</v>
      </c>
      <c r="G103" s="1138">
        <f>1.3372/G101</f>
        <v>0.66859999999999997</v>
      </c>
      <c r="H103" s="1138">
        <f>1.3372/H101</f>
        <v>0.66859999999999997</v>
      </c>
      <c r="I103" s="1138">
        <f>1.3372/I101</f>
        <v>0.66859999999999997</v>
      </c>
      <c r="J103" s="1138">
        <f>1.2799/J101</f>
        <v>0.63995000000000002</v>
      </c>
      <c r="K103" s="1138">
        <f>1.2799/K101</f>
        <v>0.63995000000000002</v>
      </c>
      <c r="L103" s="1138">
        <f>1.2799/L101</f>
        <v>0.63995000000000002</v>
      </c>
      <c r="M103" s="1138">
        <f>1.2799/M101</f>
        <v>0.63995000000000002</v>
      </c>
      <c r="N103" s="1138">
        <f>1.2799/N101</f>
        <v>0.63995000000000002</v>
      </c>
    </row>
    <row r="104" spans="1:14">
      <c r="A104" s="3464"/>
      <c r="B104" s="1137">
        <v>3</v>
      </c>
      <c r="C104" s="1138">
        <f>1.1594/C101</f>
        <v>0.57969999999999999</v>
      </c>
      <c r="D104" s="1138">
        <f>1.1594/D101</f>
        <v>0.57969999999999999</v>
      </c>
      <c r="E104" s="1138">
        <f>1.0788/E101</f>
        <v>0.53939999999999999</v>
      </c>
      <c r="F104" s="1138">
        <f>1.0788/F101</f>
        <v>0.53939999999999999</v>
      </c>
      <c r="G104" s="1138">
        <f>1.0788/G101</f>
        <v>0.53939999999999999</v>
      </c>
      <c r="H104" s="1138">
        <f>1.0788/H101</f>
        <v>0.53939999999999999</v>
      </c>
      <c r="I104" s="1138">
        <f>1.0788/I101</f>
        <v>0.53939999999999999</v>
      </c>
      <c r="J104" s="1138">
        <f>1.0072/J101</f>
        <v>0.50360000000000005</v>
      </c>
      <c r="K104" s="1138">
        <f>1.0072/K101</f>
        <v>0.50360000000000005</v>
      </c>
      <c r="L104" s="1138">
        <f>1.0072/L101</f>
        <v>0.50360000000000005</v>
      </c>
      <c r="M104" s="1138">
        <f>1.0072/M101</f>
        <v>0.50360000000000005</v>
      </c>
      <c r="N104" s="1138">
        <f>1.0072/N101</f>
        <v>0.50360000000000005</v>
      </c>
    </row>
    <row r="105" spans="1:14">
      <c r="A105" s="3464"/>
      <c r="B105" s="1137">
        <v>4</v>
      </c>
      <c r="C105" s="1138">
        <f>0.9622/C101</f>
        <v>0.48110000000000003</v>
      </c>
      <c r="D105" s="1138">
        <f>0.9622/D101</f>
        <v>0.48110000000000003</v>
      </c>
      <c r="E105" s="1138">
        <f>0.8656/E101</f>
        <v>0.43280000000000002</v>
      </c>
      <c r="F105" s="1138">
        <f>0.8656/F101</f>
        <v>0.43280000000000002</v>
      </c>
      <c r="G105" s="1138">
        <f>0.8656/G101</f>
        <v>0.43280000000000002</v>
      </c>
      <c r="H105" s="1138">
        <f>0.8656/H101</f>
        <v>0.43280000000000002</v>
      </c>
      <c r="I105" s="1138">
        <f>0.8656/I101</f>
        <v>0.43280000000000002</v>
      </c>
      <c r="J105" s="1138">
        <f>0.7525/J101</f>
        <v>0.37624999999999997</v>
      </c>
      <c r="K105" s="1138">
        <f>0.7525/K101</f>
        <v>0.37624999999999997</v>
      </c>
      <c r="L105" s="1138">
        <f>0.7525/L101</f>
        <v>0.37624999999999997</v>
      </c>
      <c r="M105" s="1138">
        <f>0.7525/M101</f>
        <v>0.37624999999999997</v>
      </c>
      <c r="N105" s="1138">
        <f>0.7525/N101</f>
        <v>0.37624999999999997</v>
      </c>
    </row>
    <row r="106" spans="1:14">
      <c r="A106" s="3464"/>
      <c r="B106" s="1137">
        <v>5</v>
      </c>
      <c r="C106" s="1138">
        <f>0.8417/C101</f>
        <v>0.42085</v>
      </c>
      <c r="D106" s="1138">
        <f>0.8417/D101</f>
        <v>0.42085</v>
      </c>
      <c r="E106" s="1138">
        <f>0.7371/E101</f>
        <v>0.36854999999999999</v>
      </c>
      <c r="F106" s="1138">
        <f>0.7371/F101</f>
        <v>0.36854999999999999</v>
      </c>
      <c r="G106" s="1138">
        <f>0.7371/G101</f>
        <v>0.36854999999999999</v>
      </c>
      <c r="H106" s="1138">
        <f>0.7371/H101</f>
        <v>0.36854999999999999</v>
      </c>
      <c r="I106" s="1138">
        <f>0.7371/I101</f>
        <v>0.36854999999999999</v>
      </c>
      <c r="J106" s="1138">
        <f>0.5659/J101</f>
        <v>0.28294999999999998</v>
      </c>
      <c r="K106" s="1138">
        <f>0.5659/K101</f>
        <v>0.28294999999999998</v>
      </c>
      <c r="L106" s="1138">
        <f>0.5659/L101</f>
        <v>0.28294999999999998</v>
      </c>
      <c r="M106" s="1138">
        <f>0.5659/M101</f>
        <v>0.28294999999999998</v>
      </c>
      <c r="N106" s="1138">
        <f>0.5659/N101</f>
        <v>0.28294999999999998</v>
      </c>
    </row>
    <row r="107" spans="1:14">
      <c r="A107" s="3464"/>
      <c r="B107" s="1137">
        <v>6</v>
      </c>
      <c r="C107" s="1138">
        <f>0.7608/C101</f>
        <v>0.38040000000000002</v>
      </c>
      <c r="D107" s="1138">
        <f>0.7608/D101</f>
        <v>0.38040000000000002</v>
      </c>
      <c r="E107" s="1138">
        <f>0.6482/E101</f>
        <v>0.3241</v>
      </c>
      <c r="F107" s="1138">
        <f>0.6482/F101</f>
        <v>0.3241</v>
      </c>
      <c r="G107" s="1138">
        <f>0.6482/G101</f>
        <v>0.3241</v>
      </c>
      <c r="H107" s="1138">
        <f>0.6482/H101</f>
        <v>0.3241</v>
      </c>
      <c r="I107" s="1138">
        <f>0.6482/I101</f>
        <v>0.3241</v>
      </c>
      <c r="J107" s="1138">
        <f>0.4525/J101</f>
        <v>0.22625000000000001</v>
      </c>
      <c r="K107" s="1138">
        <f>0.4525/K101</f>
        <v>0.22625000000000001</v>
      </c>
      <c r="L107" s="1138">
        <f>0.4525/L101</f>
        <v>0.22625000000000001</v>
      </c>
      <c r="M107" s="1138">
        <f>0.4525/M101</f>
        <v>0.22625000000000001</v>
      </c>
      <c r="N107" s="1138">
        <f>0.4525/N101</f>
        <v>0.22625000000000001</v>
      </c>
    </row>
    <row r="108" spans="1:14">
      <c r="A108" s="3464"/>
      <c r="B108" s="3466" t="s">
        <v>1638</v>
      </c>
      <c r="C108" s="1139">
        <f>C99</f>
        <v>0</v>
      </c>
      <c r="D108" s="1139">
        <f t="shared" ref="D108:N108" si="32">D99</f>
        <v>0</v>
      </c>
      <c r="E108" s="1139">
        <f t="shared" si="32"/>
        <v>0</v>
      </c>
      <c r="F108" s="1139">
        <f t="shared" si="32"/>
        <v>0</v>
      </c>
      <c r="G108" s="1139">
        <f t="shared" si="32"/>
        <v>0</v>
      </c>
      <c r="H108" s="1139">
        <f t="shared" si="32"/>
        <v>0</v>
      </c>
      <c r="I108" s="1139">
        <f t="shared" si="32"/>
        <v>0</v>
      </c>
      <c r="J108" s="1139">
        <f t="shared" si="32"/>
        <v>0</v>
      </c>
      <c r="K108" s="1139">
        <f t="shared" si="32"/>
        <v>0</v>
      </c>
      <c r="L108" s="1139">
        <f t="shared" si="32"/>
        <v>0</v>
      </c>
      <c r="M108" s="1139">
        <f t="shared" si="32"/>
        <v>0</v>
      </c>
      <c r="N108" s="1139">
        <f t="shared" si="32"/>
        <v>0</v>
      </c>
    </row>
    <row r="109" spans="1:14">
      <c r="A109" s="3465"/>
      <c r="B109" s="3467"/>
      <c r="C109" s="1140">
        <f>(-0.163*(C108^2)-0.59*C108+7617)*(10^(-4))/C101</f>
        <v>0.38085000000000002</v>
      </c>
      <c r="D109" s="1140">
        <f>(-0.163*(D108^2)-0.59*D108+7617)*(10^(-4))/D101</f>
        <v>0.38085000000000002</v>
      </c>
      <c r="E109" s="1140">
        <f>(-0.161*(E108^2)-7.509*E108+6533)*(10^(-4))/E101</f>
        <v>0.32665</v>
      </c>
      <c r="F109" s="1140">
        <f>(-0.161*(F108^2)-7.509*F108+6533)*(10^(-4))/F101</f>
        <v>0.32665</v>
      </c>
      <c r="G109" s="1140">
        <f>(-0.161*(G108^2)-7.509*G108+6533)*(10^(-4))/G101</f>
        <v>0.32665</v>
      </c>
      <c r="H109" s="1140">
        <f>(-0.161*(H108^2)-7.509*H108+6533)*(10^(-4))/H101</f>
        <v>0.32665</v>
      </c>
      <c r="I109" s="1140">
        <f>(-0.161*(I108^2)-7.509*I108+6533)*(10^(-4))/I101</f>
        <v>0.32665</v>
      </c>
      <c r="J109" s="1140">
        <f>(-0.214*(J108^2)-21.991*J108+4665)*(10^(-4))/J101</f>
        <v>0.23325000000000001</v>
      </c>
      <c r="K109" s="1140">
        <f>(-0.214*(K108^2)-21.991*K108+4665)*(10^(-4))/K101</f>
        <v>0.23325000000000001</v>
      </c>
      <c r="L109" s="1140">
        <f>(-0.214*(L108^2)-21.991*L108+4665)*(10^(-4))/L101</f>
        <v>0.23325000000000001</v>
      </c>
      <c r="M109" s="1140">
        <f>(-0.214*(M108^2)-21.991*M108+4665)*(10^(-4))/M101</f>
        <v>0.23325000000000001</v>
      </c>
      <c r="N109" s="1140">
        <f>(-0.214*(N108^2)-21.991*N108+4665)*(10^(-4))/N101</f>
        <v>0.23325000000000001</v>
      </c>
    </row>
    <row r="110" spans="1:14">
      <c r="A110" s="3470" t="s">
        <v>1639</v>
      </c>
      <c r="B110" s="3470"/>
      <c r="C110" s="3470"/>
      <c r="D110" s="3470"/>
      <c r="E110" s="3470"/>
      <c r="F110" s="3470"/>
      <c r="G110" s="3470"/>
      <c r="H110" s="3470"/>
      <c r="I110" s="3470"/>
      <c r="J110" s="3470"/>
      <c r="K110" s="2410"/>
      <c r="L110" s="2410"/>
      <c r="M110" s="2410"/>
      <c r="N110" s="2410"/>
    </row>
    <row r="112" spans="1:14" ht="12.75" thickBot="1"/>
    <row r="113" spans="1:13" ht="25.5" thickBot="1">
      <c r="A113" s="1014" t="s">
        <v>896</v>
      </c>
      <c r="B113" s="2413">
        <f>G3</f>
        <v>2</v>
      </c>
      <c r="C113" s="1015" t="s">
        <v>897</v>
      </c>
      <c r="D113" s="1016">
        <f>SUMPRODUCT((A115:A118=F113)*(B114:M114=H113)*B115:M118)</f>
        <v>0.72219999999999995</v>
      </c>
      <c r="E113" s="1017" t="s">
        <v>898</v>
      </c>
      <c r="F113" s="1018" t="str">
        <f>E2</f>
        <v>住宅</v>
      </c>
      <c r="G113" s="1017" t="s">
        <v>899</v>
      </c>
      <c r="H113" s="1018" t="str">
        <f>G2</f>
        <v>九级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0.91469999999999996</v>
      </c>
      <c r="C115" s="1028">
        <f>B115</f>
        <v>0.91469999999999996</v>
      </c>
      <c r="D115" s="1028">
        <f>ROUND(0.8331-0.0109*B113,4)</f>
        <v>0.81130000000000002</v>
      </c>
      <c r="E115" s="1028">
        <f>D115</f>
        <v>0.81130000000000002</v>
      </c>
      <c r="F115" s="1028">
        <f>E115</f>
        <v>0.81130000000000002</v>
      </c>
      <c r="G115" s="1028">
        <f>F115</f>
        <v>0.81130000000000002</v>
      </c>
      <c r="H115" s="1028">
        <f>G115</f>
        <v>0.81130000000000002</v>
      </c>
      <c r="I115" s="1028">
        <f>ROUND(0.689-0.0155*B113,4)</f>
        <v>0.65800000000000003</v>
      </c>
      <c r="J115" s="1028">
        <f t="shared" ref="J115:M118" si="33">I115</f>
        <v>0.65800000000000003</v>
      </c>
      <c r="K115" s="1028">
        <f t="shared" si="33"/>
        <v>0.65800000000000003</v>
      </c>
      <c r="L115" s="1028">
        <f t="shared" si="33"/>
        <v>0.65800000000000003</v>
      </c>
      <c r="M115" s="1029">
        <f t="shared" si="33"/>
        <v>0.65800000000000003</v>
      </c>
    </row>
    <row r="116" spans="1:13" ht="12.75">
      <c r="A116" s="1027" t="s">
        <v>901</v>
      </c>
      <c r="B116" s="1028">
        <f>ROUND(0.949-0.012*B113,4)</f>
        <v>0.92500000000000004</v>
      </c>
      <c r="C116" s="1028">
        <f>B116</f>
        <v>0.92500000000000004</v>
      </c>
      <c r="D116" s="1028">
        <f>ROUND(0.8567-0.013*B113,4)</f>
        <v>0.83069999999999999</v>
      </c>
      <c r="E116" s="1028">
        <f t="shared" ref="E116:H117" si="34">D116</f>
        <v>0.83069999999999999</v>
      </c>
      <c r="F116" s="1028">
        <f t="shared" si="34"/>
        <v>0.83069999999999999</v>
      </c>
      <c r="G116" s="1028">
        <f t="shared" si="34"/>
        <v>0.83069999999999999</v>
      </c>
      <c r="H116" s="1028">
        <f t="shared" si="34"/>
        <v>0.83069999999999999</v>
      </c>
      <c r="I116" s="1028">
        <f>ROUND(0.7694-0.014*B113,4)</f>
        <v>0.74139999999999995</v>
      </c>
      <c r="J116" s="1028">
        <f t="shared" si="33"/>
        <v>0.74139999999999995</v>
      </c>
      <c r="K116" s="1028">
        <f t="shared" si="33"/>
        <v>0.74139999999999995</v>
      </c>
      <c r="L116" s="1028">
        <f t="shared" si="33"/>
        <v>0.74139999999999995</v>
      </c>
      <c r="M116" s="1029">
        <f t="shared" si="33"/>
        <v>0.74139999999999995</v>
      </c>
    </row>
    <row r="117" spans="1:13" ht="12.75">
      <c r="A117" s="1030" t="s">
        <v>902</v>
      </c>
      <c r="B117" s="1028">
        <f>ROUND(0.8808-0.006*B113,4)</f>
        <v>0.86880000000000002</v>
      </c>
      <c r="C117" s="1028">
        <f>B117</f>
        <v>0.86880000000000002</v>
      </c>
      <c r="D117" s="1028">
        <f>ROUND(0.8748-0.008*B113,4)</f>
        <v>0.85880000000000001</v>
      </c>
      <c r="E117" s="1028">
        <f t="shared" si="34"/>
        <v>0.85880000000000001</v>
      </c>
      <c r="F117" s="1028">
        <f t="shared" si="34"/>
        <v>0.85880000000000001</v>
      </c>
      <c r="G117" s="1028">
        <f t="shared" si="34"/>
        <v>0.85880000000000001</v>
      </c>
      <c r="H117" s="1028">
        <f t="shared" si="34"/>
        <v>0.85880000000000001</v>
      </c>
      <c r="I117" s="1028">
        <f>ROUND(0.7412-0.0095*B113,4)</f>
        <v>0.72219999999999995</v>
      </c>
      <c r="J117" s="1028">
        <f t="shared" si="33"/>
        <v>0.72219999999999995</v>
      </c>
      <c r="K117" s="1028">
        <f t="shared" si="33"/>
        <v>0.72219999999999995</v>
      </c>
      <c r="L117" s="1028">
        <f t="shared" si="33"/>
        <v>0.72219999999999995</v>
      </c>
      <c r="M117" s="1029">
        <f t="shared" si="33"/>
        <v>0.72219999999999995</v>
      </c>
    </row>
    <row r="118" spans="1:13" ht="13.5" thickBot="1">
      <c r="A118" s="1031" t="s">
        <v>903</v>
      </c>
      <c r="B118" s="1032">
        <f>ROUND(0.7275-0.01*B113,4)</f>
        <v>0.70750000000000002</v>
      </c>
      <c r="C118" s="1032">
        <f>B118</f>
        <v>0.70750000000000002</v>
      </c>
      <c r="D118" s="1032">
        <f>ROUND(0.7043-0.012*B113,4)</f>
        <v>0.68030000000000002</v>
      </c>
      <c r="E118" s="1032">
        <f>D118</f>
        <v>0.68030000000000002</v>
      </c>
      <c r="F118" s="1032">
        <f>E118</f>
        <v>0.68030000000000002</v>
      </c>
      <c r="G118" s="1032">
        <f>ROUND(0.6299-0.0122*B113,4)</f>
        <v>0.60550000000000004</v>
      </c>
      <c r="H118" s="1032">
        <f>G118</f>
        <v>0.60550000000000004</v>
      </c>
      <c r="I118" s="1032">
        <f>ROUND(0.5667-0.0136*B113,4)</f>
        <v>0.53949999999999998</v>
      </c>
      <c r="J118" s="1032">
        <f t="shared" si="33"/>
        <v>0.53949999999999998</v>
      </c>
      <c r="K118" s="1032">
        <f t="shared" si="33"/>
        <v>0.53949999999999998</v>
      </c>
      <c r="L118" s="1032">
        <f t="shared" si="33"/>
        <v>0.53949999999999998</v>
      </c>
      <c r="M118" s="1033">
        <f t="shared" si="33"/>
        <v>0.53949999999999998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2982</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2" customFormat="1" ht="19.5" customHeight="1">
      <c r="A18" s="3477" t="s">
        <v>1007</v>
      </c>
      <c r="B18" s="1148" t="s">
        <v>1446</v>
      </c>
      <c r="C18" s="1125" t="s">
        <v>1447</v>
      </c>
      <c r="D18" s="1126"/>
      <c r="E18" s="1148">
        <v>1</v>
      </c>
      <c r="F18" s="1127" t="s">
        <v>1448</v>
      </c>
      <c r="G18" s="1128"/>
      <c r="H18" s="1099"/>
      <c r="I18" s="1099"/>
    </row>
    <row r="19" spans="1:9" s="1582" customFormat="1" ht="19.5" customHeight="1">
      <c r="A19" s="3477"/>
      <c r="B19" s="3477" t="s">
        <v>1449</v>
      </c>
      <c r="C19" s="1125" t="s">
        <v>1450</v>
      </c>
      <c r="D19" s="1126"/>
      <c r="E19" s="1148">
        <v>0.9</v>
      </c>
      <c r="F19" s="1127" t="s">
        <v>1451</v>
      </c>
      <c r="G19" s="1128"/>
      <c r="H19" s="1099"/>
      <c r="I19" s="1099"/>
    </row>
    <row r="20" spans="1:9" s="1582" customFormat="1" ht="19.5" customHeight="1">
      <c r="A20" s="3477"/>
      <c r="B20" s="3477"/>
      <c r="C20" s="1125" t="s">
        <v>1452</v>
      </c>
      <c r="D20" s="1126"/>
      <c r="E20" s="1148">
        <v>1.1000000000000001</v>
      </c>
      <c r="F20" s="1127" t="s">
        <v>1453</v>
      </c>
      <c r="G20" s="1128"/>
      <c r="H20" s="1099"/>
      <c r="I20" s="1099"/>
    </row>
    <row r="21" spans="1:9" s="1582" customFormat="1" ht="19.5" customHeight="1">
      <c r="A21" s="3477"/>
      <c r="B21" s="3477"/>
      <c r="C21" s="1125" t="s">
        <v>1454</v>
      </c>
      <c r="D21" s="1126"/>
      <c r="E21" s="1148">
        <v>0.8</v>
      </c>
      <c r="F21" s="1127" t="s">
        <v>1455</v>
      </c>
      <c r="G21" s="1128"/>
      <c r="H21" s="1099"/>
      <c r="I21" s="1099"/>
    </row>
    <row r="22" spans="1:9" s="1582" customFormat="1" ht="19.5" customHeight="1">
      <c r="A22" s="3477"/>
      <c r="B22" s="3477"/>
      <c r="C22" s="1125" t="s">
        <v>1456</v>
      </c>
      <c r="D22" s="1126"/>
      <c r="E22" s="1148">
        <v>0.5</v>
      </c>
      <c r="F22" s="1127"/>
      <c r="G22" s="1128"/>
      <c r="H22" s="1099"/>
      <c r="I22" s="1099"/>
    </row>
    <row r="23" spans="1:9" s="1582" customFormat="1" ht="19.5" customHeight="1">
      <c r="A23" s="3477" t="s">
        <v>1029</v>
      </c>
      <c r="B23" s="1148" t="s">
        <v>1446</v>
      </c>
      <c r="C23" s="1125" t="s">
        <v>1457</v>
      </c>
      <c r="D23" s="1126"/>
      <c r="E23" s="1148">
        <v>1</v>
      </c>
      <c r="F23" s="1127" t="s">
        <v>1458</v>
      </c>
      <c r="G23" s="1128"/>
      <c r="H23" s="1099"/>
      <c r="I23" s="1099"/>
    </row>
    <row r="24" spans="1:9" s="1582" customFormat="1" ht="19.5" customHeight="1">
      <c r="A24" s="3477"/>
      <c r="B24" s="3477" t="s">
        <v>1449</v>
      </c>
      <c r="C24" s="1125" t="s">
        <v>1459</v>
      </c>
      <c r="D24" s="1126"/>
      <c r="E24" s="1148">
        <v>0.5</v>
      </c>
      <c r="F24" s="1127"/>
      <c r="G24" s="1128"/>
      <c r="H24" s="1099"/>
      <c r="I24" s="1099"/>
    </row>
    <row r="25" spans="1:9" s="1582" customFormat="1" ht="19.5" customHeight="1">
      <c r="A25" s="3477"/>
      <c r="B25" s="3477"/>
      <c r="C25" s="1125" t="s">
        <v>1460</v>
      </c>
      <c r="D25" s="1126"/>
      <c r="E25" s="1148">
        <v>1.1000000000000001</v>
      </c>
      <c r="F25" s="1127"/>
      <c r="G25" s="1128"/>
      <c r="H25" s="1099"/>
      <c r="I25" s="1099"/>
    </row>
    <row r="26" spans="1:9" s="1582" customFormat="1" ht="19.5" customHeight="1">
      <c r="A26" s="3477"/>
      <c r="B26" s="3477"/>
      <c r="C26" s="1125" t="s">
        <v>1461</v>
      </c>
      <c r="D26" s="1126"/>
      <c r="E26" s="1148">
        <v>1.1000000000000001</v>
      </c>
      <c r="F26" s="1127"/>
      <c r="G26" s="1128"/>
      <c r="H26" s="1099"/>
      <c r="I26" s="1099"/>
    </row>
    <row r="27" spans="1:9" s="1582" customFormat="1" ht="19.5" customHeight="1">
      <c r="A27" s="3477"/>
      <c r="B27" s="3477"/>
      <c r="C27" s="1125" t="s">
        <v>1462</v>
      </c>
      <c r="D27" s="1126"/>
      <c r="E27" s="1148">
        <v>0.9</v>
      </c>
      <c r="F27" s="1127" t="s">
        <v>1463</v>
      </c>
      <c r="G27" s="1128"/>
      <c r="H27" s="1099"/>
      <c r="I27" s="1099"/>
    </row>
    <row r="28" spans="1:9" s="1582" customFormat="1" ht="19.5" customHeight="1">
      <c r="A28" s="3477"/>
      <c r="B28" s="3477"/>
      <c r="C28" s="1125" t="s">
        <v>1464</v>
      </c>
      <c r="D28" s="1126"/>
      <c r="E28" s="1148">
        <v>0.9</v>
      </c>
      <c r="F28" s="1127" t="s">
        <v>1465</v>
      </c>
      <c r="G28" s="1128"/>
      <c r="H28" s="1099"/>
      <c r="I28" s="1099"/>
    </row>
    <row r="29" spans="1:9" s="1582" customFormat="1" ht="19.5" customHeight="1">
      <c r="A29" s="3477"/>
      <c r="B29" s="3477"/>
      <c r="C29" s="1125" t="s">
        <v>1466</v>
      </c>
      <c r="D29" s="1126"/>
      <c r="E29" s="1148">
        <v>0.9</v>
      </c>
      <c r="F29" s="1127" t="s">
        <v>1467</v>
      </c>
      <c r="G29" s="1128"/>
      <c r="H29" s="1099"/>
      <c r="I29" s="1099"/>
    </row>
    <row r="30" spans="1:9" s="1582" customFormat="1" ht="19.5" customHeight="1">
      <c r="A30" s="3477"/>
      <c r="B30" s="3477"/>
      <c r="C30" s="1125" t="s">
        <v>1468</v>
      </c>
      <c r="D30" s="1126"/>
      <c r="E30" s="1148">
        <v>0.9</v>
      </c>
      <c r="F30" s="1127" t="s">
        <v>1469</v>
      </c>
      <c r="G30" s="1128"/>
      <c r="H30" s="1099"/>
      <c r="I30" s="1099"/>
    </row>
    <row r="31" spans="1:9" s="1582" customFormat="1" ht="19.5" customHeight="1">
      <c r="A31" s="3477"/>
      <c r="B31" s="3477"/>
      <c r="C31" s="1125" t="s">
        <v>1470</v>
      </c>
      <c r="D31" s="1126"/>
      <c r="E31" s="1148">
        <v>0.8</v>
      </c>
      <c r="F31" s="1127" t="s">
        <v>1471</v>
      </c>
      <c r="G31" s="1128"/>
      <c r="H31" s="1099"/>
      <c r="I31" s="1099"/>
    </row>
    <row r="32" spans="1:9" s="1582" customFormat="1" ht="19.5" customHeight="1">
      <c r="A32" s="3477"/>
      <c r="B32" s="3477"/>
      <c r="C32" s="1125" t="s">
        <v>1472</v>
      </c>
      <c r="D32" s="1126"/>
      <c r="E32" s="1148">
        <v>0.8</v>
      </c>
      <c r="F32" s="1127" t="s">
        <v>1473</v>
      </c>
      <c r="G32" s="1128"/>
      <c r="H32" s="1099"/>
      <c r="I32" s="1099"/>
    </row>
    <row r="33" spans="1:9" s="1582" customFormat="1" ht="19.5" customHeight="1">
      <c r="A33" s="3477" t="s">
        <v>1474</v>
      </c>
      <c r="B33" s="1148" t="s">
        <v>1446</v>
      </c>
      <c r="C33" s="1125" t="s">
        <v>1475</v>
      </c>
      <c r="D33" s="1126"/>
      <c r="E33" s="1148">
        <v>1</v>
      </c>
      <c r="F33" s="1127" t="s">
        <v>1476</v>
      </c>
      <c r="G33" s="1128"/>
      <c r="H33" s="1099"/>
      <c r="I33" s="1099"/>
    </row>
    <row r="34" spans="1:9" s="1582" customFormat="1" ht="19.5" customHeight="1">
      <c r="A34" s="3477"/>
      <c r="B34" s="1148" t="s">
        <v>1449</v>
      </c>
      <c r="C34" s="1125" t="s">
        <v>1477</v>
      </c>
      <c r="D34" s="1126"/>
      <c r="E34" s="1148">
        <v>1.5</v>
      </c>
      <c r="F34" s="1127" t="s">
        <v>1478</v>
      </c>
      <c r="G34" s="1128"/>
      <c r="H34" s="1099"/>
      <c r="I34" s="1099"/>
    </row>
    <row r="35" spans="1:9" s="1582" customFormat="1" ht="19.5" customHeight="1">
      <c r="A35" s="3477" t="s">
        <v>1432</v>
      </c>
      <c r="B35" s="1148" t="s">
        <v>1446</v>
      </c>
      <c r="C35" s="1125" t="s">
        <v>1479</v>
      </c>
      <c r="D35" s="1126"/>
      <c r="E35" s="1148">
        <v>1</v>
      </c>
      <c r="F35" s="1127" t="s">
        <v>1480</v>
      </c>
      <c r="G35" s="1128"/>
      <c r="H35" s="1099"/>
      <c r="I35" s="1099"/>
    </row>
    <row r="36" spans="1:9" s="1582" customFormat="1" ht="19.5" customHeight="1">
      <c r="A36" s="3477"/>
      <c r="B36" s="3477" t="s">
        <v>1449</v>
      </c>
      <c r="C36" s="1125" t="s">
        <v>1481</v>
      </c>
      <c r="D36" s="1126"/>
      <c r="E36" s="1148">
        <v>1</v>
      </c>
      <c r="F36" s="1127" t="s">
        <v>1482</v>
      </c>
      <c r="G36" s="1128"/>
      <c r="H36" s="1099"/>
      <c r="I36" s="1099"/>
    </row>
    <row r="37" spans="1:9" s="1582" customFormat="1" ht="19.5" customHeight="1">
      <c r="A37" s="3477"/>
      <c r="B37" s="3477"/>
      <c r="C37" s="1125" t="s">
        <v>1483</v>
      </c>
      <c r="D37" s="1126"/>
      <c r="E37" s="1148">
        <v>1.5</v>
      </c>
      <c r="F37" s="1127" t="s">
        <v>1484</v>
      </c>
      <c r="G37" s="1128"/>
      <c r="H37" s="1099"/>
      <c r="I37" s="1099"/>
    </row>
    <row r="38" spans="1:9" s="1582" customFormat="1" ht="19.5" customHeight="1">
      <c r="A38" s="3477"/>
      <c r="B38" s="3477"/>
      <c r="C38" s="1125" t="s">
        <v>1485</v>
      </c>
      <c r="D38" s="1126"/>
      <c r="E38" s="1148">
        <v>1</v>
      </c>
      <c r="F38" s="1127" t="s">
        <v>1486</v>
      </c>
      <c r="G38" s="1128"/>
      <c r="H38" s="1099"/>
      <c r="I38" s="1099"/>
    </row>
    <row r="39" spans="1:9" s="1582" customFormat="1" ht="19.5" customHeight="1">
      <c r="A39" s="3477"/>
      <c r="B39" s="3477"/>
      <c r="C39" s="1125" t="s">
        <v>1487</v>
      </c>
      <c r="D39" s="1126"/>
      <c r="E39" s="1148">
        <v>1</v>
      </c>
      <c r="F39" s="1127" t="s">
        <v>1488</v>
      </c>
      <c r="G39" s="1128"/>
      <c r="H39" s="1099"/>
      <c r="I39" s="1099"/>
    </row>
    <row r="40" spans="1:9" s="1582" customFormat="1" ht="19.5" customHeight="1">
      <c r="A40" s="1583" t="s">
        <v>1489</v>
      </c>
      <c r="B40" s="1583"/>
      <c r="C40" s="1583"/>
      <c r="D40" s="1583"/>
      <c r="E40" s="1583"/>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77" t="s">
        <v>1501</v>
      </c>
      <c r="C61" s="1062" t="s">
        <v>1502</v>
      </c>
      <c r="D61" s="1062" t="s">
        <v>1503</v>
      </c>
      <c r="E61" s="1133">
        <v>0.5</v>
      </c>
      <c r="F61" s="1148">
        <v>80</v>
      </c>
      <c r="H61" s="1099">
        <f>SUMIF(C59:C119,基准地价!C8,E59:E119)</f>
        <v>0</v>
      </c>
    </row>
    <row r="62" spans="1:8" s="1099" customFormat="1" ht="24">
      <c r="A62" s="1148">
        <v>2</v>
      </c>
      <c r="B62" s="3477"/>
      <c r="C62" s="1062" t="s">
        <v>1504</v>
      </c>
      <c r="D62" s="1062" t="s">
        <v>1505</v>
      </c>
      <c r="E62" s="1133">
        <v>0.5</v>
      </c>
      <c r="F62" s="1148">
        <v>80</v>
      </c>
    </row>
    <row r="63" spans="1:8" s="1099" customFormat="1" ht="36">
      <c r="A63" s="1148">
        <v>3</v>
      </c>
      <c r="B63" s="3477"/>
      <c r="C63" s="1062" t="s">
        <v>1506</v>
      </c>
      <c r="D63" s="1062" t="s">
        <v>1507</v>
      </c>
      <c r="E63" s="1133">
        <v>0.5</v>
      </c>
      <c r="F63" s="1148">
        <v>80</v>
      </c>
    </row>
    <row r="64" spans="1:8" s="1099" customFormat="1" ht="36">
      <c r="A64" s="1148">
        <v>4</v>
      </c>
      <c r="B64" s="3477"/>
      <c r="C64" s="1062" t="s">
        <v>1508</v>
      </c>
      <c r="D64" s="1062" t="s">
        <v>1509</v>
      </c>
      <c r="E64" s="1133">
        <v>0.4</v>
      </c>
      <c r="F64" s="1148">
        <v>60</v>
      </c>
    </row>
    <row r="65" spans="1:6" s="1099" customFormat="1" ht="36">
      <c r="A65" s="1148">
        <v>5</v>
      </c>
      <c r="B65" s="3477"/>
      <c r="C65" s="1062" t="s">
        <v>1510</v>
      </c>
      <c r="D65" s="1062" t="s">
        <v>1511</v>
      </c>
      <c r="E65" s="1133">
        <v>0.2</v>
      </c>
      <c r="F65" s="1148">
        <v>30</v>
      </c>
    </row>
    <row r="66" spans="1:6" s="1099" customFormat="1" ht="36">
      <c r="A66" s="1148">
        <v>6</v>
      </c>
      <c r="B66" s="3477"/>
      <c r="C66" s="1062" t="s">
        <v>1512</v>
      </c>
      <c r="D66" s="1062" t="s">
        <v>1513</v>
      </c>
      <c r="E66" s="1133">
        <v>0.3</v>
      </c>
      <c r="F66" s="1148">
        <v>50</v>
      </c>
    </row>
    <row r="67" spans="1:6" s="1099" customFormat="1" ht="36">
      <c r="A67" s="1148">
        <v>7</v>
      </c>
      <c r="B67" s="3477"/>
      <c r="C67" s="1062" t="s">
        <v>1514</v>
      </c>
      <c r="D67" s="1062" t="s">
        <v>1515</v>
      </c>
      <c r="E67" s="1133">
        <v>0.2</v>
      </c>
      <c r="F67" s="1148">
        <v>30</v>
      </c>
    </row>
    <row r="68" spans="1:6" s="1099" customFormat="1" ht="36">
      <c r="A68" s="1148">
        <v>8</v>
      </c>
      <c r="B68" s="3477"/>
      <c r="C68" s="1062" t="s">
        <v>1516</v>
      </c>
      <c r="D68" s="1062" t="s">
        <v>1517</v>
      </c>
      <c r="E68" s="1133">
        <v>0.2</v>
      </c>
      <c r="F68" s="1148">
        <v>30</v>
      </c>
    </row>
    <row r="69" spans="1:6" s="1099" customFormat="1" ht="36">
      <c r="A69" s="1148">
        <v>9</v>
      </c>
      <c r="B69" s="3477"/>
      <c r="C69" s="1062" t="s">
        <v>1518</v>
      </c>
      <c r="D69" s="1062" t="s">
        <v>1519</v>
      </c>
      <c r="E69" s="1133">
        <v>0.2</v>
      </c>
      <c r="F69" s="1148">
        <v>30</v>
      </c>
    </row>
    <row r="70" spans="1:6" s="1099" customFormat="1" ht="48">
      <c r="A70" s="1148">
        <v>10</v>
      </c>
      <c r="B70" s="3477"/>
      <c r="C70" s="1062" t="s">
        <v>1520</v>
      </c>
      <c r="D70" s="1062" t="s">
        <v>1521</v>
      </c>
      <c r="E70" s="1133">
        <v>0.2</v>
      </c>
      <c r="F70" s="1148">
        <v>30</v>
      </c>
    </row>
    <row r="71" spans="1:6" s="1099" customFormat="1" ht="48">
      <c r="A71" s="1148">
        <v>11</v>
      </c>
      <c r="B71" s="3477"/>
      <c r="C71" s="1062" t="s">
        <v>1522</v>
      </c>
      <c r="D71" s="1062" t="s">
        <v>1523</v>
      </c>
      <c r="E71" s="1133">
        <v>0.2</v>
      </c>
      <c r="F71" s="1148">
        <v>30</v>
      </c>
    </row>
    <row r="72" spans="1:6" s="1099" customFormat="1" ht="36">
      <c r="A72" s="1148">
        <v>12</v>
      </c>
      <c r="B72" s="3477"/>
      <c r="C72" s="1062" t="s">
        <v>1524</v>
      </c>
      <c r="D72" s="1062" t="s">
        <v>1525</v>
      </c>
      <c r="E72" s="1133">
        <v>0.5</v>
      </c>
      <c r="F72" s="1148">
        <v>80</v>
      </c>
    </row>
    <row r="73" spans="1:6" s="1099" customFormat="1" ht="24">
      <c r="A73" s="1148">
        <v>13</v>
      </c>
      <c r="B73" s="3477"/>
      <c r="C73" s="1062" t="s">
        <v>1526</v>
      </c>
      <c r="D73" s="1062" t="s">
        <v>1527</v>
      </c>
      <c r="E73" s="1133">
        <v>0.4</v>
      </c>
      <c r="F73" s="1148">
        <v>60</v>
      </c>
    </row>
    <row r="74" spans="1:6" s="1099" customFormat="1" ht="24">
      <c r="A74" s="1148">
        <v>14</v>
      </c>
      <c r="B74" s="3477"/>
      <c r="C74" s="1062" t="s">
        <v>1528</v>
      </c>
      <c r="D74" s="1062" t="s">
        <v>1529</v>
      </c>
      <c r="E74" s="1133">
        <v>0.2</v>
      </c>
      <c r="F74" s="1148">
        <v>30</v>
      </c>
    </row>
    <row r="75" spans="1:6" s="1099" customFormat="1" ht="24">
      <c r="A75" s="1148">
        <v>15</v>
      </c>
      <c r="B75" s="3477"/>
      <c r="C75" s="1062" t="s">
        <v>1530</v>
      </c>
      <c r="D75" s="1062" t="s">
        <v>1531</v>
      </c>
      <c r="E75" s="1133">
        <v>0.2</v>
      </c>
      <c r="F75" s="1148">
        <v>30</v>
      </c>
    </row>
    <row r="76" spans="1:6" s="1099" customFormat="1" ht="24">
      <c r="A76" s="1148">
        <v>16</v>
      </c>
      <c r="B76" s="3477" t="s">
        <v>1532</v>
      </c>
      <c r="C76" s="1062" t="s">
        <v>1533</v>
      </c>
      <c r="D76" s="1062" t="s">
        <v>1534</v>
      </c>
      <c r="E76" s="1133">
        <v>0.5</v>
      </c>
      <c r="F76" s="1148">
        <v>80</v>
      </c>
    </row>
    <row r="77" spans="1:6" s="1099" customFormat="1" ht="24">
      <c r="A77" s="1148">
        <v>17</v>
      </c>
      <c r="B77" s="3477"/>
      <c r="C77" s="1062" t="s">
        <v>1535</v>
      </c>
      <c r="D77" s="1062" t="s">
        <v>1536</v>
      </c>
      <c r="E77" s="1133">
        <v>0.5</v>
      </c>
      <c r="F77" s="1148">
        <v>80</v>
      </c>
    </row>
    <row r="78" spans="1:6" s="1099" customFormat="1" ht="24">
      <c r="A78" s="1148">
        <v>18</v>
      </c>
      <c r="B78" s="3477"/>
      <c r="C78" s="1062" t="s">
        <v>1537</v>
      </c>
      <c r="D78" s="1062" t="s">
        <v>1538</v>
      </c>
      <c r="E78" s="1133">
        <v>0.2</v>
      </c>
      <c r="F78" s="1148">
        <v>30</v>
      </c>
    </row>
    <row r="79" spans="1:6" s="1099" customFormat="1" ht="24">
      <c r="A79" s="1148">
        <v>19</v>
      </c>
      <c r="B79" s="3477"/>
      <c r="C79" s="1062" t="s">
        <v>1539</v>
      </c>
      <c r="D79" s="1062" t="s">
        <v>1540</v>
      </c>
      <c r="E79" s="1133">
        <v>0.5</v>
      </c>
      <c r="F79" s="1148">
        <v>80</v>
      </c>
    </row>
    <row r="80" spans="1:6" s="1099" customFormat="1" ht="36">
      <c r="A80" s="1148">
        <v>20</v>
      </c>
      <c r="B80" s="3477"/>
      <c r="C80" s="1062" t="s">
        <v>1541</v>
      </c>
      <c r="D80" s="1062" t="s">
        <v>1542</v>
      </c>
      <c r="E80" s="1133">
        <v>0.2</v>
      </c>
      <c r="F80" s="1148">
        <v>30</v>
      </c>
    </row>
    <row r="81" spans="1:6" s="1099" customFormat="1" ht="36">
      <c r="A81" s="1148">
        <v>21</v>
      </c>
      <c r="B81" s="3477"/>
      <c r="C81" s="1062" t="s">
        <v>1543</v>
      </c>
      <c r="D81" s="1062" t="s">
        <v>1544</v>
      </c>
      <c r="E81" s="1133">
        <v>0.2</v>
      </c>
      <c r="F81" s="1148">
        <v>30</v>
      </c>
    </row>
    <row r="82" spans="1:6" s="1099" customFormat="1" ht="48">
      <c r="A82" s="1148">
        <v>22</v>
      </c>
      <c r="B82" s="3477"/>
      <c r="C82" s="1062" t="s">
        <v>1545</v>
      </c>
      <c r="D82" s="1062" t="s">
        <v>1546</v>
      </c>
      <c r="E82" s="1133">
        <v>0.2</v>
      </c>
      <c r="F82" s="1148">
        <v>30</v>
      </c>
    </row>
    <row r="83" spans="1:6" s="1099" customFormat="1" ht="48">
      <c r="A83" s="1148">
        <v>23</v>
      </c>
      <c r="B83" s="3477"/>
      <c r="C83" s="1062" t="s">
        <v>1547</v>
      </c>
      <c r="D83" s="1062" t="s">
        <v>1548</v>
      </c>
      <c r="E83" s="1133">
        <v>0.2</v>
      </c>
      <c r="F83" s="1148">
        <v>30</v>
      </c>
    </row>
    <row r="84" spans="1:6" s="1099" customFormat="1" ht="36">
      <c r="A84" s="1148">
        <v>24</v>
      </c>
      <c r="B84" s="3477"/>
      <c r="C84" s="1062" t="s">
        <v>1549</v>
      </c>
      <c r="D84" s="1062" t="s">
        <v>1550</v>
      </c>
      <c r="E84" s="1133">
        <v>0.2</v>
      </c>
      <c r="F84" s="1148">
        <v>30</v>
      </c>
    </row>
    <row r="85" spans="1:6" s="1099" customFormat="1" ht="36">
      <c r="A85" s="1148">
        <v>25</v>
      </c>
      <c r="B85" s="3477"/>
      <c r="C85" s="1062" t="s">
        <v>1551</v>
      </c>
      <c r="D85" s="1062" t="s">
        <v>1552</v>
      </c>
      <c r="E85" s="1133">
        <v>0.5</v>
      </c>
      <c r="F85" s="1148">
        <v>80</v>
      </c>
    </row>
    <row r="86" spans="1:6" s="1099" customFormat="1" ht="36">
      <c r="A86" s="1148">
        <v>26</v>
      </c>
      <c r="B86" s="3477"/>
      <c r="C86" s="1062" t="s">
        <v>1553</v>
      </c>
      <c r="D86" s="1062" t="s">
        <v>1554</v>
      </c>
      <c r="E86" s="1133">
        <v>0.2</v>
      </c>
      <c r="F86" s="1148">
        <v>30</v>
      </c>
    </row>
    <row r="87" spans="1:6" s="1099" customFormat="1" ht="36">
      <c r="A87" s="1148">
        <v>27</v>
      </c>
      <c r="B87" s="3477"/>
      <c r="C87" s="1062" t="s">
        <v>1555</v>
      </c>
      <c r="D87" s="1062" t="s">
        <v>1556</v>
      </c>
      <c r="E87" s="1133">
        <v>0.2</v>
      </c>
      <c r="F87" s="1148">
        <v>30</v>
      </c>
    </row>
    <row r="88" spans="1:6" s="1099" customFormat="1" ht="36">
      <c r="A88" s="1148">
        <v>28</v>
      </c>
      <c r="B88" s="3477"/>
      <c r="C88" s="1062" t="s">
        <v>1557</v>
      </c>
      <c r="D88" s="1062" t="s">
        <v>1558</v>
      </c>
      <c r="E88" s="1133">
        <v>0.2</v>
      </c>
      <c r="F88" s="1148">
        <v>30</v>
      </c>
    </row>
    <row r="89" spans="1:6" s="1099" customFormat="1" ht="24">
      <c r="A89" s="1148">
        <v>29</v>
      </c>
      <c r="B89" s="3477"/>
      <c r="C89" s="1062" t="s">
        <v>1559</v>
      </c>
      <c r="D89" s="1062" t="s">
        <v>1560</v>
      </c>
      <c r="E89" s="1133">
        <v>0.2</v>
      </c>
      <c r="F89" s="1148">
        <v>30</v>
      </c>
    </row>
    <row r="90" spans="1:6" s="1099" customFormat="1" ht="24">
      <c r="A90" s="1148">
        <v>30</v>
      </c>
      <c r="B90" s="3477"/>
      <c r="C90" s="1062" t="s">
        <v>1561</v>
      </c>
      <c r="D90" s="1062" t="s">
        <v>1562</v>
      </c>
      <c r="E90" s="1133">
        <v>0.2</v>
      </c>
      <c r="F90" s="1148">
        <v>30</v>
      </c>
    </row>
    <row r="91" spans="1:6" s="1099" customFormat="1" ht="36">
      <c r="A91" s="1148">
        <v>31</v>
      </c>
      <c r="B91" s="3477"/>
      <c r="C91" s="1062" t="s">
        <v>1563</v>
      </c>
      <c r="D91" s="1062" t="s">
        <v>1564</v>
      </c>
      <c r="E91" s="1133">
        <v>0.2</v>
      </c>
      <c r="F91" s="1148">
        <v>30</v>
      </c>
    </row>
    <row r="92" spans="1:6" s="1099" customFormat="1" ht="24">
      <c r="A92" s="1148">
        <v>32</v>
      </c>
      <c r="B92" s="3477" t="s">
        <v>1565</v>
      </c>
      <c r="C92" s="1148" t="s">
        <v>1566</v>
      </c>
      <c r="D92" s="1062" t="s">
        <v>1567</v>
      </c>
      <c r="E92" s="1133">
        <v>0.2</v>
      </c>
      <c r="F92" s="1148">
        <v>30</v>
      </c>
    </row>
    <row r="93" spans="1:6" s="1099" customFormat="1" ht="36">
      <c r="A93" s="1148">
        <v>33</v>
      </c>
      <c r="B93" s="3477"/>
      <c r="C93" s="1148" t="s">
        <v>1568</v>
      </c>
      <c r="D93" s="1062" t="s">
        <v>1569</v>
      </c>
      <c r="E93" s="1133">
        <v>0.2</v>
      </c>
      <c r="F93" s="1148">
        <v>30</v>
      </c>
    </row>
    <row r="94" spans="1:6" s="1099" customFormat="1" ht="48">
      <c r="A94" s="1148">
        <v>34</v>
      </c>
      <c r="B94" s="3477"/>
      <c r="C94" s="1148" t="s">
        <v>1570</v>
      </c>
      <c r="D94" s="1062" t="s">
        <v>1571</v>
      </c>
      <c r="E94" s="1133">
        <v>0.2</v>
      </c>
      <c r="F94" s="1148">
        <v>30</v>
      </c>
    </row>
    <row r="95" spans="1:6" s="1099" customFormat="1" ht="36">
      <c r="A95" s="1148">
        <v>35</v>
      </c>
      <c r="B95" s="3477"/>
      <c r="C95" s="1148" t="s">
        <v>1572</v>
      </c>
      <c r="D95" s="1062" t="s">
        <v>1573</v>
      </c>
      <c r="E95" s="1133">
        <v>0.2</v>
      </c>
      <c r="F95" s="1148">
        <v>30</v>
      </c>
    </row>
    <row r="96" spans="1:6" s="1099" customFormat="1" ht="48">
      <c r="A96" s="1148">
        <v>36</v>
      </c>
      <c r="B96" s="3477"/>
      <c r="C96" s="1062" t="s">
        <v>1574</v>
      </c>
      <c r="D96" s="1062" t="s">
        <v>1575</v>
      </c>
      <c r="E96" s="1133">
        <v>0.2</v>
      </c>
      <c r="F96" s="1148">
        <v>30</v>
      </c>
    </row>
    <row r="97" spans="1:6" s="1099" customFormat="1" ht="36">
      <c r="A97" s="1148">
        <v>37</v>
      </c>
      <c r="B97" s="3477"/>
      <c r="C97" s="1148" t="s">
        <v>1576</v>
      </c>
      <c r="D97" s="1062" t="s">
        <v>1577</v>
      </c>
      <c r="E97" s="1133">
        <v>0.2</v>
      </c>
      <c r="F97" s="1148">
        <v>30</v>
      </c>
    </row>
    <row r="98" spans="1:6" s="1099" customFormat="1" ht="36">
      <c r="A98" s="1148">
        <v>38</v>
      </c>
      <c r="B98" s="3477"/>
      <c r="C98" s="1148" t="s">
        <v>1578</v>
      </c>
      <c r="D98" s="1062" t="s">
        <v>1579</v>
      </c>
      <c r="E98" s="1133">
        <v>0.2</v>
      </c>
      <c r="F98" s="1148">
        <v>30</v>
      </c>
    </row>
    <row r="99" spans="1:6" s="1099" customFormat="1" ht="36">
      <c r="A99" s="1148">
        <v>39</v>
      </c>
      <c r="B99" s="3477" t="s">
        <v>1580</v>
      </c>
      <c r="C99" s="1148" t="s">
        <v>1581</v>
      </c>
      <c r="D99" s="1062" t="s">
        <v>1582</v>
      </c>
      <c r="E99" s="1133">
        <v>0.3</v>
      </c>
      <c r="F99" s="1148">
        <v>50</v>
      </c>
    </row>
    <row r="100" spans="1:6" s="1099" customFormat="1" ht="24">
      <c r="A100" s="1148">
        <v>40</v>
      </c>
      <c r="B100" s="3477"/>
      <c r="C100" s="1148" t="s">
        <v>1583</v>
      </c>
      <c r="D100" s="1062" t="s">
        <v>1584</v>
      </c>
      <c r="E100" s="1133">
        <v>0.2</v>
      </c>
      <c r="F100" s="1148">
        <v>30</v>
      </c>
    </row>
    <row r="101" spans="1:6" s="1099" customFormat="1" ht="36">
      <c r="A101" s="1148">
        <v>41</v>
      </c>
      <c r="B101" s="3477"/>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77" t="s">
        <v>1595</v>
      </c>
      <c r="C105" s="1148" t="s">
        <v>1596</v>
      </c>
      <c r="D105" s="1062" t="s">
        <v>1597</v>
      </c>
      <c r="E105" s="1133">
        <v>0.2</v>
      </c>
      <c r="F105" s="1148">
        <v>30</v>
      </c>
    </row>
    <row r="106" spans="1:6" s="1099" customFormat="1" ht="36">
      <c r="A106" s="1148">
        <v>46</v>
      </c>
      <c r="B106" s="3477"/>
      <c r="C106" s="1148" t="s">
        <v>1598</v>
      </c>
      <c r="D106" s="1062" t="s">
        <v>1599</v>
      </c>
      <c r="E106" s="1133">
        <v>0.2</v>
      </c>
      <c r="F106" s="1148">
        <v>30</v>
      </c>
    </row>
    <row r="107" spans="1:6" s="1099" customFormat="1" ht="36">
      <c r="A107" s="1148">
        <v>47</v>
      </c>
      <c r="B107" s="3477" t="s">
        <v>1600</v>
      </c>
      <c r="C107" s="1148" t="s">
        <v>1601</v>
      </c>
      <c r="D107" s="1062" t="s">
        <v>1602</v>
      </c>
      <c r="E107" s="1133">
        <v>0.3</v>
      </c>
      <c r="F107" s="1148">
        <v>50</v>
      </c>
    </row>
    <row r="108" spans="1:6" s="1099" customFormat="1" ht="36">
      <c r="A108" s="1148">
        <v>48</v>
      </c>
      <c r="B108" s="3477"/>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77" t="s">
        <v>1611</v>
      </c>
      <c r="C111" s="1148" t="s">
        <v>1612</v>
      </c>
      <c r="D111" s="1062" t="s">
        <v>1613</v>
      </c>
      <c r="E111" s="1133">
        <v>0.2</v>
      </c>
      <c r="F111" s="1148">
        <v>30</v>
      </c>
    </row>
    <row r="112" spans="1:6" s="1099" customFormat="1" ht="24">
      <c r="A112" s="1148">
        <v>52</v>
      </c>
      <c r="B112" s="3477"/>
      <c r="C112" s="1148" t="s">
        <v>1614</v>
      </c>
      <c r="D112" s="1062" t="s">
        <v>1615</v>
      </c>
      <c r="E112" s="1133">
        <v>0.2</v>
      </c>
      <c r="F112" s="1148">
        <v>30</v>
      </c>
    </row>
    <row r="113" spans="1:14" s="1099" customFormat="1" ht="24">
      <c r="A113" s="1148">
        <v>53</v>
      </c>
      <c r="B113" s="3477"/>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77" t="s">
        <v>1624</v>
      </c>
      <c r="C116" s="1148" t="s">
        <v>1625</v>
      </c>
      <c r="D116" s="1062" t="s">
        <v>1626</v>
      </c>
      <c r="E116" s="1133">
        <v>0.2</v>
      </c>
      <c r="F116" s="1148">
        <v>30</v>
      </c>
    </row>
    <row r="117" spans="1:14" ht="36">
      <c r="A117" s="1148">
        <v>57</v>
      </c>
      <c r="B117" s="3477"/>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76" t="s">
        <v>1633</v>
      </c>
      <c r="B121" s="3476"/>
      <c r="C121" s="3476"/>
      <c r="D121" s="3476"/>
      <c r="E121" s="3476"/>
      <c r="F121" s="3476"/>
      <c r="G121" s="3476"/>
      <c r="H121" s="3476"/>
      <c r="I121" s="3476"/>
      <c r="J121" s="347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81" t="s">
        <v>1039</v>
      </c>
      <c r="B1" s="3481"/>
      <c r="C1" s="3481"/>
      <c r="D1" s="3481"/>
      <c r="E1" s="3481"/>
      <c r="F1" s="3481"/>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82" t="s">
        <v>1052</v>
      </c>
      <c r="B2" s="3482"/>
      <c r="C2" s="3482"/>
      <c r="D2" s="3482"/>
      <c r="E2" s="3482"/>
      <c r="F2" s="3482"/>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83"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84"/>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2421</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2422</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85" t="s">
        <v>2078</v>
      </c>
      <c r="B1" s="3485"/>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1096</v>
      </c>
      <c r="B6" s="1842" t="s">
        <v>2087</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2088</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2089</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2090</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2091</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2092</v>
      </c>
      <c r="C72" s="1852"/>
      <c r="D72" s="1852"/>
      <c r="E72" s="1852"/>
      <c r="F72" s="1844">
        <v>0.05</v>
      </c>
    </row>
    <row r="73" spans="1:6" ht="14.25" thickBot="1">
      <c r="A73" s="1838" t="s">
        <v>925</v>
      </c>
      <c r="B73" s="1842" t="s">
        <v>2093</v>
      </c>
      <c r="C73" s="1852"/>
      <c r="D73" s="1852"/>
      <c r="E73" s="1852"/>
      <c r="F73" s="1844">
        <v>0.05</v>
      </c>
    </row>
    <row r="74" spans="1:6" ht="14.25" thickBot="1">
      <c r="A74" s="1838" t="s">
        <v>925</v>
      </c>
      <c r="B74" s="1842" t="s">
        <v>2094</v>
      </c>
      <c r="C74" s="1852"/>
      <c r="D74" s="1852"/>
      <c r="E74" s="1852"/>
      <c r="F74" s="1844">
        <v>0.05</v>
      </c>
    </row>
    <row r="75" spans="1:6" ht="14.25" thickBot="1">
      <c r="A75" s="1846" t="s">
        <v>925</v>
      </c>
      <c r="B75" s="1853" t="s">
        <v>2095</v>
      </c>
      <c r="C75" s="1849"/>
      <c r="D75" s="1849"/>
      <c r="E75" s="1849"/>
      <c r="F75" s="1854">
        <v>0.05</v>
      </c>
    </row>
    <row r="76" spans="1:6" ht="14.25" thickBot="1">
      <c r="A76" s="1838" t="s">
        <v>1407</v>
      </c>
      <c r="B76" s="1839" t="s">
        <v>2096</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2097</v>
      </c>
      <c r="C102" s="1852"/>
      <c r="D102" s="1852"/>
      <c r="E102" s="1852"/>
      <c r="F102" s="1844">
        <v>0.05</v>
      </c>
    </row>
    <row r="103" spans="1:6" ht="24.75" thickBot="1">
      <c r="A103" s="1838" t="s">
        <v>1407</v>
      </c>
      <c r="B103" s="1842" t="s">
        <v>2098</v>
      </c>
      <c r="C103" s="1852"/>
      <c r="D103" s="1852"/>
      <c r="E103" s="1852"/>
      <c r="F103" s="1844">
        <v>0.05</v>
      </c>
    </row>
    <row r="104" spans="1:6" ht="14.25" thickBot="1">
      <c r="A104" s="1838" t="s">
        <v>1407</v>
      </c>
      <c r="B104" s="1842" t="s">
        <v>2099</v>
      </c>
      <c r="C104" s="1852"/>
      <c r="D104" s="1852"/>
      <c r="E104" s="1852"/>
      <c r="F104" s="1844">
        <v>0.05</v>
      </c>
    </row>
    <row r="105" spans="1:6" ht="14.25" thickBot="1">
      <c r="A105" s="1838" t="s">
        <v>1407</v>
      </c>
      <c r="B105" s="1842" t="s">
        <v>2100</v>
      </c>
      <c r="C105" s="1852"/>
      <c r="D105" s="1852"/>
      <c r="E105" s="1852"/>
      <c r="F105" s="1844">
        <v>0.05</v>
      </c>
    </row>
    <row r="106" spans="1:6" ht="14.25" thickBot="1">
      <c r="A106" s="1838" t="s">
        <v>1407</v>
      </c>
      <c r="B106" s="1842" t="s">
        <v>2101</v>
      </c>
      <c r="C106" s="1852"/>
      <c r="D106" s="1852"/>
      <c r="E106" s="1852"/>
      <c r="F106" s="1844">
        <v>0.05</v>
      </c>
    </row>
    <row r="107" spans="1:6" ht="24.75" thickBot="1">
      <c r="A107" s="1838" t="s">
        <v>1407</v>
      </c>
      <c r="B107" s="1842" t="s">
        <v>2102</v>
      </c>
      <c r="C107" s="1852"/>
      <c r="D107" s="1852"/>
      <c r="E107" s="1852"/>
      <c r="F107" s="1844">
        <v>0.05</v>
      </c>
    </row>
    <row r="108" spans="1:6" ht="24.75" thickBot="1">
      <c r="A108" s="1838" t="s">
        <v>1407</v>
      </c>
      <c r="B108" s="1842" t="s">
        <v>2103</v>
      </c>
      <c r="C108" s="1852"/>
      <c r="D108" s="1852"/>
      <c r="E108" s="1852"/>
      <c r="F108" s="1844">
        <v>0.05</v>
      </c>
    </row>
    <row r="109" spans="1:6" ht="24.75" thickBot="1">
      <c r="A109" s="1846" t="s">
        <v>1407</v>
      </c>
      <c r="B109" s="1853" t="s">
        <v>2104</v>
      </c>
      <c r="C109" s="1849"/>
      <c r="D109" s="1849"/>
      <c r="E109" s="1849"/>
      <c r="F109" s="1854">
        <v>0.05</v>
      </c>
    </row>
    <row r="110" spans="1:6" ht="14.25" thickBot="1">
      <c r="A110" s="1838" t="s">
        <v>1409</v>
      </c>
      <c r="B110" s="1839" t="s">
        <v>2105</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2106</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2107</v>
      </c>
      <c r="C138" s="1843">
        <v>0.105</v>
      </c>
      <c r="D138" s="1843">
        <v>0.125</v>
      </c>
      <c r="E138" s="1843">
        <v>0.112</v>
      </c>
      <c r="F138" s="1851"/>
    </row>
    <row r="139" spans="1:6" ht="14.25" thickBot="1">
      <c r="A139" s="1838" t="s">
        <v>1409</v>
      </c>
      <c r="B139" s="1842" t="s">
        <v>2108</v>
      </c>
      <c r="C139" s="1843">
        <v>0.127</v>
      </c>
      <c r="D139" s="1843">
        <v>0.127</v>
      </c>
      <c r="E139" s="1843">
        <v>0.122</v>
      </c>
      <c r="F139" s="1844">
        <v>0.13</v>
      </c>
    </row>
    <row r="140" spans="1:6" ht="14.25" thickBot="1">
      <c r="A140" s="1838" t="s">
        <v>1409</v>
      </c>
      <c r="B140" s="1842" t="s">
        <v>2109</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2110</v>
      </c>
      <c r="C144" s="1856">
        <v>0.126</v>
      </c>
      <c r="D144" s="1856">
        <v>0.126</v>
      </c>
      <c r="E144" s="1856">
        <v>0.121</v>
      </c>
      <c r="F144" s="1851"/>
    </row>
    <row r="145" spans="1:6" ht="14.25" thickBot="1">
      <c r="A145" s="1846" t="s">
        <v>1409</v>
      </c>
      <c r="B145" s="1857" t="s">
        <v>2111</v>
      </c>
      <c r="C145" s="1858"/>
      <c r="D145" s="1858"/>
      <c r="E145" s="1858"/>
      <c r="F145" s="1859">
        <v>0.05</v>
      </c>
    </row>
    <row r="146" spans="1:6" ht="24.75" thickBot="1">
      <c r="A146" s="1860" t="s">
        <v>1409</v>
      </c>
      <c r="B146" s="1845" t="s">
        <v>2112</v>
      </c>
      <c r="C146" s="1852"/>
      <c r="D146" s="1852"/>
      <c r="E146" s="1852"/>
      <c r="F146" s="1861">
        <v>0.05</v>
      </c>
    </row>
    <row r="147" spans="1:6" ht="24.75" thickBot="1">
      <c r="A147" s="1838" t="s">
        <v>1409</v>
      </c>
      <c r="B147" s="1842" t="s">
        <v>2113</v>
      </c>
      <c r="C147" s="1852"/>
      <c r="D147" s="1852"/>
      <c r="E147" s="1852"/>
      <c r="F147" s="1844">
        <v>0.05</v>
      </c>
    </row>
    <row r="148" spans="1:6" ht="24.75" thickBot="1">
      <c r="A148" s="1838" t="s">
        <v>1409</v>
      </c>
      <c r="B148" s="1842" t="s">
        <v>2114</v>
      </c>
      <c r="C148" s="1852"/>
      <c r="D148" s="1852"/>
      <c r="E148" s="1852"/>
      <c r="F148" s="1844">
        <v>0.05</v>
      </c>
    </row>
    <row r="149" spans="1:6" ht="24.75" thickBot="1">
      <c r="A149" s="1838" t="s">
        <v>1409</v>
      </c>
      <c r="B149" s="1842" t="s">
        <v>2115</v>
      </c>
      <c r="C149" s="1852"/>
      <c r="D149" s="1852"/>
      <c r="E149" s="1852"/>
      <c r="F149" s="1844">
        <v>0.05</v>
      </c>
    </row>
    <row r="150" spans="1:6" ht="24.75" thickBot="1">
      <c r="A150" s="1838" t="s">
        <v>1409</v>
      </c>
      <c r="B150" s="1842" t="s">
        <v>2116</v>
      </c>
      <c r="C150" s="1852"/>
      <c r="D150" s="1852"/>
      <c r="E150" s="1852"/>
      <c r="F150" s="1844">
        <v>0.05</v>
      </c>
    </row>
    <row r="151" spans="1:6" ht="24.75" thickBot="1">
      <c r="A151" s="1838" t="s">
        <v>1409</v>
      </c>
      <c r="B151" s="1842" t="s">
        <v>2117</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2118</v>
      </c>
      <c r="C153" s="1852"/>
      <c r="D153" s="1852"/>
      <c r="E153" s="1852"/>
      <c r="F153" s="1844">
        <v>0.05</v>
      </c>
    </row>
    <row r="154" spans="1:6" ht="14.25" thickBot="1">
      <c r="A154" s="1838" t="s">
        <v>1409</v>
      </c>
      <c r="B154" s="1842" t="s">
        <v>2119</v>
      </c>
      <c r="C154" s="1852"/>
      <c r="D154" s="1852"/>
      <c r="E154" s="1852"/>
      <c r="F154" s="1844">
        <v>0.05</v>
      </c>
    </row>
    <row r="155" spans="1:6" ht="24.75" thickBot="1">
      <c r="A155" s="1838" t="s">
        <v>1409</v>
      </c>
      <c r="B155" s="1842" t="s">
        <v>2120</v>
      </c>
      <c r="C155" s="1852"/>
      <c r="D155" s="1852"/>
      <c r="E155" s="1852"/>
      <c r="F155" s="1844">
        <v>0.05</v>
      </c>
    </row>
    <row r="156" spans="1:6" ht="24.75" thickBot="1">
      <c r="A156" s="1838" t="s">
        <v>1409</v>
      </c>
      <c r="B156" s="1842" t="s">
        <v>2121</v>
      </c>
      <c r="C156" s="1852"/>
      <c r="D156" s="1852"/>
      <c r="E156" s="1852"/>
      <c r="F156" s="1844">
        <v>0.05</v>
      </c>
    </row>
    <row r="157" spans="1:6" ht="14.25" thickBot="1">
      <c r="A157" s="1846" t="s">
        <v>1409</v>
      </c>
      <c r="B157" s="1853" t="s">
        <v>2122</v>
      </c>
      <c r="C157" s="1849"/>
      <c r="D157" s="1849"/>
      <c r="E157" s="1849"/>
      <c r="F157" s="1854">
        <v>0.05</v>
      </c>
    </row>
    <row r="158" spans="1:6" ht="14.25" thickBot="1">
      <c r="A158" s="1838" t="s">
        <v>1411</v>
      </c>
      <c r="B158" s="1839" t="s">
        <v>2123</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2124</v>
      </c>
      <c r="C171" s="1843">
        <v>0.127</v>
      </c>
      <c r="D171" s="1843">
        <v>0.126</v>
      </c>
      <c r="E171" s="1843">
        <v>0.126</v>
      </c>
      <c r="F171" s="1844">
        <v>0.11799999999999999</v>
      </c>
    </row>
    <row r="172" spans="1:6" ht="14.25" thickBot="1">
      <c r="A172" s="1838" t="s">
        <v>1411</v>
      </c>
      <c r="B172" s="1842" t="s">
        <v>2125</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2126</v>
      </c>
      <c r="C174" s="1843">
        <v>0.13</v>
      </c>
      <c r="D174" s="1843">
        <v>0.13</v>
      </c>
      <c r="E174" s="1843">
        <v>0.13</v>
      </c>
      <c r="F174" s="1844">
        <v>0.13</v>
      </c>
    </row>
    <row r="175" spans="1:6" ht="14.25" thickBot="1">
      <c r="A175" s="1838" t="s">
        <v>1411</v>
      </c>
      <c r="B175" s="1842" t="s">
        <v>2127</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2128</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2129</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2130</v>
      </c>
      <c r="C185" s="1843">
        <v>0.127</v>
      </c>
      <c r="D185" s="1843">
        <v>0.127</v>
      </c>
      <c r="E185" s="1843">
        <v>0.128</v>
      </c>
      <c r="F185" s="1844">
        <v>0.13</v>
      </c>
    </row>
    <row r="186" spans="1:6" ht="24.75" thickBot="1">
      <c r="A186" s="1838" t="s">
        <v>1411</v>
      </c>
      <c r="B186" s="1842" t="s">
        <v>2131</v>
      </c>
      <c r="C186" s="1852"/>
      <c r="D186" s="1852"/>
      <c r="E186" s="1852"/>
      <c r="F186" s="1844">
        <v>0.05</v>
      </c>
    </row>
    <row r="187" spans="1:6" ht="14.25" thickBot="1">
      <c r="A187" s="1838" t="s">
        <v>1411</v>
      </c>
      <c r="B187" s="1842" t="s">
        <v>2132</v>
      </c>
      <c r="C187" s="1852"/>
      <c r="D187" s="1852"/>
      <c r="E187" s="1852"/>
      <c r="F187" s="1844">
        <v>0.05</v>
      </c>
    </row>
    <row r="188" spans="1:6" ht="14.25" thickBot="1">
      <c r="A188" s="1838" t="s">
        <v>1411</v>
      </c>
      <c r="B188" s="1842" t="s">
        <v>2133</v>
      </c>
      <c r="C188" s="1852"/>
      <c r="D188" s="1852"/>
      <c r="E188" s="1852"/>
      <c r="F188" s="1844">
        <v>0.05</v>
      </c>
    </row>
    <row r="189" spans="1:6" ht="24.75" thickBot="1">
      <c r="A189" s="1838" t="s">
        <v>1411</v>
      </c>
      <c r="B189" s="1842" t="s">
        <v>2134</v>
      </c>
      <c r="C189" s="1852"/>
      <c r="D189" s="1852"/>
      <c r="E189" s="1852"/>
      <c r="F189" s="1844">
        <v>0.05</v>
      </c>
    </row>
    <row r="190" spans="1:6" ht="24.75" thickBot="1">
      <c r="A190" s="1838" t="s">
        <v>1411</v>
      </c>
      <c r="B190" s="1842" t="s">
        <v>2135</v>
      </c>
      <c r="C190" s="1852"/>
      <c r="D190" s="1852"/>
      <c r="E190" s="1852"/>
      <c r="F190" s="1844">
        <v>0.05</v>
      </c>
    </row>
    <row r="191" spans="1:6" ht="24.75" thickBot="1">
      <c r="A191" s="1838" t="s">
        <v>1411</v>
      </c>
      <c r="B191" s="1842" t="s">
        <v>2136</v>
      </c>
      <c r="C191" s="1852"/>
      <c r="D191" s="1852"/>
      <c r="E191" s="1852"/>
      <c r="F191" s="1844">
        <v>0.05</v>
      </c>
    </row>
    <row r="192" spans="1:6" ht="24.75" thickBot="1">
      <c r="A192" s="1838" t="s">
        <v>1411</v>
      </c>
      <c r="B192" s="1842" t="s">
        <v>2137</v>
      </c>
      <c r="C192" s="1852"/>
      <c r="D192" s="1852"/>
      <c r="E192" s="1852"/>
      <c r="F192" s="1844">
        <v>0.05</v>
      </c>
    </row>
    <row r="193" spans="1:6" ht="24.75" thickBot="1">
      <c r="A193" s="1838" t="s">
        <v>1411</v>
      </c>
      <c r="B193" s="1842" t="s">
        <v>2138</v>
      </c>
      <c r="C193" s="1852"/>
      <c r="D193" s="1852"/>
      <c r="E193" s="1852"/>
      <c r="F193" s="1844">
        <v>0.05</v>
      </c>
    </row>
    <row r="194" spans="1:6" ht="24.75" thickBot="1">
      <c r="A194" s="1838" t="s">
        <v>1411</v>
      </c>
      <c r="B194" s="1842" t="s">
        <v>2139</v>
      </c>
      <c r="C194" s="1852"/>
      <c r="D194" s="1852"/>
      <c r="E194" s="1852"/>
      <c r="F194" s="1844">
        <v>0.05</v>
      </c>
    </row>
    <row r="195" spans="1:6" ht="14.25" thickBot="1">
      <c r="A195" s="1838" t="s">
        <v>1411</v>
      </c>
      <c r="B195" s="1842" t="s">
        <v>2140</v>
      </c>
      <c r="C195" s="1852"/>
      <c r="D195" s="1852"/>
      <c r="E195" s="1852"/>
      <c r="F195" s="1844">
        <v>0.05</v>
      </c>
    </row>
    <row r="196" spans="1:6" ht="24.75" thickBot="1">
      <c r="A196" s="1838" t="s">
        <v>1411</v>
      </c>
      <c r="B196" s="1842" t="s">
        <v>2141</v>
      </c>
      <c r="C196" s="1852"/>
      <c r="D196" s="1852"/>
      <c r="E196" s="1852"/>
      <c r="F196" s="1844">
        <v>0.05</v>
      </c>
    </row>
    <row r="197" spans="1:6" ht="24.75" thickBot="1">
      <c r="A197" s="1838" t="s">
        <v>1411</v>
      </c>
      <c r="B197" s="1842" t="s">
        <v>2142</v>
      </c>
      <c r="C197" s="1852"/>
      <c r="D197" s="1852"/>
      <c r="E197" s="1852"/>
      <c r="F197" s="1844">
        <v>0.05</v>
      </c>
    </row>
    <row r="198" spans="1:6" ht="24.75" thickBot="1">
      <c r="A198" s="1838" t="s">
        <v>1411</v>
      </c>
      <c r="B198" s="1842" t="s">
        <v>2143</v>
      </c>
      <c r="C198" s="1852"/>
      <c r="D198" s="1852"/>
      <c r="E198" s="1852"/>
      <c r="F198" s="1844">
        <v>0.05</v>
      </c>
    </row>
    <row r="199" spans="1:6" ht="24.75" thickBot="1">
      <c r="A199" s="1838" t="s">
        <v>1411</v>
      </c>
      <c r="B199" s="1842" t="s">
        <v>2144</v>
      </c>
      <c r="C199" s="1852"/>
      <c r="D199" s="1852"/>
      <c r="E199" s="1852"/>
      <c r="F199" s="1844">
        <v>0.05</v>
      </c>
    </row>
    <row r="200" spans="1:6" ht="24.75" thickBot="1">
      <c r="A200" s="1838" t="s">
        <v>1411</v>
      </c>
      <c r="B200" s="1842" t="s">
        <v>2145</v>
      </c>
      <c r="C200" s="1852"/>
      <c r="D200" s="1852"/>
      <c r="E200" s="1852"/>
      <c r="F200" s="1844">
        <v>0.05</v>
      </c>
    </row>
    <row r="201" spans="1:6" ht="24.75" thickBot="1">
      <c r="A201" s="1838" t="s">
        <v>1411</v>
      </c>
      <c r="B201" s="1842" t="s">
        <v>2146</v>
      </c>
      <c r="C201" s="1852"/>
      <c r="D201" s="1852"/>
      <c r="E201" s="1852"/>
      <c r="F201" s="1844">
        <v>0.05</v>
      </c>
    </row>
    <row r="202" spans="1:6" ht="24.75" thickBot="1">
      <c r="A202" s="1838" t="s">
        <v>1411</v>
      </c>
      <c r="B202" s="1842" t="s">
        <v>2147</v>
      </c>
      <c r="C202" s="1852"/>
      <c r="D202" s="1852"/>
      <c r="E202" s="1852"/>
      <c r="F202" s="1844">
        <v>0.05</v>
      </c>
    </row>
    <row r="203" spans="1:6" ht="24.75" thickBot="1">
      <c r="A203" s="1838" t="s">
        <v>1411</v>
      </c>
      <c r="B203" s="1842" t="s">
        <v>2148</v>
      </c>
      <c r="C203" s="1852"/>
      <c r="D203" s="1852"/>
      <c r="E203" s="1852"/>
      <c r="F203" s="1844">
        <v>0.05</v>
      </c>
    </row>
    <row r="204" spans="1:6" ht="14.25" thickBot="1">
      <c r="A204" s="1838" t="s">
        <v>1411</v>
      </c>
      <c r="B204" s="1842" t="s">
        <v>2149</v>
      </c>
      <c r="C204" s="1852"/>
      <c r="D204" s="1852"/>
      <c r="E204" s="1852"/>
      <c r="F204" s="1844">
        <v>0.05</v>
      </c>
    </row>
    <row r="205" spans="1:6" ht="14.25" thickBot="1">
      <c r="A205" s="1846" t="s">
        <v>1411</v>
      </c>
      <c r="B205" s="1853" t="s">
        <v>2150</v>
      </c>
      <c r="C205" s="1849"/>
      <c r="D205" s="1849"/>
      <c r="E205" s="1849"/>
      <c r="F205" s="1854">
        <v>0.05</v>
      </c>
    </row>
    <row r="206" spans="1:6" ht="14.25" thickBot="1">
      <c r="A206" s="1838" t="s">
        <v>1413</v>
      </c>
      <c r="B206" s="1839" t="s">
        <v>2151</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2152</v>
      </c>
      <c r="C210" s="1843">
        <v>0.15</v>
      </c>
      <c r="D210" s="1843">
        <v>0.15</v>
      </c>
      <c r="E210" s="1843">
        <v>0.15</v>
      </c>
      <c r="F210" s="1844">
        <v>0.13800000000000001</v>
      </c>
    </row>
    <row r="211" spans="1:6" ht="14.25" thickBot="1">
      <c r="A211" s="1838" t="s">
        <v>1413</v>
      </c>
      <c r="B211" s="1842" t="s">
        <v>2153</v>
      </c>
      <c r="C211" s="1843">
        <v>0.13700000000000001</v>
      </c>
      <c r="D211" s="1843">
        <v>0.13500000000000001</v>
      </c>
      <c r="E211" s="1843">
        <v>0.13600000000000001</v>
      </c>
      <c r="F211" s="1844">
        <v>0.1</v>
      </c>
    </row>
    <row r="212" spans="1:6" ht="14.25" thickBot="1">
      <c r="A212" s="1838" t="s">
        <v>1413</v>
      </c>
      <c r="B212" s="1842" t="s">
        <v>2154</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2155</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2156</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2157</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2158</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2159</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2160</v>
      </c>
      <c r="C231" s="1843">
        <v>0.128</v>
      </c>
      <c r="D231" s="1843">
        <v>0.125</v>
      </c>
      <c r="E231" s="1843">
        <v>0.13200000000000001</v>
      </c>
      <c r="F231" s="1851"/>
    </row>
    <row r="232" spans="1:6" ht="14.25" thickBot="1">
      <c r="A232" s="1838" t="s">
        <v>1413</v>
      </c>
      <c r="B232" s="1842" t="s">
        <v>2161</v>
      </c>
      <c r="C232" s="1843">
        <v>0.14499999999999999</v>
      </c>
      <c r="D232" s="1843">
        <v>0.14399999999999999</v>
      </c>
      <c r="E232" s="1843">
        <v>0.14599999999999999</v>
      </c>
      <c r="F232" s="1844">
        <v>0.13800000000000001</v>
      </c>
    </row>
    <row r="233" spans="1:6" ht="14.25" thickBot="1">
      <c r="A233" s="1838" t="s">
        <v>1413</v>
      </c>
      <c r="B233" s="1842" t="s">
        <v>2162</v>
      </c>
      <c r="C233" s="1843">
        <v>0.14499999999999999</v>
      </c>
      <c r="D233" s="1843">
        <v>0.14299999999999999</v>
      </c>
      <c r="E233" s="1843">
        <v>0.14199999999999999</v>
      </c>
      <c r="F233" s="1851"/>
    </row>
    <row r="234" spans="1:6" ht="14.25" thickBot="1">
      <c r="A234" s="1838" t="s">
        <v>1413</v>
      </c>
      <c r="B234" s="1842" t="s">
        <v>2163</v>
      </c>
      <c r="C234" s="1843">
        <v>0.14000000000000001</v>
      </c>
      <c r="D234" s="1843">
        <v>0.14000000000000001</v>
      </c>
      <c r="E234" s="1843">
        <v>0.14399999999999999</v>
      </c>
      <c r="F234" s="1851"/>
    </row>
    <row r="235" spans="1:6" ht="14.25" thickBot="1">
      <c r="A235" s="1838" t="s">
        <v>1413</v>
      </c>
      <c r="B235" s="1842" t="s">
        <v>2164</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2165</v>
      </c>
      <c r="C237" s="1852"/>
      <c r="D237" s="1852"/>
      <c r="E237" s="1852"/>
      <c r="F237" s="1844">
        <v>0.05</v>
      </c>
    </row>
    <row r="238" spans="1:6" ht="24.75" thickBot="1">
      <c r="A238" s="1838" t="s">
        <v>1413</v>
      </c>
      <c r="B238" s="1842" t="s">
        <v>2166</v>
      </c>
      <c r="C238" s="1852"/>
      <c r="D238" s="1852"/>
      <c r="E238" s="1852"/>
      <c r="F238" s="1844">
        <v>0.05</v>
      </c>
    </row>
    <row r="239" spans="1:6" ht="24.75" thickBot="1">
      <c r="A239" s="1838" t="s">
        <v>1413</v>
      </c>
      <c r="B239" s="1842" t="s">
        <v>2167</v>
      </c>
      <c r="C239" s="1852"/>
      <c r="D239" s="1852"/>
      <c r="E239" s="1852"/>
      <c r="F239" s="1844">
        <v>0.05</v>
      </c>
    </row>
    <row r="240" spans="1:6" ht="24.75" thickBot="1">
      <c r="A240" s="1838" t="s">
        <v>1413</v>
      </c>
      <c r="B240" s="1842" t="s">
        <v>2168</v>
      </c>
      <c r="C240" s="1852"/>
      <c r="D240" s="1852"/>
      <c r="E240" s="1852"/>
      <c r="F240" s="1844">
        <v>0.05</v>
      </c>
    </row>
    <row r="241" spans="1:6" ht="24.75" thickBot="1">
      <c r="A241" s="1838" t="s">
        <v>1413</v>
      </c>
      <c r="B241" s="1842" t="s">
        <v>2169</v>
      </c>
      <c r="C241" s="1852"/>
      <c r="D241" s="1852"/>
      <c r="E241" s="1852"/>
      <c r="F241" s="1844">
        <v>0.05</v>
      </c>
    </row>
    <row r="242" spans="1:6" ht="24.75" thickBot="1">
      <c r="A242" s="1838" t="s">
        <v>1413</v>
      </c>
      <c r="B242" s="1842" t="s">
        <v>2170</v>
      </c>
      <c r="C242" s="1852"/>
      <c r="D242" s="1852"/>
      <c r="E242" s="1852"/>
      <c r="F242" s="1844">
        <v>0.05</v>
      </c>
    </row>
    <row r="243" spans="1:6" ht="24.75" thickBot="1">
      <c r="A243" s="1838" t="s">
        <v>1413</v>
      </c>
      <c r="B243" s="1842" t="s">
        <v>2171</v>
      </c>
      <c r="C243" s="1852"/>
      <c r="D243" s="1852"/>
      <c r="E243" s="1852"/>
      <c r="F243" s="1844">
        <v>0.05</v>
      </c>
    </row>
    <row r="244" spans="1:6" ht="24.75" thickBot="1">
      <c r="A244" s="1846" t="s">
        <v>1413</v>
      </c>
      <c r="B244" s="1853" t="s">
        <v>2172</v>
      </c>
      <c r="C244" s="1849"/>
      <c r="D244" s="1849"/>
      <c r="E244" s="1849"/>
      <c r="F244" s="1854">
        <v>0.05</v>
      </c>
    </row>
    <row r="245" spans="1:6" ht="14.25" thickBot="1">
      <c r="A245" s="1838" t="s">
        <v>1415</v>
      </c>
      <c r="B245" s="1839" t="s">
        <v>2173</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2174</v>
      </c>
      <c r="C247" s="1843">
        <v>0.15</v>
      </c>
      <c r="D247" s="1843">
        <v>0.15</v>
      </c>
      <c r="E247" s="1843">
        <v>0.15</v>
      </c>
      <c r="F247" s="1844">
        <v>0.15</v>
      </c>
    </row>
    <row r="248" spans="1:6" ht="14.25" thickBot="1">
      <c r="A248" s="1838" t="s">
        <v>1415</v>
      </c>
      <c r="B248" s="1842" t="s">
        <v>2175</v>
      </c>
      <c r="C248" s="1843">
        <v>0.15</v>
      </c>
      <c r="D248" s="1843">
        <v>0.15</v>
      </c>
      <c r="E248" s="1843">
        <v>0.15</v>
      </c>
      <c r="F248" s="1844">
        <v>0.14000000000000001</v>
      </c>
    </row>
    <row r="249" spans="1:6" ht="14.25" thickBot="1">
      <c r="A249" s="1838" t="s">
        <v>1415</v>
      </c>
      <c r="B249" s="1842" t="s">
        <v>2176</v>
      </c>
      <c r="C249" s="1843">
        <v>0.15</v>
      </c>
      <c r="D249" s="1843">
        <v>0.14899999999999999</v>
      </c>
      <c r="E249" s="1843">
        <v>0.15</v>
      </c>
      <c r="F249" s="1844">
        <v>0.1</v>
      </c>
    </row>
    <row r="250" spans="1:6" ht="14.25" thickBot="1">
      <c r="A250" s="1838" t="s">
        <v>1415</v>
      </c>
      <c r="B250" s="1842" t="s">
        <v>2177</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2178</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2179</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2180</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2181</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2182</v>
      </c>
      <c r="C273" s="1843">
        <v>0.14199999999999999</v>
      </c>
      <c r="D273" s="1843">
        <v>0.14299999999999999</v>
      </c>
      <c r="E273" s="1843">
        <v>0.15</v>
      </c>
      <c r="F273" s="1844">
        <v>0.1</v>
      </c>
    </row>
    <row r="274" spans="1:6" ht="14.25" thickBot="1">
      <c r="A274" s="1838" t="s">
        <v>1415</v>
      </c>
      <c r="B274" s="1842" t="s">
        <v>2183</v>
      </c>
      <c r="C274" s="1843">
        <v>0.14799999999999999</v>
      </c>
      <c r="D274" s="1843">
        <v>0.14799999999999999</v>
      </c>
      <c r="E274" s="1843">
        <v>0.15</v>
      </c>
      <c r="F274" s="1844">
        <v>6.7000000000000004E-2</v>
      </c>
    </row>
    <row r="275" spans="1:6" ht="14.25" thickBot="1">
      <c r="A275" s="1838" t="s">
        <v>1415</v>
      </c>
      <c r="B275" s="1842" t="s">
        <v>2184</v>
      </c>
      <c r="C275" s="1843">
        <v>0.15</v>
      </c>
      <c r="D275" s="1843">
        <v>0.15</v>
      </c>
      <c r="E275" s="1843">
        <v>0.15</v>
      </c>
      <c r="F275" s="1844">
        <v>0.15</v>
      </c>
    </row>
    <row r="276" spans="1:6" ht="14.25" thickBot="1">
      <c r="A276" s="1838" t="s">
        <v>1415</v>
      </c>
      <c r="B276" s="1842" t="s">
        <v>2185</v>
      </c>
      <c r="C276" s="1843">
        <v>0.14499999999999999</v>
      </c>
      <c r="D276" s="1843">
        <v>0.14299999999999999</v>
      </c>
      <c r="E276" s="1843">
        <v>0.15</v>
      </c>
      <c r="F276" s="1844">
        <v>5.8999999999999997E-2</v>
      </c>
    </row>
    <row r="277" spans="1:6" ht="14.25" thickBot="1">
      <c r="A277" s="1838" t="s">
        <v>1415</v>
      </c>
      <c r="B277" s="1842" t="s">
        <v>2186</v>
      </c>
      <c r="C277" s="1843">
        <v>0.15</v>
      </c>
      <c r="D277" s="1843">
        <v>0.15</v>
      </c>
      <c r="E277" s="1843">
        <v>0.15</v>
      </c>
      <c r="F277" s="1844">
        <v>0.121</v>
      </c>
    </row>
    <row r="278" spans="1:6" ht="14.25" thickBot="1">
      <c r="A278" s="1838" t="s">
        <v>1415</v>
      </c>
      <c r="B278" s="1842" t="s">
        <v>2187</v>
      </c>
      <c r="C278" s="1843">
        <v>0.15</v>
      </c>
      <c r="D278" s="1843">
        <v>0.15</v>
      </c>
      <c r="E278" s="1843">
        <v>0.15</v>
      </c>
      <c r="F278" s="1844">
        <v>0.13800000000000001</v>
      </c>
    </row>
    <row r="279" spans="1:6" ht="24.75" thickBot="1">
      <c r="A279" s="1838" t="s">
        <v>1415</v>
      </c>
      <c r="B279" s="1842" t="s">
        <v>2188</v>
      </c>
      <c r="C279" s="1852"/>
      <c r="D279" s="1852"/>
      <c r="E279" s="1852"/>
      <c r="F279" s="1844">
        <v>0.05</v>
      </c>
    </row>
    <row r="280" spans="1:6" ht="24.75" thickBot="1">
      <c r="A280" s="1838" t="s">
        <v>1415</v>
      </c>
      <c r="B280" s="1842" t="s">
        <v>2189</v>
      </c>
      <c r="C280" s="1852"/>
      <c r="D280" s="1852"/>
      <c r="E280" s="1852"/>
      <c r="F280" s="1844">
        <v>0.05</v>
      </c>
    </row>
    <row r="281" spans="1:6" ht="24.75" thickBot="1">
      <c r="A281" s="1838" t="s">
        <v>1415</v>
      </c>
      <c r="B281" s="1842" t="s">
        <v>2190</v>
      </c>
      <c r="C281" s="1852"/>
      <c r="D281" s="1852"/>
      <c r="E281" s="1852"/>
      <c r="F281" s="1844">
        <v>0.05</v>
      </c>
    </row>
    <row r="282" spans="1:6" ht="24.75" thickBot="1">
      <c r="A282" s="1838" t="s">
        <v>1415</v>
      </c>
      <c r="B282" s="1842" t="s">
        <v>2191</v>
      </c>
      <c r="C282" s="1852"/>
      <c r="D282" s="1852"/>
      <c r="E282" s="1852"/>
      <c r="F282" s="1844">
        <v>0.05</v>
      </c>
    </row>
    <row r="283" spans="1:6" ht="24.75" thickBot="1">
      <c r="A283" s="1838" t="s">
        <v>1415</v>
      </c>
      <c r="B283" s="1842" t="s">
        <v>2192</v>
      </c>
      <c r="C283" s="1852"/>
      <c r="D283" s="1852"/>
      <c r="E283" s="1852"/>
      <c r="F283" s="1844">
        <v>0.05</v>
      </c>
    </row>
    <row r="284" spans="1:6" ht="24.75" thickBot="1">
      <c r="A284" s="1838" t="s">
        <v>1415</v>
      </c>
      <c r="B284" s="1842" t="s">
        <v>2193</v>
      </c>
      <c r="C284" s="1852"/>
      <c r="D284" s="1852"/>
      <c r="E284" s="1852"/>
      <c r="F284" s="1844">
        <v>0.05</v>
      </c>
    </row>
    <row r="285" spans="1:6" ht="24.75" thickBot="1">
      <c r="A285" s="1838" t="s">
        <v>1415</v>
      </c>
      <c r="B285" s="1842" t="s">
        <v>2194</v>
      </c>
      <c r="C285" s="1852"/>
      <c r="D285" s="1852"/>
      <c r="E285" s="1852"/>
      <c r="F285" s="1844">
        <v>0.05</v>
      </c>
    </row>
    <row r="286" spans="1:6" ht="24.75" thickBot="1">
      <c r="A286" s="1838" t="s">
        <v>1415</v>
      </c>
      <c r="B286" s="1842" t="s">
        <v>2195</v>
      </c>
      <c r="C286" s="1852"/>
      <c r="D286" s="1852"/>
      <c r="E286" s="1852"/>
      <c r="F286" s="1844">
        <v>0.05</v>
      </c>
    </row>
    <row r="287" spans="1:6" ht="24.75" thickBot="1">
      <c r="A287" s="1838" t="s">
        <v>1415</v>
      </c>
      <c r="B287" s="1842" t="s">
        <v>2196</v>
      </c>
      <c r="C287" s="1852"/>
      <c r="D287" s="1852"/>
      <c r="E287" s="1852"/>
      <c r="F287" s="1844">
        <v>0.05</v>
      </c>
    </row>
    <row r="288" spans="1:6" ht="24.75" thickBot="1">
      <c r="A288" s="1838" t="s">
        <v>1415</v>
      </c>
      <c r="B288" s="1842" t="s">
        <v>2197</v>
      </c>
      <c r="C288" s="1852"/>
      <c r="D288" s="1852"/>
      <c r="E288" s="1852"/>
      <c r="F288" s="1844">
        <v>0.05</v>
      </c>
    </row>
    <row r="289" spans="1:6" ht="24.75" thickBot="1">
      <c r="A289" s="1846" t="s">
        <v>1415</v>
      </c>
      <c r="B289" s="1853" t="s">
        <v>2198</v>
      </c>
      <c r="C289" s="1849"/>
      <c r="D289" s="1849"/>
      <c r="E289" s="1849"/>
      <c r="F289" s="1854">
        <v>0.05</v>
      </c>
    </row>
    <row r="290" spans="1:6" ht="14.25" thickBot="1">
      <c r="A290" s="1838" t="s">
        <v>1419</v>
      </c>
      <c r="B290" s="1839" t="s">
        <v>2199</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2200</v>
      </c>
      <c r="C292" s="1843">
        <v>0.15</v>
      </c>
      <c r="D292" s="1843">
        <v>0.15</v>
      </c>
      <c r="E292" s="1843">
        <v>0.15</v>
      </c>
      <c r="F292" s="1844">
        <v>0.14699999999999999</v>
      </c>
    </row>
    <row r="293" spans="1:6" ht="14.25" thickBot="1">
      <c r="A293" s="1838" t="s">
        <v>1419</v>
      </c>
      <c r="B293" s="1842" t="s">
        <v>2201</v>
      </c>
      <c r="C293" s="1852"/>
      <c r="D293" s="1852"/>
      <c r="E293" s="1852"/>
      <c r="F293" s="1844">
        <v>0.1</v>
      </c>
    </row>
    <row r="294" spans="1:6" ht="14.25" thickBot="1">
      <c r="A294" s="1838" t="s">
        <v>1419</v>
      </c>
      <c r="B294" s="1842" t="s">
        <v>2202</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2203</v>
      </c>
      <c r="C296" s="1843">
        <v>0.15</v>
      </c>
      <c r="D296" s="1843">
        <v>0.15</v>
      </c>
      <c r="E296" s="1843">
        <v>0.15</v>
      </c>
      <c r="F296" s="1844">
        <v>0.15</v>
      </c>
    </row>
    <row r="297" spans="1:6" ht="14.25" thickBot="1">
      <c r="A297" s="1838" t="s">
        <v>1419</v>
      </c>
      <c r="B297" s="1842" t="s">
        <v>2204</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2205</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2206</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2207</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2208</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2209</v>
      </c>
      <c r="C310" s="1843">
        <v>0.15</v>
      </c>
      <c r="D310" s="1843">
        <v>0.15</v>
      </c>
      <c r="E310" s="1843">
        <v>0.15</v>
      </c>
      <c r="F310" s="1844">
        <v>0.13700000000000001</v>
      </c>
    </row>
    <row r="311" spans="1:6" ht="14.25" thickBot="1">
      <c r="A311" s="1838" t="s">
        <v>1419</v>
      </c>
      <c r="B311" s="1842" t="s">
        <v>2210</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2211</v>
      </c>
      <c r="C313" s="1843">
        <v>0.15</v>
      </c>
      <c r="D313" s="1843">
        <v>0.15</v>
      </c>
      <c r="E313" s="1843">
        <v>0.15</v>
      </c>
      <c r="F313" s="1844">
        <v>0.15</v>
      </c>
    </row>
    <row r="314" spans="1:6" ht="24.75" thickBot="1">
      <c r="A314" s="1838" t="s">
        <v>1419</v>
      </c>
      <c r="B314" s="1842" t="s">
        <v>2212</v>
      </c>
      <c r="C314" s="1852"/>
      <c r="D314" s="1852"/>
      <c r="E314" s="1852"/>
      <c r="F314" s="1844">
        <v>0.05</v>
      </c>
    </row>
    <row r="315" spans="1:6" ht="24.75" thickBot="1">
      <c r="A315" s="1838" t="s">
        <v>1419</v>
      </c>
      <c r="B315" s="1842" t="s">
        <v>2213</v>
      </c>
      <c r="C315" s="1852"/>
      <c r="D315" s="1852"/>
      <c r="E315" s="1852"/>
      <c r="F315" s="1844">
        <v>0.05</v>
      </c>
    </row>
    <row r="316" spans="1:6" ht="24.75" thickBot="1">
      <c r="A316" s="1846" t="s">
        <v>1419</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1107</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1176</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1196</v>
      </c>
      <c r="C328" s="1843">
        <v>0.15</v>
      </c>
      <c r="D328" s="1843">
        <v>0.15</v>
      </c>
      <c r="E328" s="1843">
        <v>0.15</v>
      </c>
      <c r="F328" s="1844">
        <v>0.14099999999999999</v>
      </c>
    </row>
    <row r="329" spans="1:6" ht="14.25" thickBot="1">
      <c r="A329" s="1838" t="s">
        <v>2215</v>
      </c>
      <c r="B329" s="1842" t="s">
        <v>1206</v>
      </c>
      <c r="C329" s="1843">
        <v>0.15</v>
      </c>
      <c r="D329" s="1843">
        <v>0.15</v>
      </c>
      <c r="E329" s="1843">
        <v>0.15</v>
      </c>
      <c r="F329" s="1844">
        <v>0.15</v>
      </c>
    </row>
    <row r="330" spans="1:6" ht="14.25" thickBot="1">
      <c r="A330" s="1838" t="s">
        <v>2215</v>
      </c>
      <c r="B330" s="1842" t="s">
        <v>1216</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1236</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1256</v>
      </c>
      <c r="C334" s="1843">
        <v>0.15</v>
      </c>
      <c r="D334" s="1843">
        <v>0.15</v>
      </c>
      <c r="E334" s="1843">
        <v>0.15</v>
      </c>
      <c r="F334" s="1844">
        <v>0.15</v>
      </c>
    </row>
    <row r="335" spans="1:6" ht="14.25" thickBot="1">
      <c r="A335" s="1838" t="s">
        <v>2215</v>
      </c>
      <c r="B335" s="1842" t="s">
        <v>1266</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1284</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37" sqref="B37:I37"/>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93" t="s">
        <v>2575</v>
      </c>
      <c r="C1" s="3493"/>
      <c r="D1" s="3493"/>
      <c r="E1" s="3493"/>
      <c r="F1" s="3493"/>
      <c r="G1" s="3492" t="s">
        <v>2576</v>
      </c>
      <c r="H1" s="3492"/>
      <c r="I1" s="3492"/>
      <c r="J1" s="3492"/>
      <c r="K1" s="3492"/>
      <c r="L1" s="3492"/>
      <c r="N1" s="3492" t="s">
        <v>2577</v>
      </c>
      <c r="O1" s="3492"/>
      <c r="P1" s="3492"/>
      <c r="Q1" s="3492"/>
      <c r="R1" s="2616"/>
      <c r="S1" s="3492" t="s">
        <v>2578</v>
      </c>
      <c r="T1" s="3492"/>
      <c r="U1" s="3492"/>
      <c r="V1" s="3492"/>
      <c r="X1" s="3491" t="s">
        <v>2638</v>
      </c>
      <c r="Y1" s="3492"/>
      <c r="Z1" s="3492"/>
      <c r="AA1" s="3492"/>
      <c r="AB1" s="3492"/>
      <c r="AD1" s="3491" t="s">
        <v>2642</v>
      </c>
      <c r="AE1" s="3492"/>
      <c r="AF1" s="3492"/>
      <c r="AG1" s="3492"/>
      <c r="AH1" s="3492"/>
    </row>
    <row r="2" spans="1:34" s="2717" customFormat="1" ht="14.25" thickBot="1">
      <c r="B2" s="2725" t="s">
        <v>2579</v>
      </c>
      <c r="C2" s="2725" t="s">
        <v>2640</v>
      </c>
      <c r="D2" s="2718" t="s">
        <v>1644</v>
      </c>
      <c r="E2" s="2718" t="s">
        <v>1949</v>
      </c>
      <c r="F2" s="2725" t="s">
        <v>2641</v>
      </c>
      <c r="G2" s="2721"/>
      <c r="H2" s="2720"/>
      <c r="I2" s="2725" t="s">
        <v>2947</v>
      </c>
      <c r="J2" s="2718" t="s">
        <v>2949</v>
      </c>
      <c r="K2" s="2718" t="s">
        <v>2950</v>
      </c>
      <c r="L2" s="2725" t="s">
        <v>2951</v>
      </c>
      <c r="N2" s="2725" t="s">
        <v>2579</v>
      </c>
      <c r="O2" s="2718" t="s">
        <v>2948</v>
      </c>
      <c r="P2" s="2718" t="s">
        <v>1949</v>
      </c>
      <c r="Q2" s="2725" t="s">
        <v>2641</v>
      </c>
      <c r="R2" s="2719"/>
      <c r="S2" s="2725" t="s">
        <v>2579</v>
      </c>
      <c r="T2" s="2718" t="s">
        <v>2948</v>
      </c>
      <c r="U2" s="2718" t="s">
        <v>1949</v>
      </c>
      <c r="V2" s="2725" t="s">
        <v>2641</v>
      </c>
      <c r="X2" s="2725" t="s">
        <v>2579</v>
      </c>
      <c r="Y2" s="2725" t="s">
        <v>2640</v>
      </c>
      <c r="Z2" s="2718" t="s">
        <v>1644</v>
      </c>
      <c r="AA2" s="2718" t="s">
        <v>1949</v>
      </c>
      <c r="AB2" s="2725" t="s">
        <v>2641</v>
      </c>
      <c r="AD2" s="2725" t="s">
        <v>2579</v>
      </c>
      <c r="AE2" s="2725" t="s">
        <v>2640</v>
      </c>
      <c r="AF2" s="2718" t="s">
        <v>1644</v>
      </c>
      <c r="AG2" s="2718" t="s">
        <v>1949</v>
      </c>
      <c r="AH2" s="2725" t="s">
        <v>2641</v>
      </c>
    </row>
    <row r="3" spans="1:34" s="3076" customFormat="1" ht="14.25">
      <c r="A3" s="3088" t="s">
        <v>2960</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0" customFormat="1" ht="14.25">
      <c r="B4" s="2711"/>
      <c r="C4" s="2711"/>
      <c r="D4" s="2712"/>
      <c r="E4" s="2712"/>
      <c r="F4" s="2711"/>
      <c r="G4" s="2716"/>
      <c r="H4" s="2713"/>
      <c r="I4" s="3072"/>
      <c r="J4" s="3072"/>
      <c r="K4" s="3072"/>
      <c r="L4" s="3072"/>
      <c r="N4" s="2716"/>
      <c r="O4" s="2714"/>
      <c r="P4" s="2714"/>
      <c r="Q4" s="2714"/>
      <c r="R4" s="2714"/>
      <c r="S4" s="2716"/>
      <c r="T4" s="2714"/>
      <c r="U4" s="2714"/>
      <c r="V4" s="2714"/>
      <c r="W4" s="3085"/>
      <c r="X4" s="2715"/>
      <c r="Y4" s="2715"/>
      <c r="Z4" s="2715"/>
      <c r="AA4" s="2715"/>
      <c r="AB4" s="2715"/>
      <c r="AD4" s="2635"/>
      <c r="AE4" s="2635"/>
      <c r="AF4" s="2635"/>
      <c r="AG4" s="2635"/>
      <c r="AH4" s="2635"/>
    </row>
    <row r="5" spans="1:34" s="3060" customFormat="1">
      <c r="A5" s="3058" t="s">
        <v>2988</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59">
        <v>4</v>
      </c>
      <c r="I5" s="3073">
        <v>0</v>
      </c>
      <c r="J5" s="3073">
        <v>0</v>
      </c>
      <c r="K5" s="3073">
        <v>0</v>
      </c>
      <c r="L5" s="3073">
        <v>0</v>
      </c>
      <c r="N5" s="2723">
        <f t="shared" ref="N5" si="7">I5/100</f>
        <v>0</v>
      </c>
      <c r="O5" s="2723">
        <f t="shared" ref="O5" si="8">J5/100</f>
        <v>0</v>
      </c>
      <c r="P5" s="2723">
        <f t="shared" ref="P5" si="9">K5/100</f>
        <v>0</v>
      </c>
      <c r="Q5" s="2723">
        <f t="shared" ref="Q5" si="10">L5/100</f>
        <v>0</v>
      </c>
      <c r="R5" s="3061"/>
      <c r="S5" s="3062"/>
      <c r="T5" s="3061"/>
      <c r="U5" s="3061"/>
      <c r="V5" s="3061"/>
      <c r="W5" s="3086" t="s">
        <v>2961</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2" customFormat="1" ht="13.5" thickBot="1">
      <c r="A6" s="2617" t="s">
        <v>2987</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2984</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2983</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2980</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87">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2970</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87"/>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2971</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87"/>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2967</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88"/>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2958</v>
      </c>
      <c r="B13" s="3090">
        <v>439</v>
      </c>
      <c r="C13" s="3090">
        <v>327</v>
      </c>
      <c r="D13" s="3090">
        <f t="shared" si="76"/>
        <v>327</v>
      </c>
      <c r="E13" s="3090">
        <v>627</v>
      </c>
      <c r="F13" s="3091">
        <v>283</v>
      </c>
      <c r="G13" s="3486">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2962</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87"/>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2580</v>
      </c>
      <c r="B15" s="2630">
        <f t="shared" si="88"/>
        <v>419.31181600000002</v>
      </c>
      <c r="C15" s="2630">
        <f t="shared" si="88"/>
        <v>313.95436800000004</v>
      </c>
      <c r="D15" s="2630">
        <f t="shared" si="76"/>
        <v>313.95436800000004</v>
      </c>
      <c r="E15" s="2630">
        <f t="shared" si="89"/>
        <v>596.63028431999999</v>
      </c>
      <c r="F15" s="2630">
        <f t="shared" si="89"/>
        <v>274.74220703999998</v>
      </c>
      <c r="G15" s="3487"/>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2581</v>
      </c>
      <c r="B16" s="2630">
        <f t="shared" si="88"/>
        <v>405.524</v>
      </c>
      <c r="C16" s="2630">
        <f t="shared" si="88"/>
        <v>307.79840000000002</v>
      </c>
      <c r="D16" s="2630">
        <f t="shared" si="76"/>
        <v>307.79840000000002</v>
      </c>
      <c r="E16" s="2630">
        <f t="shared" si="89"/>
        <v>574.67759999999998</v>
      </c>
      <c r="F16" s="2630">
        <f t="shared" si="89"/>
        <v>270.20280000000002</v>
      </c>
      <c r="G16" s="3488"/>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486">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87"/>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487"/>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490"/>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489">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87"/>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487"/>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490"/>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489">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87"/>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487"/>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490"/>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2639</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2582</v>
      </c>
      <c r="B29" s="2622">
        <v>299</v>
      </c>
      <c r="C29" s="2622">
        <v>252</v>
      </c>
      <c r="D29" s="2622">
        <f t="shared" si="98"/>
        <v>252</v>
      </c>
      <c r="E29" s="2622">
        <v>409</v>
      </c>
      <c r="F29" s="2623">
        <v>227</v>
      </c>
      <c r="G29" s="3494">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2583</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95"/>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2584</v>
      </c>
      <c r="B31" s="2630">
        <f t="shared" si="107"/>
        <v>288.2649053828776</v>
      </c>
      <c r="C31" s="2630">
        <f t="shared" si="107"/>
        <v>243.64564425013293</v>
      </c>
      <c r="D31" s="2630">
        <f t="shared" si="98"/>
        <v>243.64564425013293</v>
      </c>
      <c r="E31" s="2630">
        <f t="shared" si="108"/>
        <v>393.31080825986544</v>
      </c>
      <c r="F31" s="2630">
        <f t="shared" si="108"/>
        <v>223.07903790551154</v>
      </c>
      <c r="G31" s="3495"/>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2585</v>
      </c>
      <c r="B32" s="2630">
        <f t="shared" si="107"/>
        <v>282.50186729015837</v>
      </c>
      <c r="C32" s="2630">
        <f t="shared" si="107"/>
        <v>238.09796174155468</v>
      </c>
      <c r="D32" s="2630">
        <f t="shared" si="98"/>
        <v>238.09796174155468</v>
      </c>
      <c r="E32" s="2630">
        <f t="shared" si="108"/>
        <v>385.33438646014054</v>
      </c>
      <c r="F32" s="2630">
        <f t="shared" si="108"/>
        <v>221.55034055567739</v>
      </c>
      <c r="G32" s="3496"/>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2586</v>
      </c>
      <c r="B33" s="2660">
        <v>278</v>
      </c>
      <c r="C33" s="2660">
        <v>234</v>
      </c>
      <c r="D33" s="2660">
        <f t="shared" si="98"/>
        <v>234</v>
      </c>
      <c r="E33" s="2660">
        <v>379</v>
      </c>
      <c r="F33" s="2661">
        <v>220</v>
      </c>
      <c r="G33" s="3489">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2587</v>
      </c>
      <c r="B34" s="2630">
        <f>B33/(1+N33)</f>
        <v>275.49301357645425</v>
      </c>
      <c r="C34" s="2630">
        <f>C33/(1+O33)</f>
        <v>232.41954707985698</v>
      </c>
      <c r="D34" s="2630">
        <f t="shared" si="98"/>
        <v>232.41954707985698</v>
      </c>
      <c r="E34" s="2630">
        <f t="shared" ref="E34:F36" si="109">E33/(1+P33)</f>
        <v>375.32184591008121</v>
      </c>
      <c r="F34" s="2630">
        <f t="shared" si="109"/>
        <v>218.03766105054513</v>
      </c>
      <c r="G34" s="3487"/>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2588</v>
      </c>
      <c r="B35" s="2630">
        <f>B34/(1+N34)</f>
        <v>275.24529281292263</v>
      </c>
      <c r="C35" s="2630">
        <f>C34/(1+O34)</f>
        <v>231.74747938962707</v>
      </c>
      <c r="D35" s="2630">
        <f t="shared" si="98"/>
        <v>231.74747938962707</v>
      </c>
      <c r="E35" s="2630">
        <f t="shared" si="109"/>
        <v>375.35938184826603</v>
      </c>
      <c r="F35" s="2630">
        <f t="shared" si="109"/>
        <v>216.78033510692495</v>
      </c>
      <c r="G35" s="3487"/>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2589</v>
      </c>
      <c r="B36" s="2630">
        <f>B35/(1+N35)</f>
        <v>275.19025476197027</v>
      </c>
      <c r="C36" s="2662">
        <v>232</v>
      </c>
      <c r="D36" s="2662">
        <f t="shared" si="98"/>
        <v>232</v>
      </c>
      <c r="E36" s="2630">
        <f t="shared" si="109"/>
        <v>375.65990977608692</v>
      </c>
      <c r="F36" s="2630">
        <f t="shared" si="109"/>
        <v>214.12518283971252</v>
      </c>
      <c r="G36" s="3490"/>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2590</v>
      </c>
      <c r="B37" s="2622">
        <v>275</v>
      </c>
      <c r="C37" s="2622">
        <v>232</v>
      </c>
      <c r="D37" s="2622">
        <f t="shared" si="98"/>
        <v>232</v>
      </c>
      <c r="E37" s="2622">
        <v>376</v>
      </c>
      <c r="F37" s="2623">
        <v>213</v>
      </c>
      <c r="G37" s="3489">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2591</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87">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2592</v>
      </c>
      <c r="B39" s="2630">
        <f t="shared" si="110"/>
        <v>275.19335084830601</v>
      </c>
      <c r="C39" s="2630">
        <f t="shared" si="110"/>
        <v>230.18088050139744</v>
      </c>
      <c r="D39" s="2630">
        <f t="shared" si="98"/>
        <v>230.18088050139744</v>
      </c>
      <c r="E39" s="2630">
        <f t="shared" si="111"/>
        <v>377.58482925212331</v>
      </c>
      <c r="F39" s="2630">
        <f t="shared" si="111"/>
        <v>210.90687997847917</v>
      </c>
      <c r="G39" s="3487">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2593</v>
      </c>
      <c r="B40" s="2630">
        <f t="shared" si="110"/>
        <v>276.29854502841971</v>
      </c>
      <c r="C40" s="2630">
        <f t="shared" si="110"/>
        <v>229.79023709833027</v>
      </c>
      <c r="D40" s="2630">
        <f t="shared" si="98"/>
        <v>229.79023709833027</v>
      </c>
      <c r="E40" s="2630">
        <f t="shared" si="111"/>
        <v>379.78759731655936</v>
      </c>
      <c r="F40" s="2630">
        <f t="shared" si="111"/>
        <v>211.32953905659235</v>
      </c>
      <c r="G40" s="3490">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2594</v>
      </c>
      <c r="B41" s="2622">
        <v>269</v>
      </c>
      <c r="C41" s="2622">
        <v>221</v>
      </c>
      <c r="D41" s="2622">
        <f t="shared" si="98"/>
        <v>221</v>
      </c>
      <c r="E41" s="2622">
        <v>373</v>
      </c>
      <c r="F41" s="2623">
        <v>196</v>
      </c>
      <c r="G41" s="3489">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2595</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87">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2596</v>
      </c>
      <c r="B43" s="2630">
        <f t="shared" si="112"/>
        <v>242.95398227588385</v>
      </c>
      <c r="C43" s="2630">
        <f t="shared" si="112"/>
        <v>199.59137053614126</v>
      </c>
      <c r="D43" s="2630">
        <f t="shared" si="98"/>
        <v>199.59137053614126</v>
      </c>
      <c r="E43" s="2630">
        <f t="shared" si="113"/>
        <v>335.92189522342125</v>
      </c>
      <c r="F43" s="2630">
        <f t="shared" si="113"/>
        <v>183.10139991109489</v>
      </c>
      <c r="G43" s="3487">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2597</v>
      </c>
      <c r="B44" s="2630">
        <f t="shared" si="112"/>
        <v>232.06990378821649</v>
      </c>
      <c r="C44" s="2630">
        <f t="shared" si="112"/>
        <v>192.74878854286936</v>
      </c>
      <c r="D44" s="2630">
        <f t="shared" si="98"/>
        <v>192.74878854286936</v>
      </c>
      <c r="E44" s="2630">
        <f t="shared" si="113"/>
        <v>319.71247284992984</v>
      </c>
      <c r="F44" s="2630">
        <f t="shared" si="113"/>
        <v>175.67053622862409</v>
      </c>
      <c r="G44" s="3490">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2598</v>
      </c>
      <c r="B45" s="2622">
        <v>220</v>
      </c>
      <c r="C45" s="2622">
        <v>187</v>
      </c>
      <c r="D45" s="2622">
        <f t="shared" si="98"/>
        <v>187</v>
      </c>
      <c r="E45" s="2622">
        <v>301</v>
      </c>
      <c r="F45" s="2623">
        <v>168</v>
      </c>
      <c r="G45" s="3489">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2599</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87">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2600</v>
      </c>
      <c r="B47" s="2630">
        <f t="shared" si="114"/>
        <v>210.630522469011</v>
      </c>
      <c r="C47" s="2630">
        <f t="shared" si="114"/>
        <v>181.69567812247232</v>
      </c>
      <c r="D47" s="2630">
        <f t="shared" si="98"/>
        <v>181.69567812247232</v>
      </c>
      <c r="E47" s="2630">
        <f t="shared" si="115"/>
        <v>286.13517466736738</v>
      </c>
      <c r="F47" s="2630">
        <f t="shared" si="115"/>
        <v>165.47535084591149</v>
      </c>
      <c r="G47" s="3487">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2601</v>
      </c>
      <c r="B48" s="2630">
        <f t="shared" si="114"/>
        <v>208.83454537875372</v>
      </c>
      <c r="C48" s="2630">
        <f t="shared" si="114"/>
        <v>183.77230517090351</v>
      </c>
      <c r="D48" s="2630">
        <f t="shared" si="98"/>
        <v>183.77230517090351</v>
      </c>
      <c r="E48" s="2630">
        <f t="shared" si="115"/>
        <v>281.10342338870947</v>
      </c>
      <c r="F48" s="2630">
        <f t="shared" si="115"/>
        <v>168.97309388942256</v>
      </c>
      <c r="G48" s="3490">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2602</v>
      </c>
      <c r="B49" s="2660">
        <v>214</v>
      </c>
      <c r="C49" s="2660">
        <v>188</v>
      </c>
      <c r="D49" s="2660">
        <f t="shared" si="98"/>
        <v>188</v>
      </c>
      <c r="E49" s="2660">
        <v>289</v>
      </c>
      <c r="F49" s="2661">
        <v>166</v>
      </c>
      <c r="G49" s="3489">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2603</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87">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2604</v>
      </c>
      <c r="B51" s="2630">
        <f t="shared" si="116"/>
        <v>206.31694671589116</v>
      </c>
      <c r="C51" s="2630">
        <f t="shared" si="116"/>
        <v>183.61041121036101</v>
      </c>
      <c r="D51" s="2630">
        <f t="shared" si="98"/>
        <v>183.61041121036101</v>
      </c>
      <c r="E51" s="2630">
        <f t="shared" si="117"/>
        <v>276.66850301795557</v>
      </c>
      <c r="F51" s="2630">
        <f t="shared" si="117"/>
        <v>165.1360938278614</v>
      </c>
      <c r="G51" s="3487">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2605</v>
      </c>
      <c r="B52" s="2663">
        <f t="shared" si="116"/>
        <v>196.62341248059772</v>
      </c>
      <c r="C52" s="2663">
        <f t="shared" si="116"/>
        <v>170.99125648199012</v>
      </c>
      <c r="D52" s="2663">
        <f t="shared" si="98"/>
        <v>170.99125648199012</v>
      </c>
      <c r="E52" s="2663">
        <f t="shared" si="117"/>
        <v>266.07857570490052</v>
      </c>
      <c r="F52" s="2663">
        <f t="shared" si="117"/>
        <v>154.53499328828505</v>
      </c>
      <c r="G52" s="3490">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2606</v>
      </c>
      <c r="B53" s="2622">
        <v>188</v>
      </c>
      <c r="C53" s="2622">
        <v>165</v>
      </c>
      <c r="D53" s="2622">
        <f t="shared" si="98"/>
        <v>165</v>
      </c>
      <c r="E53" s="2622">
        <v>254</v>
      </c>
      <c r="F53" s="2623">
        <v>148</v>
      </c>
      <c r="G53" s="3489">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2607</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87">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2608</v>
      </c>
      <c r="B55" s="2630">
        <f t="shared" si="120"/>
        <v>168.82017748715555</v>
      </c>
      <c r="C55" s="2630">
        <f t="shared" si="120"/>
        <v>148.06267029972753</v>
      </c>
      <c r="D55" s="2630">
        <f t="shared" si="98"/>
        <v>148.06267029972753</v>
      </c>
      <c r="E55" s="2630">
        <f t="shared" si="121"/>
        <v>216.46288379323747</v>
      </c>
      <c r="F55" s="2630">
        <f t="shared" si="121"/>
        <v>134.23529411764704</v>
      </c>
      <c r="G55" s="3487">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2609</v>
      </c>
      <c r="B56" s="2630">
        <f t="shared" si="120"/>
        <v>163.84913591779542</v>
      </c>
      <c r="C56" s="2630">
        <f t="shared" si="120"/>
        <v>145.0283378746594</v>
      </c>
      <c r="D56" s="2630">
        <f t="shared" si="98"/>
        <v>145.0283378746594</v>
      </c>
      <c r="E56" s="2630">
        <f t="shared" si="121"/>
        <v>204.95180722891567</v>
      </c>
      <c r="F56" s="2630">
        <f t="shared" si="121"/>
        <v>125.95920303605313</v>
      </c>
      <c r="G56" s="3490">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2610</v>
      </c>
      <c r="B57" s="2644">
        <v>159</v>
      </c>
      <c r="C57" s="2644">
        <v>141</v>
      </c>
      <c r="D57" s="2644">
        <f t="shared" si="98"/>
        <v>141</v>
      </c>
      <c r="E57" s="2644">
        <v>195</v>
      </c>
      <c r="F57" s="2645">
        <v>122</v>
      </c>
      <c r="G57" s="3489">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2611</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87">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2612</v>
      </c>
      <c r="B59" s="2630">
        <f t="shared" si="124"/>
        <v>146.57412060301507</v>
      </c>
      <c r="C59" s="2630">
        <f t="shared" si="124"/>
        <v>136.46831955922866</v>
      </c>
      <c r="D59" s="2630">
        <f t="shared" si="98"/>
        <v>136.46831955922866</v>
      </c>
      <c r="E59" s="2630">
        <f t="shared" si="125"/>
        <v>166.73864894795128</v>
      </c>
      <c r="F59" s="2630">
        <f t="shared" si="125"/>
        <v>115.05882352941177</v>
      </c>
      <c r="G59" s="3487">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2613</v>
      </c>
      <c r="B60" s="2630">
        <f t="shared" si="124"/>
        <v>144.04145728643215</v>
      </c>
      <c r="C60" s="2630">
        <f t="shared" si="124"/>
        <v>136.12396694214877</v>
      </c>
      <c r="D60" s="2630">
        <f t="shared" si="98"/>
        <v>136.12396694214877</v>
      </c>
      <c r="E60" s="2630">
        <f t="shared" si="125"/>
        <v>158.32225913621264</v>
      </c>
      <c r="F60" s="2630">
        <f t="shared" si="125"/>
        <v>114.04278074866311</v>
      </c>
      <c r="G60" s="3490">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2614</v>
      </c>
      <c r="B61" s="2644">
        <v>138</v>
      </c>
      <c r="C61" s="2644">
        <v>131</v>
      </c>
      <c r="D61" s="2644">
        <f t="shared" si="98"/>
        <v>131</v>
      </c>
      <c r="E61" s="2644">
        <v>155</v>
      </c>
      <c r="F61" s="2645">
        <v>114</v>
      </c>
      <c r="G61" s="3489">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2615</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87">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2616</v>
      </c>
      <c r="B63" s="2630">
        <f t="shared" si="128"/>
        <v>124.29032258064517</v>
      </c>
      <c r="C63" s="2630">
        <f t="shared" si="128"/>
        <v>123.8968609865471</v>
      </c>
      <c r="D63" s="2630">
        <f t="shared" si="98"/>
        <v>123.8968609865471</v>
      </c>
      <c r="E63" s="2630">
        <f t="shared" si="129"/>
        <v>138.00507614213197</v>
      </c>
      <c r="F63" s="2630">
        <f t="shared" si="129"/>
        <v>107.96106557377048</v>
      </c>
      <c r="G63" s="3487">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2617</v>
      </c>
      <c r="B64" s="2630">
        <f t="shared" si="128"/>
        <v>122.57204301075269</v>
      </c>
      <c r="C64" s="2630">
        <f t="shared" si="128"/>
        <v>123.4932735426009</v>
      </c>
      <c r="D64" s="2630">
        <f t="shared" si="98"/>
        <v>123.4932735426009</v>
      </c>
      <c r="E64" s="2630">
        <f t="shared" si="129"/>
        <v>129.82233502538071</v>
      </c>
      <c r="F64" s="2630">
        <f t="shared" si="129"/>
        <v>107.39446721311475</v>
      </c>
      <c r="G64" s="3490">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2618</v>
      </c>
      <c r="B65" s="2660">
        <v>121</v>
      </c>
      <c r="C65" s="2660">
        <v>122</v>
      </c>
      <c r="D65" s="2660">
        <f t="shared" si="98"/>
        <v>122</v>
      </c>
      <c r="E65" s="2660">
        <v>124</v>
      </c>
      <c r="F65" s="2661">
        <v>107</v>
      </c>
      <c r="G65" s="3489">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2619</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87">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2620</v>
      </c>
      <c r="B67" s="2630">
        <f t="shared" si="132"/>
        <v>116.99099099099099</v>
      </c>
      <c r="C67" s="2630">
        <f t="shared" si="132"/>
        <v>118.84848484848486</v>
      </c>
      <c r="D67" s="2630">
        <f t="shared" si="98"/>
        <v>118.84848484848486</v>
      </c>
      <c r="E67" s="2630">
        <f t="shared" si="133"/>
        <v>117.60960960960961</v>
      </c>
      <c r="F67" s="2630">
        <f t="shared" si="133"/>
        <v>104</v>
      </c>
      <c r="G67" s="3487">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2621</v>
      </c>
      <c r="B68" s="2663">
        <f t="shared" si="132"/>
        <v>112.48648648648648</v>
      </c>
      <c r="C68" s="2663">
        <f t="shared" si="132"/>
        <v>115.21212121212122</v>
      </c>
      <c r="D68" s="2663">
        <f t="shared" si="98"/>
        <v>115.21212121212122</v>
      </c>
      <c r="E68" s="2663">
        <f t="shared" si="133"/>
        <v>110.4024024024024</v>
      </c>
      <c r="F68" s="2663">
        <f t="shared" si="133"/>
        <v>104</v>
      </c>
      <c r="G68" s="3490">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2622</v>
      </c>
      <c r="B69" s="2681">
        <v>111</v>
      </c>
      <c r="C69" s="2681">
        <v>114</v>
      </c>
      <c r="D69" s="2681">
        <f t="shared" si="98"/>
        <v>114</v>
      </c>
      <c r="E69" s="2681">
        <v>108</v>
      </c>
      <c r="F69" s="2682">
        <v>104</v>
      </c>
      <c r="G69" s="3489">
        <v>2003</v>
      </c>
      <c r="H69" s="2671">
        <v>4</v>
      </c>
      <c r="I69" s="2683"/>
      <c r="J69" s="2683"/>
      <c r="K69" s="2683"/>
      <c r="L69" s="2683"/>
      <c r="N69" s="2684"/>
      <c r="O69" s="2683"/>
      <c r="P69" s="2683"/>
      <c r="Q69" s="2683"/>
      <c r="S69" s="2684"/>
      <c r="T69" s="2683"/>
      <c r="U69" s="2683"/>
      <c r="V69" s="2683"/>
      <c r="X69" s="2675"/>
      <c r="Y69" s="2675"/>
      <c r="Z69" s="2675"/>
    </row>
    <row r="70" spans="1:26">
      <c r="A70" s="2617" t="s">
        <v>2623</v>
      </c>
      <c r="B70" s="2685">
        <f t="shared" ref="B70:C72" si="134">B71+(B$69-B$73)/4</f>
        <v>109.75</v>
      </c>
      <c r="C70" s="2685">
        <f t="shared" si="134"/>
        <v>112.25</v>
      </c>
      <c r="D70" s="2685">
        <f t="shared" si="98"/>
        <v>112.25</v>
      </c>
      <c r="E70" s="2685">
        <f t="shared" ref="E70:F72" si="135">E71+(E$69-E$73)/4</f>
        <v>107.25</v>
      </c>
      <c r="F70" s="2685">
        <f t="shared" si="135"/>
        <v>103.5</v>
      </c>
      <c r="G70" s="3487">
        <v>2003</v>
      </c>
      <c r="H70" s="2641">
        <v>3</v>
      </c>
      <c r="I70" s="2683"/>
      <c r="J70" s="2683"/>
      <c r="K70" s="2683"/>
      <c r="L70" s="2683"/>
      <c r="X70" s="2675"/>
      <c r="Y70" s="2675"/>
      <c r="Z70" s="2675"/>
    </row>
    <row r="71" spans="1:26">
      <c r="A71" s="2617" t="s">
        <v>2624</v>
      </c>
      <c r="B71" s="2685">
        <f t="shared" si="134"/>
        <v>108.5</v>
      </c>
      <c r="C71" s="2685">
        <f t="shared" si="134"/>
        <v>110.5</v>
      </c>
      <c r="D71" s="2685">
        <f t="shared" si="98"/>
        <v>110.5</v>
      </c>
      <c r="E71" s="2685">
        <f t="shared" si="135"/>
        <v>106.5</v>
      </c>
      <c r="F71" s="2685">
        <f t="shared" si="135"/>
        <v>103</v>
      </c>
      <c r="G71" s="3487">
        <v>2003</v>
      </c>
      <c r="H71" s="2621">
        <v>2</v>
      </c>
      <c r="I71" s="2683"/>
      <c r="J71" s="2683"/>
      <c r="K71" s="2683"/>
      <c r="L71" s="2683"/>
      <c r="X71" s="2675"/>
      <c r="Y71" s="2675"/>
      <c r="Z71" s="2675"/>
    </row>
    <row r="72" spans="1:26" ht="13.5" thickBot="1">
      <c r="A72" s="2617" t="s">
        <v>2625</v>
      </c>
      <c r="B72" s="2685">
        <f t="shared" si="134"/>
        <v>107.25</v>
      </c>
      <c r="C72" s="2685">
        <f t="shared" si="134"/>
        <v>108.75</v>
      </c>
      <c r="D72" s="2685">
        <f t="shared" si="98"/>
        <v>108.75</v>
      </c>
      <c r="E72" s="2685">
        <f t="shared" si="135"/>
        <v>105.75</v>
      </c>
      <c r="F72" s="2685">
        <f t="shared" si="135"/>
        <v>102.5</v>
      </c>
      <c r="G72" s="3490">
        <v>2003</v>
      </c>
      <c r="H72" s="2686">
        <v>1</v>
      </c>
      <c r="I72" s="2683"/>
      <c r="J72" s="2683"/>
      <c r="K72" s="2683"/>
      <c r="L72" s="2683"/>
      <c r="S72" s="2625"/>
      <c r="T72" s="2626"/>
      <c r="U72" s="2626"/>
      <c r="X72" s="2675"/>
      <c r="Y72" s="2675"/>
      <c r="Z72" s="2675"/>
    </row>
    <row r="73" spans="1:26" ht="13.5" thickBot="1">
      <c r="A73" s="2617" t="s">
        <v>2626</v>
      </c>
      <c r="B73" s="2687">
        <v>106</v>
      </c>
      <c r="C73" s="2687">
        <v>107</v>
      </c>
      <c r="D73" s="2687">
        <f t="shared" si="98"/>
        <v>107</v>
      </c>
      <c r="E73" s="2687">
        <v>105</v>
      </c>
      <c r="F73" s="2688">
        <v>102</v>
      </c>
      <c r="G73" s="3489">
        <v>2002</v>
      </c>
      <c r="H73" s="2636">
        <v>4</v>
      </c>
      <c r="I73" s="2683"/>
      <c r="J73" s="2683"/>
      <c r="K73" s="2683"/>
      <c r="L73" s="2683"/>
      <c r="N73" s="2684"/>
      <c r="O73" s="2683"/>
      <c r="P73" s="2683"/>
      <c r="Q73" s="2683"/>
      <c r="S73" s="2684"/>
      <c r="T73" s="2683"/>
      <c r="U73" s="2683"/>
      <c r="V73" s="2683"/>
      <c r="X73" s="2675"/>
      <c r="Y73" s="2675"/>
      <c r="Z73" s="2675"/>
    </row>
    <row r="74" spans="1:26">
      <c r="A74" s="2617" t="s">
        <v>2627</v>
      </c>
      <c r="B74" s="2685">
        <f t="shared" ref="B74:C76" si="136">B75+(B$73-B$77)/4</f>
        <v>105</v>
      </c>
      <c r="C74" s="2685">
        <f t="shared" si="136"/>
        <v>106</v>
      </c>
      <c r="D74" s="2685">
        <f t="shared" si="98"/>
        <v>106</v>
      </c>
      <c r="E74" s="2685">
        <f t="shared" ref="E74:F76" si="137">E75+(E$73-E$77)/4</f>
        <v>104.5</v>
      </c>
      <c r="F74" s="2685">
        <f t="shared" si="137"/>
        <v>101.5</v>
      </c>
      <c r="G74" s="3487">
        <v>2002</v>
      </c>
      <c r="H74" s="2641">
        <v>3</v>
      </c>
      <c r="I74" s="2683"/>
      <c r="J74" s="2683"/>
      <c r="K74" s="2683"/>
      <c r="L74" s="2683"/>
      <c r="X74" s="2675"/>
      <c r="Y74" s="2675"/>
      <c r="Z74" s="2675"/>
    </row>
    <row r="75" spans="1:26">
      <c r="A75" s="2617" t="s">
        <v>2628</v>
      </c>
      <c r="B75" s="2685">
        <f t="shared" si="136"/>
        <v>104</v>
      </c>
      <c r="C75" s="2685">
        <f t="shared" si="136"/>
        <v>105</v>
      </c>
      <c r="D75" s="2685">
        <f t="shared" si="98"/>
        <v>105</v>
      </c>
      <c r="E75" s="2685">
        <f t="shared" si="137"/>
        <v>104</v>
      </c>
      <c r="F75" s="2685">
        <f t="shared" si="137"/>
        <v>101</v>
      </c>
      <c r="G75" s="3487">
        <v>2002</v>
      </c>
      <c r="H75" s="2621">
        <v>2</v>
      </c>
      <c r="I75" s="2683"/>
      <c r="J75" s="2683"/>
      <c r="K75" s="2683"/>
      <c r="L75" s="2683"/>
      <c r="X75" s="2675"/>
      <c r="Y75" s="2675"/>
      <c r="Z75" s="2675"/>
    </row>
    <row r="76" spans="1:26" s="2652" customFormat="1" ht="13.5" thickBot="1">
      <c r="A76" s="2648" t="s">
        <v>2629</v>
      </c>
      <c r="B76" s="2689">
        <f t="shared" si="136"/>
        <v>103</v>
      </c>
      <c r="C76" s="2689">
        <f t="shared" si="136"/>
        <v>104</v>
      </c>
      <c r="D76" s="2689">
        <f t="shared" si="98"/>
        <v>104</v>
      </c>
      <c r="E76" s="2689">
        <f t="shared" si="137"/>
        <v>103.5</v>
      </c>
      <c r="F76" s="2689">
        <f t="shared" si="137"/>
        <v>100.5</v>
      </c>
      <c r="G76" s="3490">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2630</v>
      </c>
      <c r="G79" s="2699"/>
      <c r="N79" s="2699"/>
      <c r="S79" s="2699"/>
    </row>
    <row r="80" spans="1:26" s="2698" customFormat="1">
      <c r="A80" s="2698" t="s">
        <v>2631</v>
      </c>
      <c r="G80" s="2699"/>
      <c r="N80" s="2699"/>
      <c r="S80" s="2699"/>
    </row>
    <row r="81" spans="1:22" s="2698" customFormat="1">
      <c r="A81" s="2698" t="s">
        <v>2632</v>
      </c>
      <c r="G81" s="2699"/>
      <c r="I81" s="2700"/>
      <c r="J81" s="2700"/>
      <c r="K81" s="2700"/>
      <c r="L81" s="2700"/>
      <c r="N81" s="2701"/>
      <c r="O81" s="2700"/>
      <c r="P81" s="2700"/>
      <c r="Q81" s="2700"/>
      <c r="S81" s="2701"/>
      <c r="T81" s="2700"/>
      <c r="U81" s="2700"/>
      <c r="V81" s="2700"/>
    </row>
    <row r="82" spans="1:22" s="2698" customFormat="1">
      <c r="A82" s="2698" t="s">
        <v>2633</v>
      </c>
      <c r="G82" s="2699"/>
      <c r="N82" s="2699"/>
      <c r="S82" s="2699"/>
    </row>
    <row r="89" spans="1:22" ht="13.5" thickBot="1"/>
    <row r="90" spans="1:22">
      <c r="G90" s="2624"/>
      <c r="S90" s="2702" t="s">
        <v>2634</v>
      </c>
      <c r="T90" s="2703" t="s">
        <v>2635</v>
      </c>
      <c r="U90" s="2703" t="s">
        <v>2636</v>
      </c>
      <c r="V90" s="2703" t="s">
        <v>2637</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37" sqref="B37:I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2940</v>
      </c>
      <c r="B1" s="3050"/>
      <c r="C1" s="3050"/>
      <c r="D1" s="3050"/>
      <c r="E1" s="3050"/>
      <c r="F1" s="3050"/>
    </row>
    <row r="2" spans="1:6" ht="14.25">
      <c r="A2" s="3051" t="s">
        <v>2935</v>
      </c>
      <c r="B2" s="3052">
        <f ca="1">SUMIF(B7:B14,"&lt;&gt;#ref!",B7:B14)</f>
        <v>0</v>
      </c>
      <c r="C2" s="3051" t="s">
        <v>2936</v>
      </c>
      <c r="D2" s="3050"/>
      <c r="E2" s="3050"/>
      <c r="F2" s="3050"/>
    </row>
    <row r="3" spans="1:6" ht="14.25">
      <c r="A3" s="3051" t="s">
        <v>2968</v>
      </c>
      <c r="B3" s="3052" t="e">
        <f ca="1">ROUND(B2*10000/E3,0)</f>
        <v>#DIV/0!</v>
      </c>
      <c r="C3" s="3051" t="s">
        <v>2077</v>
      </c>
      <c r="D3" s="3051" t="s">
        <v>2937</v>
      </c>
      <c r="E3" s="3052">
        <f ca="1">SUMIF(E7:E14,"&lt;&gt;#ref!",E7:E14)</f>
        <v>0</v>
      </c>
      <c r="F3" s="3050"/>
    </row>
    <row r="4" spans="1:6" ht="14.25">
      <c r="A4" s="3051" t="s">
        <v>2944</v>
      </c>
      <c r="B4" s="3052" t="e">
        <f ca="1">ROUND(B2*10000/E4,0)</f>
        <v>#DIV/0!</v>
      </c>
      <c r="C4" s="3051" t="s">
        <v>2077</v>
      </c>
      <c r="D4" s="3051" t="s">
        <v>2945</v>
      </c>
      <c r="E4" s="3052">
        <f ca="1">SUMIF(F7:F14,"&lt;&gt;#ref!",F7:F14)</f>
        <v>0</v>
      </c>
      <c r="F4" s="3050"/>
    </row>
    <row r="5" spans="1:6" ht="14.25">
      <c r="A5" s="3053"/>
      <c r="B5" s="1864"/>
      <c r="C5" s="1864"/>
      <c r="D5" s="1864"/>
      <c r="E5" s="1864"/>
      <c r="F5" s="3050"/>
    </row>
    <row r="6" spans="1:6" ht="28.5">
      <c r="A6" s="3054" t="s">
        <v>2941</v>
      </c>
      <c r="B6" s="3051" t="s">
        <v>2938</v>
      </c>
      <c r="C6" s="3052"/>
      <c r="D6" s="1864"/>
      <c r="E6" s="3051" t="s">
        <v>2939</v>
      </c>
      <c r="F6" s="3051" t="s">
        <v>2943</v>
      </c>
    </row>
    <row r="7" spans="1:6" ht="14.25">
      <c r="A7" s="258" t="s">
        <v>2942</v>
      </c>
      <c r="B7" s="3055">
        <f ca="1">SUMIF(INDIRECT("'"&amp;A7&amp;"'"&amp;"!A:A"),"总价",INDIRECT("'"&amp;A7&amp;"'"&amp;"!B:B"))</f>
        <v>0</v>
      </c>
      <c r="C7" s="3051" t="s">
        <v>2936</v>
      </c>
      <c r="D7" s="1864"/>
      <c r="E7" s="3056">
        <f ca="1">SUMIF(INDIRECT("'"&amp;A7&amp;"'"&amp;"!C:C"),"建筑面积",INDIRECT("'"&amp;A7&amp;"'"&amp;"!D:D"))</f>
        <v>0</v>
      </c>
      <c r="F7" s="3056">
        <f ca="1">SUMIF(INDIRECT("'"&amp;A7&amp;"'"&amp;"!E:E"),"土地面积",INDIRECT("'"&amp;A7&amp;"'"&amp;"!F:F"))</f>
        <v>0</v>
      </c>
    </row>
    <row r="8" spans="1:6" ht="14.25">
      <c r="A8" s="258"/>
      <c r="B8" s="3055" t="e">
        <f t="shared" ref="B8:B14" ca="1" si="0">SUMIF(INDIRECT("'"&amp;A8&amp;"'"&amp;"!A:A"),"总价",INDIRECT("'"&amp;A8&amp;"'"&amp;"!B:B"))</f>
        <v>#REF!</v>
      </c>
      <c r="C8" s="3051" t="s">
        <v>2936</v>
      </c>
      <c r="D8" s="1864"/>
      <c r="E8" s="3056" t="e">
        <f t="shared" ref="E8:E14" ca="1" si="1">SUMIF(INDIRECT("'"&amp;A8&amp;"'"&amp;"!C:C"),"建筑面积",INDIRECT("'"&amp;A8&amp;"'"&amp;"!D:D"))</f>
        <v>#REF!</v>
      </c>
      <c r="F8" s="3056" t="e">
        <f t="shared" ref="F8:F14" ca="1" si="2">SUMIF(INDIRECT("'"&amp;A8&amp;"'"&amp;"!E:E"),"土地面积",INDIRECT("'"&amp;A8&amp;"'"&amp;"!F:F"))</f>
        <v>#REF!</v>
      </c>
    </row>
    <row r="9" spans="1:6" ht="14.25">
      <c r="A9" s="258"/>
      <c r="B9" s="3055" t="e">
        <f t="shared" ca="1" si="0"/>
        <v>#REF!</v>
      </c>
      <c r="C9" s="3051" t="s">
        <v>2936</v>
      </c>
      <c r="D9" s="1864"/>
      <c r="E9" s="3056" t="e">
        <f t="shared" ca="1" si="1"/>
        <v>#REF!</v>
      </c>
      <c r="F9" s="3056" t="e">
        <f t="shared" ca="1" si="2"/>
        <v>#REF!</v>
      </c>
    </row>
    <row r="10" spans="1:6" ht="14.25">
      <c r="A10" s="258"/>
      <c r="B10" s="3055" t="e">
        <f t="shared" ca="1" si="0"/>
        <v>#REF!</v>
      </c>
      <c r="C10" s="3051" t="s">
        <v>2936</v>
      </c>
      <c r="D10" s="1864"/>
      <c r="E10" s="3056" t="e">
        <f t="shared" ca="1" si="1"/>
        <v>#REF!</v>
      </c>
      <c r="F10" s="3056" t="e">
        <f t="shared" ca="1" si="2"/>
        <v>#REF!</v>
      </c>
    </row>
    <row r="11" spans="1:6" ht="14.25">
      <c r="A11" s="258"/>
      <c r="B11" s="3055" t="e">
        <f t="shared" ca="1" si="0"/>
        <v>#REF!</v>
      </c>
      <c r="C11" s="3051" t="s">
        <v>2936</v>
      </c>
      <c r="D11" s="1864"/>
      <c r="E11" s="3056" t="e">
        <f t="shared" ca="1" si="1"/>
        <v>#REF!</v>
      </c>
      <c r="F11" s="3056" t="e">
        <f t="shared" ca="1" si="2"/>
        <v>#REF!</v>
      </c>
    </row>
    <row r="12" spans="1:6" ht="14.25">
      <c r="A12" s="258"/>
      <c r="B12" s="3055" t="e">
        <f t="shared" ca="1" si="0"/>
        <v>#REF!</v>
      </c>
      <c r="C12" s="3051" t="s">
        <v>2936</v>
      </c>
      <c r="D12" s="1864"/>
      <c r="E12" s="3056" t="e">
        <f t="shared" ca="1" si="1"/>
        <v>#REF!</v>
      </c>
      <c r="F12" s="3056" t="e">
        <f t="shared" ca="1" si="2"/>
        <v>#REF!</v>
      </c>
    </row>
    <row r="13" spans="1:6" ht="14.25">
      <c r="A13" s="258"/>
      <c r="B13" s="3055" t="e">
        <f t="shared" ca="1" si="0"/>
        <v>#REF!</v>
      </c>
      <c r="C13" s="3051" t="s">
        <v>2936</v>
      </c>
      <c r="D13" s="1864"/>
      <c r="E13" s="3056" t="e">
        <f t="shared" ca="1" si="1"/>
        <v>#REF!</v>
      </c>
      <c r="F13" s="3056" t="e">
        <f t="shared" ca="1" si="2"/>
        <v>#REF!</v>
      </c>
    </row>
    <row r="14" spans="1:6" ht="14.25">
      <c r="A14" s="3049"/>
      <c r="B14" s="3055" t="e">
        <f t="shared" ca="1" si="0"/>
        <v>#REF!</v>
      </c>
      <c r="C14" s="3051" t="s">
        <v>2936</v>
      </c>
      <c r="D14" s="1864"/>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北京展拓置业有限公司：</v>
      </c>
    </row>
    <row r="4" spans="1:4" ht="37.5">
      <c r="A4" s="1774" t="str">
        <f>"受贵公司委托，我公司对"&amp;项目基本情况!K2&amp;项目基本情况!B9&amp;"进行了预评估。"</f>
        <v>受贵公司委托，我公司对北京市顺义区北小营镇顺义新城第30街区30-01-02地块R2二类居住用地出让国有建设用地使用权抵押价格进行了预评估。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城茂房地产开发有限公司使用的、位于北京市顺义区北小营镇顺义新城第30街区30-01-02地块R2二类居住用地出让国有建设用地使用权。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7" spans="1:4" ht="56.25">
      <c r="A7" s="1778" t="s">
        <v>2745</v>
      </c>
    </row>
    <row r="8" spans="1:4" ht="18.75">
      <c r="A8" s="1777" t="s">
        <v>1906</v>
      </c>
    </row>
    <row r="9" spans="1:4" ht="75">
      <c r="A9" s="1779" t="str">
        <f>IF(项目基本情况!B8="抵押",IF(项目基本情况!B5=项目基本情况!B6,定义!C51,定义!B51),定义!D51)</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2019年12月31日</v>
      </c>
    </row>
    <row r="12" spans="1:4" ht="18.75">
      <c r="A12" s="1780" t="s">
        <v>2024</v>
      </c>
    </row>
    <row r="13" spans="1:4" ht="18.75">
      <c r="A13" s="1774" t="s">
        <v>2933</v>
      </c>
    </row>
    <row r="14" spans="1:4" ht="37.5">
      <c r="A14" s="1774" t="str">
        <f>"根据"&amp;项目基本情况!F12&amp;"，本次评估估价对象证载（地类）用途为"&amp;项目基本情况!B12&amp;"。"</f>
        <v>根据《不动产权证书》[京（2019）顺不动产权第00024024号]，本次评估估价对象证载（地类）用途为城镇住宅用地。</v>
      </c>
      <c r="C14" s="1764"/>
      <c r="D14" s="1765"/>
    </row>
    <row r="15" spans="1:4" ht="9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1101002019B02714]及附件、《北京市顺义区北小营镇顺义新城第30街区30-01-02地块总经济技术指标》，估价对象土地规划用途为住宅、地下仓储及地下车库，上述用途符合《国有土地使用证》证载地类范围。本次评估设定用途为住宅、地下仓储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9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21" spans="1:1" ht="18.75">
      <c r="A21" s="1774" t="s">
        <v>2073</v>
      </c>
    </row>
    <row r="22" spans="1:1" ht="13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00024024号]、《国有建设用地使用权出让合同》[电子监管号：1101002019B02714]及附件、《北京市顺义区北小营镇顺义新城第30街区30-01-02地块总经济技术指标》，土地终止日期为住宅2089年10月7日车库2069年10月7日、仓储2069年10月7日。截至估价期日，出让国有建设用地使用权剩余土地使用年限为住宅69.8年、地下仓储及地下车库49.8年。</v>
      </c>
    </row>
    <row r="23" spans="1:1" ht="37.5">
      <c r="A23" s="1774" t="str">
        <f>IF(项目基本情况!B16="出让","本次评估设定估价对象剩余土地使用年限为"&amp;项目基本情况!D20&amp;"。","")</f>
        <v>本次评估设定估价对象剩余土地使用年限为住宅69.8年、地下仓储及地下车库49.8年。</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37" sqref="B37:I37"/>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628</v>
      </c>
      <c r="B1" s="736"/>
      <c r="C1" s="771"/>
      <c r="D1" s="2033"/>
      <c r="E1" s="2349" t="s">
        <v>2373</v>
      </c>
      <c r="F1" s="2350">
        <f ca="1">J54</f>
        <v>-3.5</v>
      </c>
      <c r="G1" s="772">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3">
        <f ca="1">IF(ISERROR(C45+J31),0,C45+J31)</f>
        <v>0</v>
      </c>
      <c r="C2" s="1345"/>
      <c r="D2" s="2038"/>
      <c r="E2" s="2039"/>
      <c r="F2" s="2039"/>
      <c r="G2" s="1574"/>
      <c r="H2" s="1357"/>
      <c r="I2" s="2040"/>
      <c r="J2" s="2040"/>
      <c r="K2" s="2041"/>
      <c r="L2" s="2040"/>
      <c r="M2" s="2040"/>
    </row>
    <row r="3" spans="1:25" ht="18" customHeight="1">
      <c r="A3" s="1628" t="s">
        <v>1686</v>
      </c>
      <c r="B3" s="1385">
        <f ca="1">ROUND(B2*10000/'数据-汇总表'!E3,0)</f>
        <v>0</v>
      </c>
      <c r="C3" s="1345"/>
      <c r="D3" s="2038"/>
      <c r="E3" s="2039"/>
      <c r="F3" s="2039"/>
      <c r="G3" s="1574"/>
      <c r="H3" s="774" t="s">
        <v>695</v>
      </c>
      <c r="I3" s="2040"/>
      <c r="J3" s="2040"/>
      <c r="K3" s="2041"/>
      <c r="L3" s="2040"/>
      <c r="M3" s="2040"/>
    </row>
    <row r="4" spans="1:25" ht="18" customHeight="1">
      <c r="A4" s="1629" t="s">
        <v>696</v>
      </c>
      <c r="B4" s="1346">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697</v>
      </c>
      <c r="D5" s="2038"/>
      <c r="E5" s="2039"/>
      <c r="F5" s="2039"/>
      <c r="G5" s="1574"/>
      <c r="H5" s="774"/>
      <c r="I5" s="2040"/>
      <c r="J5" s="2040"/>
      <c r="K5" s="2041"/>
      <c r="L5" s="2040"/>
      <c r="M5" s="2040"/>
    </row>
    <row r="6" spans="1:25" ht="18" customHeight="1">
      <c r="A6" s="1811" t="s">
        <v>698</v>
      </c>
      <c r="B6" s="1803" t="s">
        <v>699</v>
      </c>
      <c r="C6" s="1803" t="s">
        <v>632</v>
      </c>
      <c r="D6" s="1803" t="s">
        <v>633</v>
      </c>
      <c r="E6" s="777" t="s">
        <v>634</v>
      </c>
      <c r="F6" s="778"/>
      <c r="G6" s="1576"/>
      <c r="H6" s="1811" t="s">
        <v>630</v>
      </c>
      <c r="I6" s="1803" t="s">
        <v>631</v>
      </c>
      <c r="J6" s="1803" t="s">
        <v>632</v>
      </c>
      <c r="K6" s="1803" t="s">
        <v>633</v>
      </c>
      <c r="L6" s="777" t="s">
        <v>634</v>
      </c>
      <c r="M6" s="778"/>
    </row>
    <row r="7" spans="1:25" ht="18" customHeight="1">
      <c r="A7" s="779">
        <v>1</v>
      </c>
      <c r="B7" s="780" t="s">
        <v>2457</v>
      </c>
      <c r="C7" s="53">
        <f ca="1">C8+C12+C14</f>
        <v>0</v>
      </c>
      <c r="D7" s="2458" t="s">
        <v>2460</v>
      </c>
      <c r="E7" s="2452"/>
      <c r="F7" s="2453"/>
      <c r="G7" s="1576"/>
      <c r="H7" s="779">
        <v>1</v>
      </c>
      <c r="I7" s="780" t="s">
        <v>2457</v>
      </c>
      <c r="J7" s="53">
        <f ca="1">J8+J12+J14</f>
        <v>0</v>
      </c>
      <c r="K7" s="2458" t="s">
        <v>2460</v>
      </c>
      <c r="L7" s="2452"/>
      <c r="M7" s="2453"/>
    </row>
    <row r="8" spans="1:25" ht="18" customHeight="1">
      <c r="A8" s="1813" t="s">
        <v>1824</v>
      </c>
      <c r="B8" s="3498" t="s">
        <v>2462</v>
      </c>
      <c r="C8" s="1808">
        <f ca="1">ROUND(F8*F10*F9*(1-F11)/10000,0)</f>
        <v>0</v>
      </c>
      <c r="D8" s="1805" t="s">
        <v>2533</v>
      </c>
      <c r="E8" s="61" t="s">
        <v>637</v>
      </c>
      <c r="F8" s="783">
        <f ca="1">INDIRECT("'数据-取费表'!u"&amp;$G$1)</f>
        <v>0</v>
      </c>
      <c r="G8" s="1576"/>
      <c r="H8" s="2466" t="s">
        <v>1824</v>
      </c>
      <c r="I8" s="3498" t="s">
        <v>2462</v>
      </c>
      <c r="J8" s="781">
        <f ca="1">ROUND(M8*M10*M9*(1-M11)/10000,0)</f>
        <v>0</v>
      </c>
      <c r="K8" s="339" t="s">
        <v>2533</v>
      </c>
      <c r="L8" s="782" t="s">
        <v>1738</v>
      </c>
      <c r="M8" s="783">
        <f ca="1">INDIRECT("'数据-取费表'!z"&amp;$G$1)</f>
        <v>0</v>
      </c>
    </row>
    <row r="9" spans="1:25" ht="18" customHeight="1">
      <c r="A9" s="2462"/>
      <c r="B9" s="3499"/>
      <c r="C9" s="1809"/>
      <c r="D9" s="1806"/>
      <c r="E9" s="61" t="s">
        <v>638</v>
      </c>
      <c r="F9" s="783">
        <f ca="1">IF(INDIRECT("'数据-取费表'!ah"&amp;$G$1)="",INDIRECT("'数据-取费表'!k"&amp;$G$1),INDIRECT("'数据-取费表'!ah"&amp;$G$1))</f>
        <v>0</v>
      </c>
      <c r="G9" s="1576"/>
      <c r="H9" s="2451"/>
      <c r="I9" s="3499"/>
      <c r="J9" s="786"/>
      <c r="K9" s="787"/>
      <c r="L9" s="782" t="s">
        <v>1739</v>
      </c>
      <c r="M9" s="783">
        <f ca="1">F9</f>
        <v>0</v>
      </c>
    </row>
    <row r="10" spans="1:25" ht="18" customHeight="1">
      <c r="A10" s="2455"/>
      <c r="B10" s="3500"/>
      <c r="C10" s="1809"/>
      <c r="D10" s="1806"/>
      <c r="E10" s="61" t="s">
        <v>639</v>
      </c>
      <c r="F10" s="783">
        <f ca="1">INDIRECT("'数据-取费表'!ai"&amp;$G$1)</f>
        <v>0</v>
      </c>
      <c r="G10" s="1576"/>
      <c r="H10" s="2451"/>
      <c r="I10" s="3500"/>
      <c r="J10" s="786"/>
      <c r="K10" s="787"/>
      <c r="L10" s="782" t="s">
        <v>1740</v>
      </c>
      <c r="M10" s="783">
        <f ca="1">INDIRECT("'数据-取费表'!ai"&amp;$G$1)</f>
        <v>0</v>
      </c>
    </row>
    <row r="11" spans="1:25" ht="18" customHeight="1">
      <c r="A11" s="784"/>
      <c r="B11" s="3501"/>
      <c r="C11" s="1809"/>
      <c r="D11" s="1806"/>
      <c r="E11" s="61" t="s">
        <v>640</v>
      </c>
      <c r="F11" s="792">
        <f ca="1">INDIRECT("'数据-取费表'!w"&amp;$G$1)</f>
        <v>0</v>
      </c>
      <c r="G11" s="1576"/>
      <c r="H11" s="2467"/>
      <c r="I11" s="3500"/>
      <c r="J11" s="786"/>
      <c r="K11" s="787"/>
      <c r="L11" s="793" t="s">
        <v>1741</v>
      </c>
      <c r="M11" s="794">
        <f ca="1">INDIRECT("'数据-取费表'!ab"&amp;$G$1)</f>
        <v>0</v>
      </c>
    </row>
    <row r="12" spans="1:25" ht="18" customHeight="1">
      <c r="A12" s="1813" t="s">
        <v>1825</v>
      </c>
      <c r="B12" s="2456" t="s">
        <v>2458</v>
      </c>
      <c r="C12" s="797">
        <f ca="1">ROUND(IF(F12="押一",C8/12*F13,IF(F12="押二",C8/12*2*F13,IF(F12="押三",C8/12*3*F13,C13*F13))),0)</f>
        <v>0</v>
      </c>
      <c r="D12" s="2463" t="s">
        <v>2965</v>
      </c>
      <c r="E12" s="2460" t="s">
        <v>2463</v>
      </c>
      <c r="F12" s="2583"/>
      <c r="G12" s="1576"/>
      <c r="H12" s="2523" t="s">
        <v>1825</v>
      </c>
      <c r="I12" s="2528" t="s">
        <v>2458</v>
      </c>
      <c r="J12" s="781">
        <f ca="1">ROUND(IF(M12="押一",J8/12*M13,IF(M12="押二",J8/12*2*M13,IF(M12="押三",J8/12*3*M13,J13*M13))),0)</f>
        <v>0</v>
      </c>
      <c r="K12" s="2463" t="s">
        <v>2965</v>
      </c>
      <c r="L12" s="2460" t="s">
        <v>2463</v>
      </c>
      <c r="M12" s="2583"/>
    </row>
    <row r="13" spans="1:25" ht="18" customHeight="1">
      <c r="A13" s="788"/>
      <c r="B13" s="2457" t="s">
        <v>2572</v>
      </c>
      <c r="C13" s="2461"/>
      <c r="D13" s="787"/>
      <c r="E13" s="2460" t="s">
        <v>2455</v>
      </c>
      <c r="F13" s="794">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1874</v>
      </c>
      <c r="B15" s="1810" t="s">
        <v>641</v>
      </c>
      <c r="C15" s="790">
        <f ca="1">ROUND(C31*F15,0)</f>
        <v>0</v>
      </c>
      <c r="D15" s="1817" t="s">
        <v>642</v>
      </c>
      <c r="E15" s="793" t="s">
        <v>643</v>
      </c>
      <c r="F15" s="798">
        <f ca="1">INDIRECT("'数据-取费表'!y"&amp;$G$1)</f>
        <v>0</v>
      </c>
      <c r="G15" s="1576"/>
      <c r="H15" s="1812" t="s">
        <v>1826</v>
      </c>
      <c r="I15" s="1810" t="s">
        <v>644</v>
      </c>
      <c r="J15" s="1802">
        <f ca="1">ROUND(J16*J17,0)</f>
        <v>0</v>
      </c>
      <c r="K15" s="1804" t="s">
        <v>642</v>
      </c>
      <c r="L15" s="799"/>
      <c r="M15" s="800"/>
    </row>
    <row r="16" spans="1:25" ht="18" customHeight="1">
      <c r="A16" s="801" t="s">
        <v>1875</v>
      </c>
      <c r="B16" s="782" t="s">
        <v>645</v>
      </c>
      <c r="C16" s="802">
        <f ca="1">INDIRECT("'数据-取费表'!m"&amp;$G$1)+INDIRECT("'数据-取费表'!t"&amp;$G$1)</f>
        <v>0</v>
      </c>
      <c r="D16" s="1962" t="s">
        <v>646</v>
      </c>
      <c r="E16" s="1963"/>
      <c r="F16" s="803"/>
      <c r="G16" s="1576"/>
      <c r="H16" s="801" t="s">
        <v>2068</v>
      </c>
      <c r="I16" s="2214" t="s">
        <v>2823</v>
      </c>
      <c r="J16" s="53">
        <f ca="1">C31</f>
        <v>0</v>
      </c>
      <c r="K16" s="26"/>
      <c r="L16" s="799"/>
      <c r="M16" s="800"/>
    </row>
    <row r="17" spans="1:25" s="2047" customFormat="1" ht="18" customHeight="1">
      <c r="A17" s="801" t="s">
        <v>1849</v>
      </c>
      <c r="B17" s="782" t="s">
        <v>647</v>
      </c>
      <c r="C17" s="53">
        <f ca="1">ROUND(C16*F17,0)</f>
        <v>0</v>
      </c>
      <c r="D17" s="804" t="s">
        <v>648</v>
      </c>
      <c r="E17" s="804" t="s">
        <v>649</v>
      </c>
      <c r="F17" s="805">
        <f>'数据-取费表'!B33</f>
        <v>0.05</v>
      </c>
      <c r="G17" s="1577"/>
      <c r="H17" s="801" t="s">
        <v>2069</v>
      </c>
      <c r="I17" s="782" t="s">
        <v>643</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6"/>
      <c r="H18" s="795" t="s">
        <v>1827</v>
      </c>
      <c r="I18" s="796" t="s">
        <v>651</v>
      </c>
      <c r="J18" s="797">
        <f ca="1">ROUND(J19+J24+J25+J26,0)</f>
        <v>0</v>
      </c>
      <c r="K18" s="26" t="s">
        <v>652</v>
      </c>
      <c r="L18" s="1965"/>
      <c r="M18" s="56"/>
    </row>
    <row r="19" spans="1:25" s="2047" customFormat="1" ht="18" customHeight="1">
      <c r="A19" s="801" t="s">
        <v>1851</v>
      </c>
      <c r="B19" s="782" t="s">
        <v>653</v>
      </c>
      <c r="C19" s="53">
        <f ca="1">ROUND(F19*(INDIRECT("'数据-取费表'!k"&amp;$G$1)+INDIRECT("'数据-取费表'!S"&amp;$G$1))/10000,0)</f>
        <v>0</v>
      </c>
      <c r="D19" s="782" t="s">
        <v>654</v>
      </c>
      <c r="E19" s="782" t="s">
        <v>655</v>
      </c>
      <c r="F19" s="56">
        <f>'数据-取费表'!B35</f>
        <v>200</v>
      </c>
      <c r="G19" s="1577"/>
      <c r="H19" s="801" t="s">
        <v>2068</v>
      </c>
      <c r="I19" s="782" t="s">
        <v>656</v>
      </c>
      <c r="J19" s="53">
        <f ca="1">ROUND(IF(项目基本情况!B11="自然人",J8*M19/(1+'数据-取费表'!C42),J20+J21+J22),0)</f>
        <v>0</v>
      </c>
      <c r="K19" s="1962" t="s">
        <v>657</v>
      </c>
      <c r="L19" s="1960" t="s">
        <v>658</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1852</v>
      </c>
      <c r="B20" s="782" t="s">
        <v>659</v>
      </c>
      <c r="C20" s="53">
        <f ca="1">ROUND(C16*F20,0)</f>
        <v>0</v>
      </c>
      <c r="D20" s="782" t="s">
        <v>648</v>
      </c>
      <c r="E20" s="782" t="s">
        <v>649</v>
      </c>
      <c r="F20" s="807">
        <f>'数据-取费表'!B36</f>
        <v>1.4999999999999999E-2</v>
      </c>
      <c r="G20" s="1577"/>
      <c r="H20" s="801" t="s">
        <v>1831</v>
      </c>
      <c r="I20" s="782" t="s">
        <v>660</v>
      </c>
      <c r="J20" s="53">
        <f ca="1">ROUND(J8*M20/(1+'数据-取费表'!C42),1)</f>
        <v>0</v>
      </c>
      <c r="K20" s="1960" t="s">
        <v>661</v>
      </c>
      <c r="L20" s="782" t="s">
        <v>649</v>
      </c>
      <c r="M20" s="807">
        <f>'数据-取费表'!B41</f>
        <v>5.5000000000000007E-2</v>
      </c>
      <c r="N20" s="2046"/>
      <c r="O20" s="2046"/>
      <c r="P20" s="2046"/>
      <c r="Q20" s="2046"/>
      <c r="R20" s="2046"/>
      <c r="S20" s="2046"/>
      <c r="T20" s="2046"/>
      <c r="U20" s="2046"/>
      <c r="V20" s="2046"/>
      <c r="W20" s="2046"/>
      <c r="X20" s="2046"/>
      <c r="Y20" s="2046"/>
    </row>
    <row r="21" spans="1:25" ht="18" customHeight="1">
      <c r="A21" s="801" t="s">
        <v>1876</v>
      </c>
      <c r="B21" s="782" t="s">
        <v>662</v>
      </c>
      <c r="C21" s="53">
        <f ca="1">SUM(C16:C20)</f>
        <v>0</v>
      </c>
      <c r="D21" s="259" t="s">
        <v>663</v>
      </c>
      <c r="E21" s="1965"/>
      <c r="F21" s="56"/>
      <c r="G21" s="1576"/>
      <c r="H21" s="1813"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7" customFormat="1" ht="18" customHeight="1">
      <c r="A22" s="801" t="s">
        <v>1877</v>
      </c>
      <c r="B22" s="782" t="s">
        <v>666</v>
      </c>
      <c r="C22" s="53">
        <f ca="1">ROUND(C21*F22,0)</f>
        <v>0</v>
      </c>
      <c r="D22" s="810" t="s">
        <v>667</v>
      </c>
      <c r="E22" s="782" t="s">
        <v>649</v>
      </c>
      <c r="F22" s="807">
        <f>'数据-取费表'!B37</f>
        <v>0.02</v>
      </c>
      <c r="G22" s="1577"/>
      <c r="H22" s="1815" t="s">
        <v>1850</v>
      </c>
      <c r="I22" s="1805" t="s">
        <v>668</v>
      </c>
      <c r="J22" s="54">
        <f ca="1">ROUND(M22*M23/10000,0)</f>
        <v>0</v>
      </c>
      <c r="K22" s="812" t="s">
        <v>669</v>
      </c>
      <c r="L22" s="782" t="s">
        <v>670</v>
      </c>
      <c r="M22" s="638">
        <f>'数据-取费表'!B52</f>
        <v>1.5</v>
      </c>
      <c r="N22" s="2046"/>
      <c r="O22" s="2046"/>
      <c r="P22" s="2046"/>
      <c r="Q22" s="2046"/>
      <c r="R22" s="2046"/>
      <c r="S22" s="2046"/>
      <c r="T22" s="2046"/>
      <c r="U22" s="2046"/>
      <c r="V22" s="2046"/>
      <c r="W22" s="2046"/>
      <c r="X22" s="2046"/>
      <c r="Y22" s="2046"/>
    </row>
    <row r="23" spans="1:25" s="2047" customFormat="1" ht="18" customHeight="1">
      <c r="A23" s="801" t="s">
        <v>1878</v>
      </c>
      <c r="B23" s="782" t="s">
        <v>671</v>
      </c>
      <c r="C23" s="53" t="s">
        <v>1</v>
      </c>
      <c r="D23" s="810" t="s">
        <v>672</v>
      </c>
      <c r="E23" s="782" t="s">
        <v>673</v>
      </c>
      <c r="F23" s="807">
        <f>'数据-取费表'!B38</f>
        <v>0.02</v>
      </c>
      <c r="G23" s="1577"/>
      <c r="H23" s="1816"/>
      <c r="I23" s="1807"/>
      <c r="J23" s="69"/>
      <c r="K23" s="814"/>
      <c r="L23" s="782" t="s">
        <v>674</v>
      </c>
      <c r="M23" s="783">
        <f ca="1">INDIRECT("'数据-取费表'!r"&amp;$G$1)</f>
        <v>0</v>
      </c>
      <c r="N23" s="2046"/>
      <c r="O23" s="2046"/>
      <c r="P23" s="2046"/>
      <c r="Q23" s="2046"/>
      <c r="R23" s="2046"/>
      <c r="S23" s="2046"/>
      <c r="T23" s="2046"/>
      <c r="U23" s="2046"/>
      <c r="V23" s="2046"/>
      <c r="W23" s="2046"/>
      <c r="X23" s="2046"/>
      <c r="Y23" s="2046"/>
    </row>
    <row r="24" spans="1:25" ht="18" customHeight="1">
      <c r="A24" s="801" t="s">
        <v>1879</v>
      </c>
      <c r="B24" s="782" t="s">
        <v>675</v>
      </c>
      <c r="C24" s="53"/>
      <c r="D24" s="2534" t="str">
        <f>IF(F25&lt;=1,"单利计息。","复利计息。")&amp;"建造成本、管理费用、销售费用产生的利息。"</f>
        <v>复利计息。建造成本、管理费用、销售费用产生的利息。</v>
      </c>
      <c r="E24" s="1965"/>
      <c r="F24" s="56"/>
      <c r="G24" s="1576"/>
      <c r="H24" s="1814" t="s">
        <v>2069</v>
      </c>
      <c r="I24" s="782" t="s">
        <v>676</v>
      </c>
      <c r="J24" s="53">
        <f ca="1">ROUND(J16*M24,0)</f>
        <v>0</v>
      </c>
      <c r="K24" s="1960" t="s">
        <v>677</v>
      </c>
      <c r="L24" s="782" t="s">
        <v>649</v>
      </c>
      <c r="M24" s="815">
        <f ca="1">INDIRECT("'数据-取费表'!Ak"&amp;$G$1)</f>
        <v>0</v>
      </c>
    </row>
    <row r="25" spans="1:25" s="2047" customFormat="1" ht="18" customHeight="1">
      <c r="A25" s="801" t="s">
        <v>1875</v>
      </c>
      <c r="B25" s="782" t="s">
        <v>2436</v>
      </c>
      <c r="C25" s="53">
        <f ca="1">ROUND(IF('数据-取费表'!B22&lt;=1,(C21+C22)*F26*F25/2,(C21+C22)*(POWER((1+F26),F25/2)-1)),0)</f>
        <v>0</v>
      </c>
      <c r="D25" s="2533" t="str">
        <f>IF(F25&lt;=1,"(建造成本+管理费用)×利率×(建设周期÷2)","(建造成本+管理费用)×((1+利率)^(建设周期÷2)-1)")</f>
        <v>(建造成本+管理费用)×((1+利率)^(建设周期÷2)-1)</v>
      </c>
      <c r="E25" s="782" t="s">
        <v>678</v>
      </c>
      <c r="F25" s="638">
        <f>'数据-取费表'!B20</f>
        <v>3.5</v>
      </c>
      <c r="G25" s="1577"/>
      <c r="H25" s="801" t="s">
        <v>1878</v>
      </c>
      <c r="I25" s="782" t="s">
        <v>679</v>
      </c>
      <c r="J25" s="53">
        <f ca="1">ROUND(J15*M25,0)</f>
        <v>0</v>
      </c>
      <c r="K25" s="1960" t="s">
        <v>680</v>
      </c>
      <c r="L25" s="782" t="s">
        <v>649</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1849</v>
      </c>
      <c r="B26" s="782" t="s">
        <v>681</v>
      </c>
      <c r="C26" s="53">
        <f ca="1">ROUND(IF('数据-取费表'!B22&lt;=1,F23*F26*F25/2,F23*(POWER((1+F26),F25/2)-1)),4)</f>
        <v>1.6999999999999999E-3</v>
      </c>
      <c r="D26" s="2533" t="str">
        <f>IF(F25&lt;=1,"销售费用×利率×(建设周期÷2)","销售费用×((1+利率)^(建设周期÷2)-1)")</f>
        <v>销售费用×((1+利率)^(建设周期÷2)-1)</v>
      </c>
      <c r="E26" s="782" t="s">
        <v>682</v>
      </c>
      <c r="F26" s="817">
        <f ca="1">'数据-取费表'!B40</f>
        <v>4.7500000000000001E-2</v>
      </c>
      <c r="G26" s="1577"/>
      <c r="H26" s="801" t="s">
        <v>1879</v>
      </c>
      <c r="I26" s="782" t="s">
        <v>666</v>
      </c>
      <c r="J26" s="53">
        <f ca="1">ROUND(J7*M26,0)</f>
        <v>0</v>
      </c>
      <c r="K26" s="1960" t="s">
        <v>683</v>
      </c>
      <c r="L26" s="782" t="s">
        <v>649</v>
      </c>
      <c r="M26" s="792">
        <f ca="1">INDIRECT("'数据-取费表'!Am"&amp;$G$1)</f>
        <v>0</v>
      </c>
      <c r="N26" s="2046"/>
      <c r="O26" s="2046"/>
      <c r="P26" s="2046"/>
      <c r="Q26" s="2046"/>
      <c r="R26" s="2046"/>
      <c r="S26" s="2046"/>
      <c r="T26" s="2046"/>
      <c r="U26" s="2046"/>
      <c r="V26" s="2046"/>
      <c r="W26" s="2046"/>
      <c r="X26" s="2046"/>
      <c r="Y26" s="2046"/>
    </row>
    <row r="27" spans="1:25" ht="18" customHeight="1">
      <c r="A27" s="801" t="s">
        <v>1881</v>
      </c>
      <c r="B27" s="782" t="s">
        <v>684</v>
      </c>
      <c r="C27" s="53"/>
      <c r="D27" s="259" t="s">
        <v>685</v>
      </c>
      <c r="E27" s="1965"/>
      <c r="F27" s="56"/>
      <c r="G27" s="1576"/>
      <c r="H27" s="795" t="s">
        <v>1828</v>
      </c>
      <c r="I27" s="2961" t="s">
        <v>2820</v>
      </c>
      <c r="J27" s="797">
        <f ca="1">J7-J18</f>
        <v>0</v>
      </c>
      <c r="K27" s="1962" t="s">
        <v>700</v>
      </c>
      <c r="L27" s="1964"/>
      <c r="M27" s="818"/>
    </row>
    <row r="28" spans="1:25" ht="18" customHeight="1">
      <c r="A28" s="801" t="s">
        <v>1875</v>
      </c>
      <c r="B28" s="782" t="s">
        <v>2437</v>
      </c>
      <c r="C28" s="53">
        <f ca="1">ROUND((C21+C22)*F28,0)</f>
        <v>0</v>
      </c>
      <c r="D28" s="810" t="s">
        <v>701</v>
      </c>
      <c r="E28" s="793" t="s">
        <v>702</v>
      </c>
      <c r="F28" s="792">
        <f ca="1">INDIRECT("'数据-取费表'!q"&amp;$G$1)</f>
        <v>0</v>
      </c>
      <c r="G28" s="1576"/>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6"/>
      <c r="H29" s="784"/>
      <c r="I29" s="785"/>
      <c r="J29" s="786"/>
      <c r="K29" s="819" t="s">
        <v>707</v>
      </c>
      <c r="L29" s="782" t="s">
        <v>708</v>
      </c>
      <c r="M29" s="820">
        <f ca="1">INDIRECT("'数据-取费表'!ag"&amp;$G$1)</f>
        <v>0</v>
      </c>
    </row>
    <row r="30" spans="1:25" s="2047" customFormat="1" ht="18" customHeight="1">
      <c r="A30" s="801" t="s">
        <v>1882</v>
      </c>
      <c r="B30" s="782" t="s">
        <v>687</v>
      </c>
      <c r="C30" s="53">
        <f>ROUND(F30/(1+'数据-取费表'!C42),4)</f>
        <v>5.2400000000000002E-2</v>
      </c>
      <c r="D30" s="810" t="s">
        <v>709</v>
      </c>
      <c r="E30" s="782" t="s">
        <v>649</v>
      </c>
      <c r="F30" s="807">
        <f>'数据-取费表'!B41</f>
        <v>5.5000000000000007E-2</v>
      </c>
      <c r="G30" s="1577"/>
      <c r="H30" s="788"/>
      <c r="I30" s="789"/>
      <c r="J30" s="790"/>
      <c r="K30" s="814"/>
      <c r="L30" s="782" t="s">
        <v>710</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2821</v>
      </c>
      <c r="C31" s="2506">
        <f ca="1">ROUND((C21+C22+C25+C28)/(1-F23-C26-C29-C30),0)</f>
        <v>0</v>
      </c>
      <c r="D31" s="2507"/>
      <c r="E31" s="2508"/>
      <c r="F31" s="2509"/>
      <c r="G31" s="1577"/>
      <c r="H31" s="821" t="s">
        <v>1872</v>
      </c>
      <c r="I31" s="2962" t="s">
        <v>2822</v>
      </c>
      <c r="J31" s="823">
        <f ca="1">ROUND(J28/(1+F45)^F46,0)</f>
        <v>0</v>
      </c>
      <c r="K31" s="824" t="s">
        <v>688</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0">
        <f ca="1">ROUND(C33+C38+C39+C40,0)</f>
        <v>0</v>
      </c>
      <c r="D32" s="1804" t="s">
        <v>652</v>
      </c>
      <c r="E32" s="2449"/>
      <c r="F32" s="2453"/>
      <c r="G32" s="2045"/>
      <c r="H32" s="2048"/>
      <c r="I32" s="2049"/>
      <c r="J32" s="2050"/>
      <c r="K32" s="2051"/>
      <c r="L32" s="2052"/>
      <c r="M32" s="2053"/>
    </row>
    <row r="33" spans="1:18" ht="18" customHeight="1">
      <c r="A33" s="801" t="s">
        <v>1876</v>
      </c>
      <c r="B33" s="782" t="s">
        <v>656</v>
      </c>
      <c r="C33" s="53">
        <f ca="1">ROUND(IF(项目基本情况!B11="自然人",C8*F33/(1+'数据-取费表'!C42),C34+C35+C36),1)</f>
        <v>0</v>
      </c>
      <c r="D33" s="1962" t="s">
        <v>657</v>
      </c>
      <c r="E33" s="1960" t="s">
        <v>690</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1875</v>
      </c>
      <c r="B34" s="782" t="s">
        <v>660</v>
      </c>
      <c r="C34" s="53">
        <f ca="1">ROUND(C8*F34/(1+'数据-取费表'!C42),1)</f>
        <v>0</v>
      </c>
      <c r="D34" s="1960" t="s">
        <v>661</v>
      </c>
      <c r="E34" s="782" t="s">
        <v>649</v>
      </c>
      <c r="F34" s="807">
        <f>'数据-取费表'!B41</f>
        <v>5.5000000000000007E-2</v>
      </c>
      <c r="G34" s="2045"/>
      <c r="H34" s="2054"/>
      <c r="I34" s="2055"/>
      <c r="J34" s="2056"/>
      <c r="K34" s="2057"/>
      <c r="L34" s="2058"/>
      <c r="M34" s="2059"/>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5"/>
      <c r="H35" s="2060"/>
      <c r="I35" s="2060"/>
      <c r="J35" s="2060"/>
      <c r="K35" s="2061"/>
      <c r="L35" s="2060"/>
      <c r="M35" s="2060"/>
    </row>
    <row r="36" spans="1:18" ht="18" customHeight="1">
      <c r="A36" s="811" t="s">
        <v>1880</v>
      </c>
      <c r="B36" s="339" t="s">
        <v>668</v>
      </c>
      <c r="C36" s="54">
        <f ca="1">ROUND(F36*F37/10000,1)</f>
        <v>0</v>
      </c>
      <c r="D36" s="812" t="s">
        <v>669</v>
      </c>
      <c r="E36" s="782" t="s">
        <v>670</v>
      </c>
      <c r="F36" s="638">
        <f>'数据-取费表'!B52</f>
        <v>1.5</v>
      </c>
      <c r="G36" s="2045"/>
      <c r="H36" s="2048"/>
      <c r="I36" s="3497"/>
      <c r="J36" s="2062"/>
      <c r="K36" s="2063"/>
      <c r="L36" s="2062"/>
      <c r="M36" s="2062"/>
    </row>
    <row r="37" spans="1:18" ht="18" customHeight="1">
      <c r="A37" s="813"/>
      <c r="B37" s="791"/>
      <c r="C37" s="69"/>
      <c r="D37" s="814"/>
      <c r="E37" s="782" t="s">
        <v>674</v>
      </c>
      <c r="F37" s="783">
        <f ca="1">INDIRECT("'数据-取费表'!r"&amp;$G$1)</f>
        <v>0</v>
      </c>
      <c r="G37" s="2045"/>
      <c r="H37" s="2048"/>
      <c r="I37" s="3497"/>
      <c r="J37" s="2060"/>
      <c r="K37" s="2061"/>
      <c r="L37" s="2060"/>
      <c r="M37" s="2060"/>
    </row>
    <row r="38" spans="1:18" ht="18" customHeight="1">
      <c r="A38" s="801" t="s">
        <v>1877</v>
      </c>
      <c r="B38" s="782" t="s">
        <v>676</v>
      </c>
      <c r="C38" s="53">
        <f ca="1">ROUND(C31*F38,1)</f>
        <v>0</v>
      </c>
      <c r="D38" s="1960" t="s">
        <v>691</v>
      </c>
      <c r="E38" s="782" t="s">
        <v>649</v>
      </c>
      <c r="F38" s="815">
        <f ca="1">INDIRECT("'数据-取费表'!Ak"&amp;$G$1)</f>
        <v>0</v>
      </c>
      <c r="G38" s="2045"/>
      <c r="H38" s="2060"/>
      <c r="I38" s="2064"/>
      <c r="J38" s="1971"/>
      <c r="K38" s="2065"/>
      <c r="L38" s="2060"/>
      <c r="M38" s="2060"/>
    </row>
    <row r="39" spans="1:18" ht="18" customHeight="1">
      <c r="A39" s="801" t="s">
        <v>1878</v>
      </c>
      <c r="B39" s="782" t="s">
        <v>679</v>
      </c>
      <c r="C39" s="53">
        <f ca="1">ROUND(C15*F39,1)</f>
        <v>0</v>
      </c>
      <c r="D39" s="1960" t="s">
        <v>680</v>
      </c>
      <c r="E39" s="782" t="s">
        <v>649</v>
      </c>
      <c r="F39" s="816">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1" t="s">
        <v>1876</v>
      </c>
      <c r="B42" s="833" t="s">
        <v>693</v>
      </c>
      <c r="C42" s="827">
        <f ca="1">C7-C32</f>
        <v>0</v>
      </c>
      <c r="D42" s="1962" t="s">
        <v>694</v>
      </c>
      <c r="E42" s="1964"/>
      <c r="F42" s="818"/>
      <c r="G42" s="2045"/>
      <c r="H42" s="2045"/>
      <c r="I42" s="2045"/>
      <c r="J42" s="2045"/>
      <c r="K42" s="2066"/>
      <c r="L42" s="2045"/>
      <c r="M42" s="2045"/>
    </row>
    <row r="43" spans="1:18" ht="18" customHeight="1">
      <c r="A43" s="801" t="s">
        <v>1877</v>
      </c>
      <c r="B43" s="833" t="s">
        <v>711</v>
      </c>
      <c r="C43" s="834">
        <f ca="1">ROUND(C15*F43,0)</f>
        <v>0</v>
      </c>
      <c r="D43" s="1350" t="s">
        <v>712</v>
      </c>
      <c r="E43" s="3067" t="s">
        <v>2953</v>
      </c>
      <c r="F43" s="3068">
        <f ca="1">INDIRECT("'数据-取费表'!j"&amp;$G$1)</f>
        <v>0</v>
      </c>
      <c r="G43" s="2045"/>
      <c r="H43" s="2045"/>
      <c r="I43" s="2045"/>
      <c r="J43" s="2045"/>
      <c r="K43" s="2066"/>
      <c r="L43" s="2045"/>
      <c r="M43" s="2045"/>
    </row>
    <row r="44" spans="1:18" ht="18" customHeight="1">
      <c r="A44" s="801" t="s">
        <v>1878</v>
      </c>
      <c r="B44" s="833" t="s">
        <v>713</v>
      </c>
      <c r="C44" s="1351">
        <f ca="1">C42-C43</f>
        <v>0</v>
      </c>
      <c r="D44" s="461" t="s">
        <v>714</v>
      </c>
      <c r="E44" s="462"/>
      <c r="F44" s="463"/>
      <c r="G44" s="2045"/>
      <c r="H44" s="2045"/>
      <c r="I44" s="2045"/>
      <c r="J44" s="2045"/>
      <c r="K44" s="2066"/>
      <c r="L44" s="2045"/>
      <c r="M44" s="2045"/>
    </row>
    <row r="45" spans="1:18" ht="18" customHeight="1">
      <c r="A45" s="801" t="s">
        <v>1879</v>
      </c>
      <c r="B45" s="1350" t="s">
        <v>715</v>
      </c>
      <c r="C45" s="2985">
        <f ca="1">ROUND(-PV(F45,F46,C44,0),0)</f>
        <v>0</v>
      </c>
      <c r="D45" s="1352" t="s">
        <v>716</v>
      </c>
      <c r="E45" s="804" t="s">
        <v>717</v>
      </c>
      <c r="F45" s="828">
        <f ca="1">INDIRECT("'数据-取费表'!h"&amp;$G$1)</f>
        <v>0</v>
      </c>
      <c r="G45" s="2045"/>
      <c r="H45" s="2045"/>
      <c r="I45" s="2045"/>
      <c r="J45" s="2045"/>
      <c r="K45" s="2066"/>
      <c r="L45" s="2045"/>
      <c r="M45" s="2045"/>
    </row>
    <row r="46" spans="1:18" ht="18" customHeight="1" thickBot="1">
      <c r="A46" s="829"/>
      <c r="B46" s="1353"/>
      <c r="C46" s="1354"/>
      <c r="D46" s="1355"/>
      <c r="E46" s="3069" t="s">
        <v>2956</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1" t="str">
        <f ca="1">IF(M48="住宅",0,IF(L49&gt;J52,L61,J61))</f>
        <v>0</v>
      </c>
      <c r="O47" s="2356" t="s">
        <v>2409</v>
      </c>
      <c r="P47" s="1576"/>
      <c r="Q47" s="1587"/>
      <c r="R47" s="1576"/>
    </row>
    <row r="48" spans="1:18" s="2042" customFormat="1" ht="18" customHeight="1" thickBot="1">
      <c r="A48" s="2067"/>
      <c r="C48" s="2070"/>
      <c r="D48" s="2071"/>
      <c r="E48" s="2071"/>
      <c r="F48" s="2072"/>
      <c r="G48" s="2073"/>
      <c r="I48" s="3092" t="s">
        <v>2343</v>
      </c>
      <c r="J48" s="2343"/>
      <c r="K48" s="3098" t="s">
        <v>2348</v>
      </c>
      <c r="L48" s="3102">
        <f ca="1">INDIRECT("'数据-取费表'!d"&amp;$G$1)</f>
        <v>0</v>
      </c>
      <c r="M48" s="3066"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1" t="s">
        <v>2344</v>
      </c>
      <c r="J49" s="2344"/>
      <c r="K49" s="3099"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1" t="s">
        <v>2345</v>
      </c>
      <c r="J50" s="2345"/>
      <c r="K50" s="3100"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1" t="s">
        <v>2346</v>
      </c>
      <c r="J51" s="3096">
        <f>SUMPRODUCT((I64:I66=J48)*(J63:L63=J49)*(J64:L66))</f>
        <v>0</v>
      </c>
      <c r="K51" s="3100" t="s">
        <v>2352</v>
      </c>
      <c r="L51" s="2346"/>
      <c r="O51" s="2363" t="s">
        <v>2382</v>
      </c>
      <c r="P51" s="2361" t="s">
        <v>2406</v>
      </c>
      <c r="Q51" s="2362">
        <f ca="1">C31</f>
        <v>0</v>
      </c>
      <c r="R51" s="2361" t="s">
        <v>2379</v>
      </c>
    </row>
    <row r="52" spans="1:18" s="2042" customFormat="1" ht="18" customHeight="1" thickBot="1">
      <c r="A52" s="2079"/>
      <c r="F52" s="2068"/>
      <c r="I52" s="3093" t="s">
        <v>2347</v>
      </c>
      <c r="J52" s="3097">
        <f>IF(J50="",J51,J50+J51-YEAR('数据-取费表'!B3))</f>
        <v>0</v>
      </c>
      <c r="K52" s="3071" t="s">
        <v>2353</v>
      </c>
      <c r="L52" s="3103">
        <f ca="1">ROUND(-PV(INDIRECT("'数据-取费表'!h"&amp;$G$1),L49,(C40-C14*J36),0),0)</f>
        <v>0</v>
      </c>
      <c r="O52" s="2363" t="s">
        <v>2383</v>
      </c>
      <c r="P52" s="2361" t="s">
        <v>2384</v>
      </c>
      <c r="Q52" s="2364" t="e">
        <f ca="1">J59</f>
        <v>#VALUE!</v>
      </c>
      <c r="R52" s="2365"/>
    </row>
    <row r="53" spans="1:18" s="2042" customFormat="1" ht="18" customHeight="1" thickBot="1">
      <c r="A53" s="2079"/>
      <c r="F53" s="2068"/>
      <c r="I53" s="3094" t="s">
        <v>2420</v>
      </c>
      <c r="J53" s="2347"/>
      <c r="K53" s="3094" t="s">
        <v>2419</v>
      </c>
      <c r="L53" s="2347"/>
      <c r="O53" s="2363" t="s">
        <v>2385</v>
      </c>
      <c r="P53" s="2361" t="s">
        <v>2386</v>
      </c>
      <c r="Q53" s="2364">
        <f>J53</f>
        <v>0</v>
      </c>
      <c r="R53" s="2365"/>
    </row>
    <row r="54" spans="1:18" s="2042" customFormat="1" ht="29.25" thickBot="1">
      <c r="A54" s="2079"/>
      <c r="I54" s="3095" t="s">
        <v>2969</v>
      </c>
      <c r="J54" s="3174">
        <f ca="1">IF(M48="住宅",MAX(J52,L49-'数据-取费表'!B20),MIN(J52,L49-'数据-取费表'!B20))</f>
        <v>-3.5</v>
      </c>
      <c r="K54" s="3502"/>
      <c r="L54" s="3503"/>
      <c r="O54" s="2363" t="s">
        <v>2387</v>
      </c>
      <c r="P54" s="2361" t="s">
        <v>2388</v>
      </c>
      <c r="Q54" s="2362">
        <f ca="1">J54</f>
        <v>-3.5</v>
      </c>
      <c r="R54" s="2361" t="s">
        <v>2389</v>
      </c>
    </row>
    <row r="55" spans="1:18" s="2042" customFormat="1" ht="18" customHeight="1" thickBot="1">
      <c r="A55" s="2079"/>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0" t="s">
        <v>2390</v>
      </c>
      <c r="P55" s="2361" t="s">
        <v>2407</v>
      </c>
      <c r="Q55" s="2362">
        <f ca="1">Q49+Q50</f>
        <v>0</v>
      </c>
      <c r="R55" s="2365" t="s">
        <v>2391</v>
      </c>
    </row>
    <row r="56" spans="1:18" s="2042" customFormat="1" ht="16.5" thickBot="1">
      <c r="A56" s="2079"/>
      <c r="B56" s="2080"/>
      <c r="C56" s="2080"/>
      <c r="I56" s="3106" t="s">
        <v>2354</v>
      </c>
      <c r="J56" s="3046" t="e">
        <f ca="1">ROUND(IF(J48="钢混",J58/J51,1-(1-2%)*(J51-J58)/J51),3)</f>
        <v>#VALUE!</v>
      </c>
      <c r="K56" s="3107" t="s">
        <v>2355</v>
      </c>
      <c r="L56" s="2348"/>
      <c r="O56" s="2366" t="s">
        <v>2410</v>
      </c>
      <c r="P56" s="1576"/>
      <c r="Q56" s="1587"/>
      <c r="R56" s="1576"/>
    </row>
    <row r="57" spans="1:18" s="2042" customFormat="1" ht="43.5" thickBot="1">
      <c r="A57" s="2079"/>
      <c r="B57" s="2080"/>
      <c r="C57" s="2080"/>
      <c r="I57" s="3108" t="s">
        <v>2356</v>
      </c>
      <c r="J57" s="3118" t="s">
        <v>1678</v>
      </c>
      <c r="K57" s="3071" t="s">
        <v>2361</v>
      </c>
      <c r="L57" s="1891">
        <f ca="1">IF(L49&lt;J52,"——",L49-J52)</f>
        <v>0</v>
      </c>
      <c r="O57" s="2357" t="s">
        <v>2374</v>
      </c>
      <c r="P57" s="2358" t="s">
        <v>2375</v>
      </c>
      <c r="Q57" s="2359" t="s">
        <v>2376</v>
      </c>
      <c r="R57" s="2358" t="s">
        <v>2377</v>
      </c>
    </row>
    <row r="58" spans="1:18" s="2042" customFormat="1" ht="29.25" thickBot="1">
      <c r="A58" s="2079"/>
      <c r="B58" s="2080"/>
      <c r="C58" s="2080"/>
      <c r="I58" s="3109" t="s">
        <v>2357</v>
      </c>
      <c r="J58" s="3110" t="str">
        <f ca="1">IF(OR(M48="住宅",J52&lt;L49,J57="是"),"——",J52-L49)</f>
        <v>——</v>
      </c>
      <c r="K58" s="3071"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09" t="s">
        <v>2358</v>
      </c>
      <c r="J59" s="3047" t="e">
        <f ca="1">IF(J56&lt;0.4,0.4,J56)</f>
        <v>#VALUE!</v>
      </c>
      <c r="K59" s="3071"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09" t="s">
        <v>2359</v>
      </c>
      <c r="J60" s="3110" t="str">
        <f ca="1">IF(OR(M48="住宅",J52&lt;L49,J57="是"),"——",ROUND(C30*J59,0))</f>
        <v>——</v>
      </c>
      <c r="K60" s="3071"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1" t="s">
        <v>2360</v>
      </c>
      <c r="J61" s="3112" t="str">
        <f ca="1">IF(OR(M48="住宅",J52&lt;L49,J57="是"),"0",ROUND(J60/(1+J53)^J54,0))</f>
        <v>0</v>
      </c>
      <c r="K61" s="3113" t="s">
        <v>2365</v>
      </c>
      <c r="L61" s="3112"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14" t="s">
        <v>2366</v>
      </c>
      <c r="J63" s="3115" t="s">
        <v>2367</v>
      </c>
      <c r="K63" s="3115" t="s">
        <v>2368</v>
      </c>
      <c r="L63" s="3115" t="s">
        <v>2349</v>
      </c>
      <c r="M63" s="3116" t="s">
        <v>2934</v>
      </c>
      <c r="O63" s="2363" t="s">
        <v>2387</v>
      </c>
      <c r="P63" s="2361" t="s">
        <v>2395</v>
      </c>
      <c r="Q63" s="2362">
        <f ca="1">L60</f>
        <v>0</v>
      </c>
      <c r="R63" s="2365" t="s">
        <v>2396</v>
      </c>
    </row>
    <row r="64" spans="1:18" s="2042" customFormat="1" ht="15.75" thickBot="1">
      <c r="A64" s="2079"/>
      <c r="B64" s="2080"/>
      <c r="C64" s="2080"/>
      <c r="I64" s="3114" t="s">
        <v>2369</v>
      </c>
      <c r="J64" s="3115">
        <v>70</v>
      </c>
      <c r="K64" s="3115">
        <v>50</v>
      </c>
      <c r="L64" s="3115">
        <v>80</v>
      </c>
      <c r="M64" s="3117">
        <v>0.02</v>
      </c>
      <c r="O64" s="2360" t="s">
        <v>2390</v>
      </c>
      <c r="P64" s="2361" t="s">
        <v>2407</v>
      </c>
      <c r="Q64" s="2362" t="e">
        <f ca="1">Q58+Q59</f>
        <v>#DIV/0!</v>
      </c>
      <c r="R64" s="2365" t="s">
        <v>2391</v>
      </c>
    </row>
    <row r="65" spans="1:18" s="2042" customFormat="1" ht="16.5" thickBot="1">
      <c r="A65" s="2079"/>
      <c r="B65" s="2080"/>
      <c r="C65" s="2080"/>
      <c r="I65" s="3114" t="s">
        <v>2370</v>
      </c>
      <c r="J65" s="3115">
        <v>50</v>
      </c>
      <c r="K65" s="3115">
        <v>35</v>
      </c>
      <c r="L65" s="3115">
        <v>60</v>
      </c>
      <c r="M65" s="844">
        <v>0</v>
      </c>
      <c r="O65" s="2366" t="s">
        <v>2414</v>
      </c>
      <c r="P65" s="1576"/>
      <c r="Q65" s="1587"/>
      <c r="R65" s="1576"/>
    </row>
    <row r="66" spans="1:18" s="2042" customFormat="1" ht="15.75" thickBot="1">
      <c r="A66" s="2079"/>
      <c r="B66" s="2080"/>
      <c r="C66" s="2080"/>
      <c r="I66" s="3114" t="s">
        <v>2371</v>
      </c>
      <c r="J66" s="3115">
        <v>40</v>
      </c>
      <c r="K66" s="3115">
        <v>30</v>
      </c>
      <c r="L66" s="3115">
        <v>50</v>
      </c>
      <c r="M66" s="3117">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3" zoomScale="70" zoomScaleNormal="70" workbookViewId="0">
      <selection activeCell="C27" sqref="C2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3001</v>
      </c>
      <c r="D1" s="3070" t="s">
        <v>3147</v>
      </c>
      <c r="E1" s="2349" t="s">
        <v>2373</v>
      </c>
      <c r="F1" s="2350">
        <f ca="1">J53</f>
        <v>46.3</v>
      </c>
      <c r="G1" s="772">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1726</v>
      </c>
      <c r="B2" s="773">
        <f ca="1">C40+J29+L46</f>
        <v>1210</v>
      </c>
      <c r="C2" s="2040"/>
      <c r="D2" s="2038"/>
      <c r="E2" s="2039"/>
      <c r="F2" s="2039"/>
      <c r="G2" s="1574"/>
      <c r="H2" s="2040"/>
      <c r="I2" s="2040"/>
      <c r="J2" s="2040"/>
      <c r="K2" s="2041"/>
      <c r="L2" s="2040"/>
      <c r="M2" s="2040"/>
    </row>
    <row r="3" spans="1:33" ht="18" customHeight="1" thickBot="1">
      <c r="A3" s="831" t="s">
        <v>1727</v>
      </c>
      <c r="B3" s="832">
        <f ca="1">IF(ISERROR(B2*10000/F43),0,ROUND(B2*10000/F43,0))</f>
        <v>4958</v>
      </c>
      <c r="C3" s="2040"/>
      <c r="D3" s="2038"/>
      <c r="E3" s="2039"/>
      <c r="F3" s="2039"/>
      <c r="G3" s="1574"/>
      <c r="H3" s="774" t="s">
        <v>695</v>
      </c>
      <c r="I3" s="1357"/>
      <c r="J3" s="1357"/>
      <c r="K3" s="1575"/>
      <c r="L3" s="1357"/>
      <c r="M3" s="1357"/>
    </row>
    <row r="4" spans="1:33" ht="18" customHeight="1">
      <c r="A4" s="775" t="s">
        <v>1728</v>
      </c>
      <c r="B4" s="776" t="s">
        <v>1729</v>
      </c>
      <c r="C4" s="776" t="s">
        <v>1730</v>
      </c>
      <c r="D4" s="776" t="s">
        <v>633</v>
      </c>
      <c r="E4" s="777" t="s">
        <v>1731</v>
      </c>
      <c r="F4" s="778"/>
      <c r="G4" s="1576"/>
      <c r="H4" s="775" t="s">
        <v>1732</v>
      </c>
      <c r="I4" s="776" t="s">
        <v>1733</v>
      </c>
      <c r="J4" s="776" t="s">
        <v>1734</v>
      </c>
      <c r="K4" s="776" t="s">
        <v>1735</v>
      </c>
      <c r="L4" s="777" t="s">
        <v>1736</v>
      </c>
      <c r="M4" s="778"/>
    </row>
    <row r="5" spans="1:33" ht="18" customHeight="1">
      <c r="A5" s="779">
        <v>1</v>
      </c>
      <c r="B5" s="780" t="s">
        <v>2457</v>
      </c>
      <c r="C5" s="55">
        <f ca="1">C6+C10+C12</f>
        <v>80</v>
      </c>
      <c r="D5" s="2458" t="s">
        <v>2460</v>
      </c>
      <c r="E5" s="2452"/>
      <c r="F5" s="2453"/>
      <c r="G5" s="1576"/>
      <c r="H5" s="779">
        <v>1</v>
      </c>
      <c r="I5" s="780" t="s">
        <v>2457</v>
      </c>
      <c r="J5" s="55">
        <f ca="1">J6+J10+J12</f>
        <v>0</v>
      </c>
      <c r="K5" s="2458" t="s">
        <v>2460</v>
      </c>
      <c r="L5" s="2452"/>
      <c r="M5" s="2453"/>
    </row>
    <row r="6" spans="1:33" ht="18" customHeight="1">
      <c r="A6" s="1813" t="s">
        <v>1824</v>
      </c>
      <c r="B6" s="3498" t="s">
        <v>2462</v>
      </c>
      <c r="C6" s="781">
        <f ca="1">ROUND(F6*F8*F7*(1-F9)/10000,0)</f>
        <v>80</v>
      </c>
      <c r="D6" s="2459" t="s">
        <v>2461</v>
      </c>
      <c r="E6" s="782" t="s">
        <v>1738</v>
      </c>
      <c r="F6" s="783">
        <f ca="1">INDIRECT("'数据-取费表'!u"&amp;$G$1)</f>
        <v>1</v>
      </c>
      <c r="G6" s="1576"/>
      <c r="H6" s="2466" t="s">
        <v>2467</v>
      </c>
      <c r="I6" s="3498" t="s">
        <v>2462</v>
      </c>
      <c r="J6" s="781">
        <f ca="1">ROUND(M6*M8*M7*(1-M9)/10000,0)</f>
        <v>0</v>
      </c>
      <c r="K6" s="339" t="s">
        <v>1737</v>
      </c>
      <c r="L6" s="782" t="s">
        <v>1738</v>
      </c>
      <c r="M6" s="783">
        <f ca="1">INDIRECT("'数据-取费表'!z"&amp;$G$1)</f>
        <v>0</v>
      </c>
    </row>
    <row r="7" spans="1:33" ht="18" customHeight="1">
      <c r="A7" s="2462"/>
      <c r="B7" s="3499"/>
      <c r="C7" s="786"/>
      <c r="D7" s="787"/>
      <c r="E7" s="782" t="s">
        <v>1739</v>
      </c>
      <c r="F7" s="783">
        <f ca="1">IF(INDIRECT("'数据-取费表'!ah"&amp;$G$1)="",INDIRECT("'数据-取费表'!k"&amp;$G$1),INDIRECT("'数据-取费表'!ah"&amp;$G$1))</f>
        <v>2440.73</v>
      </c>
      <c r="G7" s="1576"/>
      <c r="H7" s="2451"/>
      <c r="I7" s="3499"/>
      <c r="J7" s="786"/>
      <c r="K7" s="787"/>
      <c r="L7" s="782" t="s">
        <v>1739</v>
      </c>
      <c r="M7" s="783">
        <f ca="1">F7</f>
        <v>2440.73</v>
      </c>
    </row>
    <row r="8" spans="1:33" ht="18" customHeight="1">
      <c r="A8" s="2455"/>
      <c r="B8" s="3500"/>
      <c r="C8" s="786"/>
      <c r="D8" s="787"/>
      <c r="E8" s="782" t="s">
        <v>1740</v>
      </c>
      <c r="F8" s="783">
        <f ca="1">INDIRECT("'数据-取费表'!ai"&amp;$G$1)</f>
        <v>365</v>
      </c>
      <c r="G8" s="1576"/>
      <c r="H8" s="2451"/>
      <c r="I8" s="3500"/>
      <c r="J8" s="786"/>
      <c r="K8" s="787"/>
      <c r="L8" s="782" t="s">
        <v>1740</v>
      </c>
      <c r="M8" s="783">
        <f ca="1">INDIRECT("'数据-取费表'!ai"&amp;$G$1)</f>
        <v>365</v>
      </c>
    </row>
    <row r="9" spans="1:33" ht="18" customHeight="1">
      <c r="A9" s="784"/>
      <c r="B9" s="3501"/>
      <c r="C9" s="786"/>
      <c r="D9" s="787"/>
      <c r="E9" s="782" t="s">
        <v>1741</v>
      </c>
      <c r="F9" s="792">
        <f ca="1">INDIRECT("'数据-取费表'!w"&amp;$G$1)</f>
        <v>0.1</v>
      </c>
      <c r="G9" s="1576"/>
      <c r="H9" s="2467"/>
      <c r="I9" s="3500"/>
      <c r="J9" s="786"/>
      <c r="K9" s="787"/>
      <c r="L9" s="793" t="s">
        <v>1741</v>
      </c>
      <c r="M9" s="794">
        <f ca="1">INDIRECT("'数据-取费表'!ab"&amp;$G$1)</f>
        <v>0</v>
      </c>
    </row>
    <row r="10" spans="1:33" ht="18" customHeight="1">
      <c r="A10" s="1813" t="s">
        <v>2465</v>
      </c>
      <c r="B10" s="2456" t="s">
        <v>2458</v>
      </c>
      <c r="C10" s="797">
        <f ca="1">ROUND(IF(F10="押一",C6/12*F11,IF(F10="押二",C6/12*2*F11,IF(F10="押三",C6/12*3*F11,C11*F11))),0)</f>
        <v>0</v>
      </c>
      <c r="D10" s="2463" t="s">
        <v>2965</v>
      </c>
      <c r="E10" s="2460" t="s">
        <v>2463</v>
      </c>
      <c r="F10" s="2583" t="s">
        <v>3148</v>
      </c>
      <c r="G10" s="1576"/>
      <c r="H10" s="2523" t="s">
        <v>2468</v>
      </c>
      <c r="I10" s="2528" t="s">
        <v>2458</v>
      </c>
      <c r="J10" s="781">
        <f ca="1">ROUND(IF(M10="押一",J6/12*M11,IF(M10="押二",J6/12*2*M11,IF(M10="押三",J6/12*3*M11,J11*M11))),0)</f>
        <v>0</v>
      </c>
      <c r="K10" s="2463" t="s">
        <v>2965</v>
      </c>
      <c r="L10" s="2460" t="s">
        <v>2463</v>
      </c>
      <c r="M10" s="2583"/>
    </row>
    <row r="11" spans="1:33" ht="18" customHeight="1">
      <c r="A11" s="788"/>
      <c r="B11" s="2457" t="s">
        <v>2572</v>
      </c>
      <c r="C11" s="2461"/>
      <c r="D11" s="787"/>
      <c r="E11" s="2460" t="s">
        <v>2464</v>
      </c>
      <c r="F11" s="794">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1742</v>
      </c>
      <c r="C13" s="790">
        <f ca="1">ROUND(C29*F13,0)</f>
        <v>1177</v>
      </c>
      <c r="D13" s="1817" t="s">
        <v>2296</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832</v>
      </c>
      <c r="D14" s="1962" t="s">
        <v>1745</v>
      </c>
      <c r="E14" s="1963"/>
      <c r="F14" s="803"/>
      <c r="G14" s="1576"/>
      <c r="H14" s="1632" t="s">
        <v>1830</v>
      </c>
      <c r="I14" s="2214" t="s">
        <v>2824</v>
      </c>
      <c r="J14" s="53">
        <f ca="1">C29</f>
        <v>1177</v>
      </c>
      <c r="K14" s="26"/>
      <c r="L14" s="799"/>
      <c r="M14" s="800"/>
    </row>
    <row r="15" spans="1:33" s="2047" customFormat="1" ht="18" customHeight="1" thickBot="1">
      <c r="A15" s="1631" t="s">
        <v>1885</v>
      </c>
      <c r="B15" s="782" t="s">
        <v>647</v>
      </c>
      <c r="C15" s="53">
        <f ca="1">ROUND(C14*F15,0)</f>
        <v>42</v>
      </c>
      <c r="D15" s="804" t="s">
        <v>1746</v>
      </c>
      <c r="E15" s="804" t="s">
        <v>1747</v>
      </c>
      <c r="F15" s="805">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1747</v>
      </c>
      <c r="F16" s="807">
        <f ca="1">IF(INDIRECT("'数据-取费表'!c"&amp;$G$1)="住宅",'数据-取费表'!B34,0)</f>
        <v>0</v>
      </c>
      <c r="G16" s="1576"/>
      <c r="H16" s="1812" t="s">
        <v>1748</v>
      </c>
      <c r="I16" s="1810" t="s">
        <v>1749</v>
      </c>
      <c r="J16" s="790">
        <f ca="1">ROUND(J17+J22+J23+J24,0)</f>
        <v>117</v>
      </c>
      <c r="K16" s="1804" t="s">
        <v>1750</v>
      </c>
      <c r="L16" s="2448"/>
      <c r="M16" s="2453"/>
    </row>
    <row r="17" spans="1:33" s="2047" customFormat="1" ht="18" customHeight="1">
      <c r="A17" s="1631" t="s">
        <v>1887</v>
      </c>
      <c r="B17" s="782" t="s">
        <v>653</v>
      </c>
      <c r="C17" s="53">
        <f ca="1">ROUND(F17*(F43+INDIRECT("'数据-取费表'!S"&amp;$G$1))/10000,0)</f>
        <v>55</v>
      </c>
      <c r="D17" s="782" t="s">
        <v>1751</v>
      </c>
      <c r="E17" s="782" t="s">
        <v>1752</v>
      </c>
      <c r="F17" s="56">
        <f>'数据-取费表'!B35</f>
        <v>200</v>
      </c>
      <c r="G17" s="1577"/>
      <c r="H17" s="1632" t="s">
        <v>1830</v>
      </c>
      <c r="I17" s="782" t="s">
        <v>656</v>
      </c>
      <c r="J17" s="53">
        <f ca="1">ROUND(IF(项目基本情况!B11="自然人",J6*M17/(1+'数据-取费表'!C42),J18+J19+J20),0)</f>
        <v>99</v>
      </c>
      <c r="K17" s="2447" t="s">
        <v>1753</v>
      </c>
      <c r="L17" s="2446" t="s">
        <v>1754</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12</v>
      </c>
      <c r="D18" s="782" t="s">
        <v>1746</v>
      </c>
      <c r="E18" s="782" t="s">
        <v>1747</v>
      </c>
      <c r="F18" s="807">
        <f>'数据-取费表'!B36</f>
        <v>1.4999999999999999E-2</v>
      </c>
      <c r="G18" s="1577"/>
      <c r="H18" s="1631" t="s">
        <v>1884</v>
      </c>
      <c r="I18" s="782" t="s">
        <v>1755</v>
      </c>
      <c r="J18" s="53">
        <f ca="1">ROUND(J6*M18/(1+'数据-取费表'!C42),1)</f>
        <v>0</v>
      </c>
      <c r="K18" s="2446" t="s">
        <v>1756</v>
      </c>
      <c r="L18" s="782" t="s">
        <v>1747</v>
      </c>
      <c r="M18" s="807">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2" t="s">
        <v>662</v>
      </c>
      <c r="C19" s="53">
        <f ca="1">SUM(C14:C18)</f>
        <v>941</v>
      </c>
      <c r="D19" s="259" t="s">
        <v>1757</v>
      </c>
      <c r="E19" s="1965"/>
      <c r="F19" s="56"/>
      <c r="G19" s="1576"/>
      <c r="H19" s="1631" t="s">
        <v>1885</v>
      </c>
      <c r="I19" s="782" t="s">
        <v>1758</v>
      </c>
      <c r="J19" s="53">
        <f ca="1">IF(K19="按租金收入计税",ROUND(J6*M19/(1+'数据-取费表'!C42),1),ROUND(C29*F33*0.7,1))</f>
        <v>98.9</v>
      </c>
      <c r="K19" s="809" t="s">
        <v>665</v>
      </c>
      <c r="L19" s="782" t="s">
        <v>1747</v>
      </c>
      <c r="M19" s="807">
        <f>IF(K19="按租金收入计税",'数据-取费表'!B51,'数据-取费表'!B50)</f>
        <v>1.2E-2</v>
      </c>
    </row>
    <row r="20" spans="1:33" s="2047" customFormat="1" ht="18" customHeight="1">
      <c r="A20" s="1632" t="s">
        <v>1889</v>
      </c>
      <c r="B20" s="782" t="s">
        <v>666</v>
      </c>
      <c r="C20" s="53">
        <f ca="1">ROUND(C19*F20,0)</f>
        <v>19</v>
      </c>
      <c r="D20" s="810" t="s">
        <v>1759</v>
      </c>
      <c r="E20" s="782" t="s">
        <v>1747</v>
      </c>
      <c r="F20" s="807">
        <f>'数据-取费表'!B37</f>
        <v>0.02</v>
      </c>
      <c r="G20" s="1577"/>
      <c r="H20" s="1634" t="s">
        <v>1880</v>
      </c>
      <c r="I20" s="339" t="s">
        <v>1760</v>
      </c>
      <c r="J20" s="54">
        <f ca="1">ROUND(M20*M21/10000,0)</f>
        <v>0</v>
      </c>
      <c r="K20" s="812" t="s">
        <v>1761</v>
      </c>
      <c r="L20" s="782" t="s">
        <v>1762</v>
      </c>
      <c r="M20" s="638">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1763</v>
      </c>
      <c r="C21" s="53" t="s">
        <v>1764</v>
      </c>
      <c r="D21" s="810" t="s">
        <v>2297</v>
      </c>
      <c r="E21" s="782" t="s">
        <v>1765</v>
      </c>
      <c r="F21" s="807">
        <f>'数据-取费表'!B38</f>
        <v>0.02</v>
      </c>
      <c r="G21" s="1577"/>
      <c r="H21" s="2468"/>
      <c r="I21" s="791"/>
      <c r="J21" s="69"/>
      <c r="K21" s="814"/>
      <c r="L21" s="782" t="s">
        <v>1766</v>
      </c>
      <c r="M21" s="783">
        <f ca="1">INDIRECT("'数据-取费表'!r"&amp;$G$1)</f>
        <v>938.89</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1965"/>
      <c r="F22" s="56"/>
      <c r="G22" s="1576"/>
      <c r="H22" s="1632" t="s">
        <v>1889</v>
      </c>
      <c r="I22" s="782" t="s">
        <v>1768</v>
      </c>
      <c r="J22" s="53">
        <f ca="1">ROUND(J14*M22,0)</f>
        <v>18</v>
      </c>
      <c r="K22" s="2446" t="s">
        <v>1769</v>
      </c>
      <c r="L22" s="782" t="s">
        <v>1747</v>
      </c>
      <c r="M22" s="815">
        <f ca="1">INDIRECT("'数据-取费表'!Ak"&amp;$G$1)</f>
        <v>1.4999999999999999E-2</v>
      </c>
    </row>
    <row r="23" spans="1:33" s="2047" customFormat="1" ht="18" customHeight="1">
      <c r="A23" s="1631" t="s">
        <v>1831</v>
      </c>
      <c r="B23" s="782" t="s">
        <v>2534</v>
      </c>
      <c r="C23" s="53">
        <f ca="1">ROUND(IF('数据-取费表'!B22&lt;=1,(C19+C20)*F24*F23/2,(C19+C20)*(POWER((1+F24),F23/2)-1)),0)</f>
        <v>81</v>
      </c>
      <c r="D23" s="2533" t="str">
        <f>IF(F23&lt;=1,"(建造成本+管理费用)×利率×(建设周期÷2)","(建造成本+管理费用)×((1+利率)^(建设周期÷2)-1)")</f>
        <v>(建造成本+管理费用)×((1+利率)^(建设周期÷2)-1)</v>
      </c>
      <c r="E23" s="782" t="s">
        <v>1770</v>
      </c>
      <c r="F23" s="638">
        <f>'数据-取费表'!B20</f>
        <v>3.5</v>
      </c>
      <c r="G23" s="1577"/>
      <c r="H23" s="1632" t="s">
        <v>1890</v>
      </c>
      <c r="I23" s="782" t="s">
        <v>679</v>
      </c>
      <c r="J23" s="53">
        <f ca="1">ROUND(J13*M23,0)</f>
        <v>0</v>
      </c>
      <c r="K23" s="2446" t="s">
        <v>1771</v>
      </c>
      <c r="L23" s="782" t="s">
        <v>1747</v>
      </c>
      <c r="M23" s="816">
        <f ca="1">INDIRECT("'数据-取费表'!Al"&amp;$G$1)</f>
        <v>2E-3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1772</v>
      </c>
      <c r="C24" s="53">
        <f ca="1">ROUND(IF('数据-取费表'!B22&lt;=1,F21*F24*F23/2,F21*(POWER((1+F24),F23/2)-1)),4)</f>
        <v>1.6999999999999999E-3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1774</v>
      </c>
      <c r="L24" s="2508" t="s">
        <v>1747</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1965"/>
      <c r="F25" s="56"/>
      <c r="G25" s="1576"/>
      <c r="H25" s="1812" t="s">
        <v>1776</v>
      </c>
      <c r="I25" s="2960" t="s">
        <v>2820</v>
      </c>
      <c r="J25" s="790">
        <f ca="1">J5-J16</f>
        <v>-117</v>
      </c>
      <c r="K25" s="2510" t="s">
        <v>1777</v>
      </c>
      <c r="L25" s="2511"/>
      <c r="M25" s="2512"/>
    </row>
    <row r="26" spans="1:33" ht="18" customHeight="1">
      <c r="A26" s="1631" t="s">
        <v>1831</v>
      </c>
      <c r="B26" s="782" t="s">
        <v>2437</v>
      </c>
      <c r="C26" s="53">
        <f ca="1">ROUND((C19+C20)*F26,0)</f>
        <v>48</v>
      </c>
      <c r="D26" s="810" t="s">
        <v>1778</v>
      </c>
      <c r="E26" s="793" t="s">
        <v>1779</v>
      </c>
      <c r="F26" s="792">
        <f ca="1">INDIRECT("'数据-取费表'!q"&amp;$G$1)</f>
        <v>0.05</v>
      </c>
      <c r="G26" s="1576"/>
      <c r="H26" s="2464" t="s">
        <v>1780</v>
      </c>
      <c r="I26" s="2215" t="s">
        <v>2825</v>
      </c>
      <c r="J26" s="781">
        <f ca="1">IF(J5&lt;&gt;0,ROUND(J25*(1-((1+M28)/(1+M26))^M27)/(M26-M28),0),0)</f>
        <v>0</v>
      </c>
      <c r="K26" s="812" t="s">
        <v>1781</v>
      </c>
      <c r="L26" s="782" t="s">
        <v>2418</v>
      </c>
      <c r="M26" s="792">
        <f ca="1">INDIRECT("'数据-取费表'!I"&amp;$G$1)</f>
        <v>0.05</v>
      </c>
    </row>
    <row r="27" spans="1:33" ht="18" customHeight="1">
      <c r="A27" s="1631" t="s">
        <v>1832</v>
      </c>
      <c r="B27" s="782" t="s">
        <v>686</v>
      </c>
      <c r="C27" s="53">
        <f ca="1">ROUND(F21*F26,4)</f>
        <v>1E-3</v>
      </c>
      <c r="D27" s="810" t="s">
        <v>1782</v>
      </c>
      <c r="E27" s="804"/>
      <c r="F27" s="805"/>
      <c r="G27" s="1576"/>
      <c r="H27" s="2465"/>
      <c r="I27" s="785"/>
      <c r="J27" s="786"/>
      <c r="K27" s="819" t="s">
        <v>1783</v>
      </c>
      <c r="L27" s="782" t="s">
        <v>1784</v>
      </c>
      <c r="M27" s="820">
        <f ca="1">INDIRECT("'数据-取费表'!ag"&amp;$G$1)</f>
        <v>0</v>
      </c>
    </row>
    <row r="28" spans="1:33" s="2047" customFormat="1" ht="18" customHeight="1">
      <c r="A28" s="1633" t="s">
        <v>1841</v>
      </c>
      <c r="B28" s="782" t="s">
        <v>687</v>
      </c>
      <c r="C28" s="53">
        <f>ROUND(F28/(1+'数据-取费表'!C42),4)</f>
        <v>5.2400000000000002E-2</v>
      </c>
      <c r="D28" s="810" t="s">
        <v>2298</v>
      </c>
      <c r="E28" s="782" t="s">
        <v>1785</v>
      </c>
      <c r="F28" s="807">
        <f>'数据-取费表'!B41</f>
        <v>5.5000000000000007E-2</v>
      </c>
      <c r="G28" s="1577"/>
      <c r="H28" s="1812"/>
      <c r="I28" s="789"/>
      <c r="J28" s="790"/>
      <c r="K28" s="814"/>
      <c r="L28" s="782" t="s">
        <v>1786</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1177</v>
      </c>
      <c r="D29" s="2507"/>
      <c r="E29" s="2508"/>
      <c r="F29" s="2509"/>
      <c r="G29" s="1577"/>
      <c r="H29" s="821" t="s">
        <v>1787</v>
      </c>
      <c r="I29" s="822" t="s">
        <v>1788</v>
      </c>
      <c r="J29" s="823">
        <f ca="1">ROUND(J26/(1+F40)^F41,0)</f>
        <v>0</v>
      </c>
      <c r="K29" s="824" t="s">
        <v>1789</v>
      </c>
      <c r="L29" s="825"/>
      <c r="M29" s="826">
        <f ca="1">INDIRECT("'数据-取费表'!k"&amp;$G$1)</f>
        <v>2440.73</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0">
        <f ca="1">ROUND(C31+C36+C37+C38,0)</f>
        <v>35</v>
      </c>
      <c r="D30" s="1804" t="s">
        <v>1791</v>
      </c>
      <c r="E30" s="2448"/>
      <c r="F30" s="2453"/>
      <c r="G30" s="2045"/>
      <c r="H30" s="2048"/>
      <c r="I30" s="2049"/>
      <c r="J30" s="2050"/>
      <c r="K30" s="2051"/>
      <c r="L30" s="2052"/>
      <c r="M30" s="2053"/>
    </row>
    <row r="31" spans="1:33" ht="18" customHeight="1">
      <c r="A31" s="1632" t="s">
        <v>1830</v>
      </c>
      <c r="B31" s="782" t="s">
        <v>656</v>
      </c>
      <c r="C31" s="53">
        <f ca="1">ROUND(IF(项目基本情况!B11="自然人",C6*F31/(1+'数据-取费表'!C42),C32+C33+C34),1)</f>
        <v>13.4</v>
      </c>
      <c r="D31" s="1962" t="s">
        <v>1792</v>
      </c>
      <c r="E31" s="1960"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1794</v>
      </c>
      <c r="C32" s="53">
        <f ca="1">ROUND(C6*F32/(1+'数据-取费表'!C42),1)</f>
        <v>4.2</v>
      </c>
      <c r="D32" s="1960" t="s">
        <v>1795</v>
      </c>
      <c r="E32" s="782" t="s">
        <v>1796</v>
      </c>
      <c r="F32" s="807">
        <f>'数据-取费表'!B41</f>
        <v>5.5000000000000007E-2</v>
      </c>
      <c r="G32" s="2045"/>
      <c r="H32" s="2054"/>
      <c r="I32" s="2055"/>
      <c r="J32" s="2056"/>
      <c r="K32" s="2057"/>
      <c r="L32" s="2058"/>
      <c r="M32" s="2059"/>
    </row>
    <row r="33" spans="1:18" ht="18" customHeight="1">
      <c r="A33" s="1631" t="s">
        <v>1832</v>
      </c>
      <c r="B33" s="782" t="s">
        <v>1797</v>
      </c>
      <c r="C33" s="53">
        <f ca="1">IF(D33="按租金收入计税",ROUND(C6*F33/(1+'数据-取费表'!C42),1),IF(D33="按房产原值计税",ROUND(C29*F33*0.7,1),INDIRECT("'数据-取费表'!Aj"&amp;$G$1)))</f>
        <v>9.1</v>
      </c>
      <c r="D33" s="809" t="s">
        <v>3149</v>
      </c>
      <c r="E33" s="782" t="s">
        <v>1796</v>
      </c>
      <c r="F33" s="807">
        <f>IF(D33="按租金收入计税",'数据-取费表'!B51,'数据-取费表'!B50)</f>
        <v>0.12</v>
      </c>
      <c r="G33" s="2045"/>
      <c r="H33" s="2060"/>
      <c r="I33" s="2060"/>
      <c r="J33" s="2060"/>
      <c r="K33" s="2061"/>
      <c r="L33" s="2060"/>
      <c r="M33" s="2060"/>
    </row>
    <row r="34" spans="1:18" ht="18" customHeight="1">
      <c r="A34" s="1634" t="s">
        <v>1833</v>
      </c>
      <c r="B34" s="339" t="s">
        <v>1798</v>
      </c>
      <c r="C34" s="54">
        <f ca="1">ROUND(F34*F35/10000,1)</f>
        <v>0.1</v>
      </c>
      <c r="D34" s="812" t="s">
        <v>1799</v>
      </c>
      <c r="E34" s="782" t="s">
        <v>1800</v>
      </c>
      <c r="F34" s="638">
        <f>'数据-取费表'!B52</f>
        <v>1.5</v>
      </c>
      <c r="G34" s="2045"/>
      <c r="H34" s="2048"/>
      <c r="I34" s="833" t="s">
        <v>1813</v>
      </c>
      <c r="J34" s="834"/>
      <c r="K34" s="2063"/>
      <c r="L34" s="2062"/>
      <c r="M34" s="2062"/>
    </row>
    <row r="35" spans="1:18" ht="18" customHeight="1">
      <c r="A35" s="813"/>
      <c r="B35" s="791"/>
      <c r="C35" s="69"/>
      <c r="D35" s="814"/>
      <c r="E35" s="782" t="s">
        <v>1801</v>
      </c>
      <c r="F35" s="783">
        <f ca="1">INDIRECT("'数据-取费表'!r"&amp;$G$1)</f>
        <v>938.89</v>
      </c>
      <c r="G35" s="2045"/>
      <c r="H35" s="2048"/>
      <c r="I35" s="835" t="s">
        <v>1814</v>
      </c>
      <c r="J35" s="836">
        <f ca="1">ROUND(C13*J36,0)</f>
        <v>100</v>
      </c>
      <c r="K35" s="2061"/>
      <c r="L35" s="2060"/>
      <c r="M35" s="2060"/>
    </row>
    <row r="36" spans="1:18" ht="18" customHeight="1">
      <c r="A36" s="1632" t="s">
        <v>1889</v>
      </c>
      <c r="B36" s="782" t="s">
        <v>1802</v>
      </c>
      <c r="C36" s="53">
        <f ca="1">ROUND(C29*F36,1)</f>
        <v>17.7</v>
      </c>
      <c r="D36" s="1960" t="s">
        <v>1803</v>
      </c>
      <c r="E36" s="782" t="s">
        <v>1796</v>
      </c>
      <c r="F36" s="815">
        <f ca="1">INDIRECT("'数据-取费表'!Ak"&amp;$G$1)</f>
        <v>1.4999999999999999E-2</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2.4</v>
      </c>
      <c r="D37" s="1960" t="s">
        <v>1804</v>
      </c>
      <c r="E37" s="782" t="s">
        <v>1796</v>
      </c>
      <c r="F37" s="816">
        <f ca="1">INDIRECT("'数据-取费表'!Al"&amp;$G$1)</f>
        <v>2E-3</v>
      </c>
      <c r="G37" s="2045"/>
      <c r="H37" s="2060"/>
      <c r="I37" s="839" t="s">
        <v>1816</v>
      </c>
      <c r="J37" s="840"/>
      <c r="K37" s="2065"/>
      <c r="L37" s="2060"/>
      <c r="M37" s="2060"/>
    </row>
    <row r="38" spans="1:18" ht="18" customHeight="1" thickBot="1">
      <c r="A38" s="2513" t="s">
        <v>1891</v>
      </c>
      <c r="B38" s="2508" t="s">
        <v>666</v>
      </c>
      <c r="C38" s="2506">
        <f ca="1">ROUND(C5*F38,1)</f>
        <v>1.6</v>
      </c>
      <c r="D38" s="2507" t="s">
        <v>1805</v>
      </c>
      <c r="E38" s="2508" t="s">
        <v>1796</v>
      </c>
      <c r="F38" s="2504">
        <f ca="1">INDIRECT("'数据-取费表'!Am"&amp;$G$1)</f>
        <v>0.02</v>
      </c>
      <c r="G38" s="2045"/>
      <c r="H38" s="2060"/>
      <c r="I38" s="841" t="s">
        <v>1817</v>
      </c>
      <c r="J38" s="842"/>
      <c r="K38" s="2066"/>
      <c r="L38" s="2060"/>
      <c r="M38" s="2060"/>
    </row>
    <row r="39" spans="1:18" ht="24.6" customHeight="1" thickTop="1">
      <c r="A39" s="1812" t="s">
        <v>1894</v>
      </c>
      <c r="B39" s="2960" t="s">
        <v>2820</v>
      </c>
      <c r="C39" s="790">
        <f ca="1">C5-C30</f>
        <v>45</v>
      </c>
      <c r="D39" s="2510" t="s">
        <v>1806</v>
      </c>
      <c r="E39" s="2511"/>
      <c r="F39" s="2512"/>
      <c r="G39" s="2045"/>
      <c r="H39" s="2060"/>
      <c r="I39" s="835" t="s">
        <v>1818</v>
      </c>
      <c r="J39" s="843">
        <f ca="1">ROUND(J35/C39,3)</f>
        <v>2.222</v>
      </c>
      <c r="K39" s="2066"/>
      <c r="L39" s="2060"/>
      <c r="M39" s="2060"/>
    </row>
    <row r="40" spans="1:18" ht="18" customHeight="1">
      <c r="A40" s="779" t="s">
        <v>1895</v>
      </c>
      <c r="B40" s="2215" t="s">
        <v>2300</v>
      </c>
      <c r="C40" s="781">
        <f ca="1">ROUND(C39*(1-((1+F42)/(1+F40))^F41)/(F40-F42),0)</f>
        <v>1210</v>
      </c>
      <c r="D40" s="812" t="s">
        <v>1807</v>
      </c>
      <c r="E40" s="782" t="s">
        <v>2418</v>
      </c>
      <c r="F40" s="792">
        <f ca="1">INDIRECT("'数据-取费表'!I"&amp;$G$1)</f>
        <v>0.05</v>
      </c>
      <c r="G40" s="2045"/>
      <c r="H40" s="2045"/>
      <c r="I40" s="835" t="s">
        <v>1819</v>
      </c>
      <c r="J40" s="843">
        <f ca="1">1-J39</f>
        <v>-1.222</v>
      </c>
      <c r="K40" s="2066"/>
      <c r="L40" s="2045"/>
      <c r="M40" s="2045"/>
    </row>
    <row r="41" spans="1:18" ht="18" customHeight="1">
      <c r="A41" s="784"/>
      <c r="B41" s="785"/>
      <c r="C41" s="786"/>
      <c r="D41" s="819" t="s">
        <v>1808</v>
      </c>
      <c r="E41" s="782" t="s">
        <v>2955</v>
      </c>
      <c r="F41" s="820">
        <f ca="1">IF(INDIRECT("'数据-取费表'!af"&amp;$G$1)=0,INDIRECT("'数据-取费表'!ae"&amp;$G$1),INDIRECT("'数据-取费表'!af"&amp;$G$1))</f>
        <v>46.3</v>
      </c>
      <c r="G41" s="2045"/>
      <c r="H41" s="1971"/>
      <c r="I41" s="841" t="s">
        <v>1820</v>
      </c>
      <c r="J41" s="844"/>
      <c r="K41" s="2065"/>
      <c r="L41" s="1971"/>
      <c r="M41" s="1971"/>
    </row>
    <row r="42" spans="1:18" ht="18" customHeight="1">
      <c r="A42" s="788"/>
      <c r="B42" s="789"/>
      <c r="C42" s="790"/>
      <c r="D42" s="814"/>
      <c r="E42" s="782" t="s">
        <v>1809</v>
      </c>
      <c r="F42" s="792">
        <f ca="1">INDIRECT("'数据-取费表'!v"&amp;$G$1)</f>
        <v>2.5000000000000001E-2</v>
      </c>
      <c r="G42" s="2045"/>
      <c r="H42" s="1971"/>
      <c r="I42" s="845" t="s">
        <v>1821</v>
      </c>
      <c r="J42" s="843">
        <f ca="1">ROUND(C13/C40,3)</f>
        <v>0.97299999999999998</v>
      </c>
      <c r="K42" s="2065"/>
      <c r="L42" s="1971"/>
      <c r="M42" s="1971"/>
    </row>
    <row r="43" spans="1:18" ht="18" customHeight="1" thickBot="1">
      <c r="A43" s="821" t="s">
        <v>1787</v>
      </c>
      <c r="B43" s="822" t="s">
        <v>1810</v>
      </c>
      <c r="C43" s="823">
        <f ca="1">ROUND(C40*10000/F43,0)</f>
        <v>4958</v>
      </c>
      <c r="D43" s="824" t="s">
        <v>1811</v>
      </c>
      <c r="E43" s="825" t="s">
        <v>1812</v>
      </c>
      <c r="F43" s="826">
        <f ca="1">INDIRECT("'数据-取费表'!k"&amp;$G$1)</f>
        <v>2440.73</v>
      </c>
      <c r="G43" s="2045"/>
      <c r="H43" s="1971"/>
      <c r="I43" s="845" t="s">
        <v>1822</v>
      </c>
      <c r="J43" s="846">
        <f ca="1">1-J42</f>
        <v>2.7000000000000024E-2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-1568</v>
      </c>
      <c r="D46" s="2068"/>
      <c r="E46" s="2068"/>
      <c r="F46" s="2068"/>
      <c r="I46" s="2340" t="s">
        <v>2342</v>
      </c>
      <c r="J46" s="2341"/>
      <c r="K46" s="2342"/>
      <c r="L46" s="3101">
        <f>IF(OR(M47="住宅",D1="土地（套用方法）"),0,IF(L48&gt;J51,L60,J60))</f>
        <v>0</v>
      </c>
      <c r="O46" s="2356" t="s">
        <v>2409</v>
      </c>
      <c r="P46" s="1576"/>
      <c r="Q46" s="1587"/>
      <c r="R46" s="1576"/>
    </row>
    <row r="47" spans="1:18" s="2042" customFormat="1" ht="18" customHeight="1" thickBot="1">
      <c r="A47" s="2334">
        <v>1</v>
      </c>
      <c r="B47" s="2335" t="s">
        <v>635</v>
      </c>
      <c r="C47" s="2536">
        <f ca="1">C48+C52+C54</f>
        <v>0</v>
      </c>
      <c r="D47" s="2068"/>
      <c r="E47" s="2068"/>
      <c r="F47" s="2068"/>
      <c r="I47" s="3092" t="s">
        <v>2343</v>
      </c>
      <c r="J47" s="2343" t="s">
        <v>3150</v>
      </c>
      <c r="K47" s="3098" t="s">
        <v>2348</v>
      </c>
      <c r="L47" s="3102">
        <f ca="1">INDIRECT("'数据-取费表'!d"&amp;$G$1)</f>
        <v>50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636</v>
      </c>
      <c r="E48" s="2338" t="s">
        <v>2295</v>
      </c>
      <c r="F48" s="2339"/>
      <c r="G48" s="2073"/>
      <c r="I48" s="3071" t="s">
        <v>2344</v>
      </c>
      <c r="J48" s="2344" t="s">
        <v>2349</v>
      </c>
      <c r="K48" s="3099" t="s">
        <v>2350</v>
      </c>
      <c r="L48" s="1891">
        <f ca="1">INDIRECT("'数据-取费表'!f"&amp;$G$1)</f>
        <v>49.8</v>
      </c>
      <c r="O48" s="2360" t="s">
        <v>2378</v>
      </c>
      <c r="P48" s="2361" t="s">
        <v>2404</v>
      </c>
      <c r="Q48" s="2362">
        <f ca="1">C40+J29</f>
        <v>1210</v>
      </c>
      <c r="R48" s="2361" t="s">
        <v>2379</v>
      </c>
    </row>
    <row r="49" spans="1:18" s="2042" customFormat="1" ht="18" customHeight="1" thickBot="1">
      <c r="A49" s="784"/>
      <c r="B49" s="785"/>
      <c r="C49" s="786"/>
      <c r="D49" s="787"/>
      <c r="E49" s="782" t="s">
        <v>1739</v>
      </c>
      <c r="F49" s="783">
        <f ca="1">F7</f>
        <v>2440.73</v>
      </c>
      <c r="G49" s="2073"/>
      <c r="H49" s="2076"/>
      <c r="I49" s="3071" t="s">
        <v>2345</v>
      </c>
      <c r="J49" s="2345"/>
      <c r="K49" s="3100" t="s">
        <v>2351</v>
      </c>
      <c r="L49" s="2346"/>
      <c r="O49" s="2360" t="s">
        <v>2380</v>
      </c>
      <c r="P49" s="2361" t="s">
        <v>2405</v>
      </c>
      <c r="Q49" s="2362" t="str">
        <f ca="1">J60</f>
        <v>0</v>
      </c>
      <c r="R49" s="2361" t="s">
        <v>2381</v>
      </c>
    </row>
    <row r="50" spans="1:18" s="2042" customFormat="1" ht="18" customHeight="1" thickBot="1">
      <c r="A50" s="784"/>
      <c r="B50" s="785"/>
      <c r="C50" s="786"/>
      <c r="D50" s="787"/>
      <c r="E50" s="782" t="s">
        <v>1740</v>
      </c>
      <c r="F50" s="783">
        <f ca="1">F8</f>
        <v>365</v>
      </c>
      <c r="G50" s="2078"/>
      <c r="H50" s="2076"/>
      <c r="I50" s="3071" t="s">
        <v>2346</v>
      </c>
      <c r="J50" s="3096">
        <f>SUMPRODUCT((I63:I65=J47)*(J62:L62=J48)*(J63:L65))</f>
        <v>60</v>
      </c>
      <c r="K50" s="3100" t="s">
        <v>2352</v>
      </c>
      <c r="L50" s="2346"/>
      <c r="O50" s="2363" t="s">
        <v>2382</v>
      </c>
      <c r="P50" s="2361" t="s">
        <v>2406</v>
      </c>
      <c r="Q50" s="2362">
        <f ca="1">C29</f>
        <v>1177</v>
      </c>
      <c r="R50" s="2361" t="s">
        <v>2379</v>
      </c>
    </row>
    <row r="51" spans="1:18" s="2042" customFormat="1" ht="18" customHeight="1" thickBot="1">
      <c r="A51" s="784"/>
      <c r="B51" s="785"/>
      <c r="C51" s="786"/>
      <c r="D51" s="787"/>
      <c r="E51" s="782" t="s">
        <v>640</v>
      </c>
      <c r="F51" s="2333"/>
      <c r="H51" s="2076"/>
      <c r="I51" s="3093" t="s">
        <v>2347</v>
      </c>
      <c r="J51" s="3097">
        <f>IF(J49="",J50,J49+J50-YEAR('数据-取费表'!B2))</f>
        <v>60</v>
      </c>
      <c r="K51" s="3071" t="s">
        <v>2353</v>
      </c>
      <c r="L51" s="3103">
        <f ca="1">ROUND(-PV(INDIRECT("'数据-取费表'!h"&amp;$G$1),L48,(C39-C13*J36),0),0)</f>
        <v>-1087</v>
      </c>
      <c r="O51" s="2363" t="s">
        <v>2383</v>
      </c>
      <c r="P51" s="2361" t="s">
        <v>2384</v>
      </c>
      <c r="Q51" s="2364" t="e">
        <f ca="1">J58</f>
        <v>#VALUE!</v>
      </c>
      <c r="R51" s="2365"/>
    </row>
    <row r="52" spans="1:18" s="2042" customFormat="1" ht="18" customHeight="1" thickBot="1">
      <c r="A52" s="779" t="s">
        <v>2535</v>
      </c>
      <c r="B52" s="2456" t="s">
        <v>2458</v>
      </c>
      <c r="C52" s="797">
        <f ca="1">ROUND(IF(F52="押一",C48/12*F11,IF(F52="押二",C48/12*2*F11,IF(F52="押三",C48/12*3*F11,C53*F11))),0)</f>
        <v>0</v>
      </c>
      <c r="D52" s="2463" t="s">
        <v>2966</v>
      </c>
      <c r="E52" s="2460" t="s">
        <v>2463</v>
      </c>
      <c r="F52" s="2583"/>
      <c r="I52" s="3094" t="s">
        <v>2420</v>
      </c>
      <c r="J52" s="2347"/>
      <c r="K52" s="3094" t="s">
        <v>2419</v>
      </c>
      <c r="L52" s="2347"/>
      <c r="O52" s="2363" t="s">
        <v>2385</v>
      </c>
      <c r="P52" s="2361" t="s">
        <v>2386</v>
      </c>
      <c r="Q52" s="2364">
        <f>J52</f>
        <v>0</v>
      </c>
      <c r="R52" s="2365"/>
    </row>
    <row r="53" spans="1:18" s="2042" customFormat="1" ht="39.75" customHeight="1" thickBot="1">
      <c r="A53" s="784"/>
      <c r="B53" s="2457" t="s">
        <v>2572</v>
      </c>
      <c r="C53" s="2461"/>
      <c r="D53" s="2463"/>
      <c r="E53" s="2460"/>
      <c r="F53" s="798"/>
      <c r="I53" s="3095" t="s">
        <v>2969</v>
      </c>
      <c r="J53" s="3174">
        <f ca="1">IF(M47="住宅",IF(D1="——",MAX(J51,L48),MAX(J51,L48-'数据-取费表'!B20)),IF(D1="——",MIN(J51,L48),MIN(J51,L48-'数据-取费表'!B20)))</f>
        <v>46.3</v>
      </c>
      <c r="K53" s="3504" t="s">
        <v>2957</v>
      </c>
      <c r="L53" s="3505"/>
      <c r="O53" s="2363" t="s">
        <v>2387</v>
      </c>
      <c r="P53" s="2361" t="s">
        <v>2388</v>
      </c>
      <c r="Q53" s="2362">
        <f ca="1">J53</f>
        <v>46.3</v>
      </c>
      <c r="R53" s="2361" t="s">
        <v>2389</v>
      </c>
    </row>
    <row r="54" spans="1:18" s="2042" customFormat="1" ht="18" customHeight="1" thickBot="1">
      <c r="A54" s="2499" t="s">
        <v>2466</v>
      </c>
      <c r="B54" s="2500" t="s">
        <v>2459</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1210</v>
      </c>
      <c r="R54" s="2365" t="s">
        <v>2391</v>
      </c>
    </row>
    <row r="55" spans="1:18" s="2042" customFormat="1" ht="18" customHeight="1" thickTop="1" thickBot="1">
      <c r="A55" s="795">
        <v>2</v>
      </c>
      <c r="B55" s="796" t="s">
        <v>644</v>
      </c>
      <c r="C55" s="797">
        <f ca="1">C13</f>
        <v>1177</v>
      </c>
      <c r="D55" s="793"/>
      <c r="E55" s="793"/>
      <c r="F55" s="798"/>
      <c r="I55" s="3106" t="s">
        <v>2354</v>
      </c>
      <c r="J55" s="3046" t="e">
        <f ca="1">ROUND(IF(J47="钢混",J57/J50,1-(1-2%)*(J50-J57)/J50),3)</f>
        <v>#VALUE!</v>
      </c>
      <c r="K55" s="3107" t="s">
        <v>2355</v>
      </c>
      <c r="L55" s="2348"/>
      <c r="O55" s="2366" t="s">
        <v>2410</v>
      </c>
      <c r="P55" s="1576"/>
      <c r="Q55" s="1587"/>
      <c r="R55" s="1576"/>
    </row>
    <row r="56" spans="1:18" s="2042" customFormat="1" ht="42.75" customHeight="1" thickBot="1">
      <c r="A56" s="1633"/>
      <c r="B56" s="2214" t="s">
        <v>2301</v>
      </c>
      <c r="C56" s="53">
        <f ca="1">C29</f>
        <v>1177</v>
      </c>
      <c r="D56" s="2601"/>
      <c r="E56" s="782"/>
      <c r="F56" s="807"/>
      <c r="I56" s="3108" t="s">
        <v>2356</v>
      </c>
      <c r="J56" s="3118" t="s">
        <v>1678</v>
      </c>
      <c r="K56" s="3071" t="s">
        <v>2361</v>
      </c>
      <c r="L56" s="1891" t="str">
        <f ca="1">IF(L48&lt;J51,"——",L48-J51)</f>
        <v>——</v>
      </c>
      <c r="O56" s="2357" t="s">
        <v>2374</v>
      </c>
      <c r="P56" s="2358" t="s">
        <v>2375</v>
      </c>
      <c r="Q56" s="2359" t="s">
        <v>2376</v>
      </c>
      <c r="R56" s="2358" t="s">
        <v>2377</v>
      </c>
    </row>
    <row r="57" spans="1:18" s="2042" customFormat="1" ht="28.5" customHeight="1" thickBot="1">
      <c r="A57" s="795" t="s">
        <v>1748</v>
      </c>
      <c r="B57" s="796" t="s">
        <v>651</v>
      </c>
      <c r="C57" s="797">
        <f ca="1">ROUND(C58+C63+C64+C65,0)</f>
        <v>20</v>
      </c>
      <c r="D57" s="26" t="s">
        <v>1750</v>
      </c>
      <c r="E57" s="2602"/>
      <c r="F57" s="56"/>
      <c r="I57" s="3109" t="s">
        <v>2357</v>
      </c>
      <c r="J57" s="3110" t="str">
        <f ca="1">IF(OR(M47="住宅",J51&lt;L48,J56="是"),"——",J51-L48)</f>
        <v>——</v>
      </c>
      <c r="K57" s="3071" t="s">
        <v>2362</v>
      </c>
      <c r="L57" s="1891" t="str">
        <f ca="1">IF(L48&lt;J51,"——",IF(L55="比较法",L49,IF(L55="基准地价",L50,L51)))</f>
        <v>——</v>
      </c>
      <c r="O57" s="2360" t="s">
        <v>2378</v>
      </c>
      <c r="P57" s="2361" t="s">
        <v>2408</v>
      </c>
      <c r="Q57" s="2362">
        <f ca="1">C40+J29</f>
        <v>1210</v>
      </c>
      <c r="R57" s="2361" t="s">
        <v>2379</v>
      </c>
    </row>
    <row r="58" spans="1:18" s="2042" customFormat="1" ht="28.5" customHeight="1" thickBot="1">
      <c r="A58" s="1632" t="s">
        <v>1824</v>
      </c>
      <c r="B58" s="782" t="s">
        <v>656</v>
      </c>
      <c r="C58" s="53">
        <f ca="1">ROUND(IF(项目基本情况!B11="自然人",C47*F58,C59+C60+C61),1)</f>
        <v>0.1</v>
      </c>
      <c r="D58" s="2600" t="s">
        <v>657</v>
      </c>
      <c r="E58" s="2601" t="s">
        <v>690</v>
      </c>
      <c r="F58" s="808" t="str">
        <f ca="1">IF(项目基本情况!B11="企业","",IF(INDIRECT("'数据-取费表'!c"&amp;$G$1)="住宅",5%,IF(F48*F49*F50/12/(1+'数据-取费表'!C42)&gt;20000,12%,7%)))</f>
        <v/>
      </c>
      <c r="I58" s="3109" t="s">
        <v>2358</v>
      </c>
      <c r="J58" s="3047" t="e">
        <f ca="1">IF(J55&lt;0.4,0.4,J55)</f>
        <v>#VALUE!</v>
      </c>
      <c r="K58" s="3071"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1831</v>
      </c>
      <c r="B59" s="782" t="s">
        <v>660</v>
      </c>
      <c r="C59" s="53">
        <f ca="1">ROUND(C47*F59/1.05,1)</f>
        <v>0</v>
      </c>
      <c r="D59" s="2601" t="s">
        <v>1756</v>
      </c>
      <c r="E59" s="782" t="s">
        <v>1747</v>
      </c>
      <c r="F59" s="807">
        <f t="shared" ref="F59:F65" si="0">F32</f>
        <v>5.5000000000000007E-2</v>
      </c>
      <c r="I59" s="3109" t="s">
        <v>2359</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1832</v>
      </c>
      <c r="B60" s="782" t="s">
        <v>1758</v>
      </c>
      <c r="C60" s="53">
        <f ca="1">IF(D60="按租金收入计税",ROUND(C47*F60,1),IF(D60="按房产原值计税",ROUND(C56*F60*0.7,1),INDIRECT("'数据-取费表'!Aj"&amp;$G$1)))</f>
        <v>0</v>
      </c>
      <c r="D60" s="2601" t="str">
        <f>D33</f>
        <v>按租金收入计税</v>
      </c>
      <c r="E60" s="782" t="s">
        <v>1747</v>
      </c>
      <c r="F60" s="807">
        <f t="shared" si="0"/>
        <v>0.12</v>
      </c>
      <c r="I60" s="3111" t="s">
        <v>2360</v>
      </c>
      <c r="J60" s="3112" t="str">
        <f ca="1">IF(OR(M47="住宅",J51&lt;L48,J56="是"),"0",ROUND(J59/(1+J52)^J53,0))</f>
        <v>0</v>
      </c>
      <c r="K60" s="3113" t="s">
        <v>2365</v>
      </c>
      <c r="L60" s="3112">
        <f ca="1">IF(OR(M47="住宅",L48&lt;J51),0,ROUND(L57*(L58/L59-1),0))</f>
        <v>0</v>
      </c>
      <c r="O60" s="2363" t="s">
        <v>2383</v>
      </c>
      <c r="P60" s="2361" t="s">
        <v>2392</v>
      </c>
      <c r="Q60" s="2364">
        <f>L52</f>
        <v>0</v>
      </c>
      <c r="R60" s="2365"/>
    </row>
    <row r="61" spans="1:18" s="2042" customFormat="1" ht="18" customHeight="1" thickBot="1">
      <c r="A61" s="1634" t="s">
        <v>1833</v>
      </c>
      <c r="B61" s="339" t="s">
        <v>668</v>
      </c>
      <c r="C61" s="54">
        <f ca="1">ROUND(F61*F62/10000,1)</f>
        <v>0.1</v>
      </c>
      <c r="D61" s="812" t="s">
        <v>669</v>
      </c>
      <c r="E61" s="782" t="s">
        <v>670</v>
      </c>
      <c r="F61" s="638">
        <f t="shared" si="0"/>
        <v>1.5</v>
      </c>
      <c r="K61" s="2069"/>
      <c r="O61" s="2363" t="s">
        <v>2385</v>
      </c>
      <c r="P61" s="2361" t="s">
        <v>2393</v>
      </c>
      <c r="Q61" s="2362" t="e">
        <f ca="1">L58</f>
        <v>#DIV/0!</v>
      </c>
      <c r="R61" s="2365" t="s">
        <v>2394</v>
      </c>
    </row>
    <row r="62" spans="1:18" s="2042" customFormat="1" ht="15.75" thickBot="1">
      <c r="A62" s="813"/>
      <c r="B62" s="791"/>
      <c r="C62" s="69"/>
      <c r="D62" s="814"/>
      <c r="E62" s="782" t="s">
        <v>674</v>
      </c>
      <c r="F62" s="783">
        <f t="shared" ca="1" si="0"/>
        <v>938.89</v>
      </c>
      <c r="I62" s="3114" t="s">
        <v>2366</v>
      </c>
      <c r="J62" s="3115" t="s">
        <v>2367</v>
      </c>
      <c r="K62" s="3115" t="s">
        <v>2368</v>
      </c>
      <c r="L62" s="3115" t="s">
        <v>2349</v>
      </c>
      <c r="M62" s="3116" t="s">
        <v>2934</v>
      </c>
      <c r="O62" s="2363" t="s">
        <v>2387</v>
      </c>
      <c r="P62" s="2361" t="str">
        <f>K59</f>
        <v>建设期及建筑物耐用年限下的土地年期修正系数Kn</v>
      </c>
      <c r="Q62" s="2362" t="e">
        <f ca="1">L59</f>
        <v>#DIV/0!</v>
      </c>
      <c r="R62" s="2365" t="s">
        <v>2396</v>
      </c>
    </row>
    <row r="63" spans="1:18" s="2042" customFormat="1" ht="15.75" thickBot="1">
      <c r="A63" s="1632" t="s">
        <v>1889</v>
      </c>
      <c r="B63" s="782" t="s">
        <v>676</v>
      </c>
      <c r="C63" s="53">
        <f ca="1">ROUND(C56*F63,1)</f>
        <v>17.7</v>
      </c>
      <c r="D63" s="2601" t="s">
        <v>1803</v>
      </c>
      <c r="E63" s="782" t="s">
        <v>1747</v>
      </c>
      <c r="F63" s="815">
        <f t="shared" ca="1" si="0"/>
        <v>1.4999999999999999E-2</v>
      </c>
      <c r="I63" s="3114" t="s">
        <v>2369</v>
      </c>
      <c r="J63" s="3115">
        <v>70</v>
      </c>
      <c r="K63" s="3115">
        <v>50</v>
      </c>
      <c r="L63" s="3115">
        <v>80</v>
      </c>
      <c r="M63" s="3117">
        <v>0.02</v>
      </c>
      <c r="O63" s="2360" t="s">
        <v>2390</v>
      </c>
      <c r="P63" s="2361" t="s">
        <v>2407</v>
      </c>
      <c r="Q63" s="2362">
        <f ca="1">Q57+Q58</f>
        <v>1210</v>
      </c>
      <c r="R63" s="2365" t="s">
        <v>2391</v>
      </c>
    </row>
    <row r="64" spans="1:18" s="2042" customFormat="1" ht="16.5" thickBot="1">
      <c r="A64" s="1632" t="s">
        <v>1890</v>
      </c>
      <c r="B64" s="782" t="s">
        <v>679</v>
      </c>
      <c r="C64" s="53">
        <f ca="1">ROUND(C55*F64,1)</f>
        <v>2.4</v>
      </c>
      <c r="D64" s="2601" t="s">
        <v>680</v>
      </c>
      <c r="E64" s="782" t="s">
        <v>1747</v>
      </c>
      <c r="F64" s="816">
        <f t="shared" ca="1" si="0"/>
        <v>2E-3</v>
      </c>
      <c r="I64" s="3114" t="s">
        <v>2370</v>
      </c>
      <c r="J64" s="3115">
        <v>50</v>
      </c>
      <c r="K64" s="3115">
        <v>35</v>
      </c>
      <c r="L64" s="3115">
        <v>60</v>
      </c>
      <c r="M64" s="844">
        <v>0</v>
      </c>
      <c r="O64" s="2366" t="s">
        <v>2414</v>
      </c>
      <c r="P64" s="1576"/>
      <c r="Q64" s="1587"/>
      <c r="R64" s="1576"/>
    </row>
    <row r="65" spans="1:18" s="2042" customFormat="1" ht="15.75" thickBot="1">
      <c r="A65" s="1632" t="s">
        <v>1891</v>
      </c>
      <c r="B65" s="782" t="s">
        <v>666</v>
      </c>
      <c r="C65" s="53">
        <f ca="1">ROUND(C47*F65,1)</f>
        <v>0</v>
      </c>
      <c r="D65" s="2601" t="s">
        <v>683</v>
      </c>
      <c r="E65" s="782" t="s">
        <v>1747</v>
      </c>
      <c r="F65" s="792">
        <f t="shared" ca="1" si="0"/>
        <v>0.02</v>
      </c>
      <c r="I65" s="3114" t="s">
        <v>2371</v>
      </c>
      <c r="J65" s="3115">
        <v>40</v>
      </c>
      <c r="K65" s="3115">
        <v>30</v>
      </c>
      <c r="L65" s="3115">
        <v>50</v>
      </c>
      <c r="M65" s="3117">
        <v>0.02</v>
      </c>
      <c r="O65" s="2357" t="s">
        <v>2374</v>
      </c>
      <c r="P65" s="2358" t="s">
        <v>2375</v>
      </c>
      <c r="Q65" s="2359" t="s">
        <v>2376</v>
      </c>
      <c r="R65" s="2358" t="s">
        <v>2377</v>
      </c>
    </row>
    <row r="66" spans="1:18" s="2042" customFormat="1" ht="24.75" thickBot="1">
      <c r="A66" s="795" t="s">
        <v>1776</v>
      </c>
      <c r="B66" s="2961" t="s">
        <v>2820</v>
      </c>
      <c r="C66" s="797">
        <f ca="1">C47-C57</f>
        <v>-20</v>
      </c>
      <c r="D66" s="2600" t="s">
        <v>700</v>
      </c>
      <c r="E66" s="2599"/>
      <c r="F66" s="818"/>
      <c r="K66" s="2069"/>
      <c r="O66" s="2360" t="s">
        <v>2378</v>
      </c>
      <c r="P66" s="2361" t="s">
        <v>2408</v>
      </c>
      <c r="Q66" s="2362">
        <f ca="1">C40+J29</f>
        <v>1210</v>
      </c>
      <c r="R66" s="2361" t="s">
        <v>2379</v>
      </c>
    </row>
    <row r="67" spans="1:18" s="2042" customFormat="1" ht="20.25" thickBot="1">
      <c r="A67" s="779" t="s">
        <v>1780</v>
      </c>
      <c r="B67" s="2215" t="s">
        <v>2300</v>
      </c>
      <c r="C67" s="781">
        <f ca="1">ROUND(C66*(1-((1+F69)/(1+F67))^F68)/(F67-F69),0)</f>
        <v>-358</v>
      </c>
      <c r="D67" s="812" t="s">
        <v>704</v>
      </c>
      <c r="E67" s="782" t="s">
        <v>705</v>
      </c>
      <c r="F67" s="792">
        <f ca="1">F40</f>
        <v>0.05</v>
      </c>
      <c r="K67" s="2069"/>
      <c r="O67" s="2360" t="s">
        <v>2380</v>
      </c>
      <c r="P67" s="2361" t="s">
        <v>2411</v>
      </c>
      <c r="Q67" s="2362">
        <f ca="1">L60</f>
        <v>0</v>
      </c>
      <c r="R67" s="2365" t="s">
        <v>2413</v>
      </c>
    </row>
    <row r="68" spans="1:18" ht="21.75" thickBot="1">
      <c r="A68" s="784"/>
      <c r="B68" s="785"/>
      <c r="C68" s="786"/>
      <c r="D68" s="819" t="s">
        <v>1808</v>
      </c>
      <c r="E68" s="782" t="s">
        <v>1784</v>
      </c>
      <c r="F68" s="820">
        <f ca="1">F41</f>
        <v>46.3</v>
      </c>
      <c r="O68" s="2363" t="s">
        <v>2382</v>
      </c>
      <c r="P68" s="2361" t="s">
        <v>2412</v>
      </c>
      <c r="Q68" s="2367">
        <f ca="1">L51</f>
        <v>-1087</v>
      </c>
      <c r="R68" s="2368" t="s">
        <v>2415</v>
      </c>
    </row>
    <row r="69" spans="1:18" ht="20.25" thickBot="1">
      <c r="A69" s="788"/>
      <c r="B69" s="789"/>
      <c r="C69" s="790"/>
      <c r="D69" s="814"/>
      <c r="E69" s="782" t="s">
        <v>710</v>
      </c>
      <c r="F69" s="2333"/>
      <c r="O69" s="2363" t="s">
        <v>2383</v>
      </c>
      <c r="P69" s="2369" t="s">
        <v>2397</v>
      </c>
      <c r="Q69" s="2362">
        <f ca="1">ROUND(Q70-Q71*Q72,0)</f>
        <v>-55</v>
      </c>
      <c r="R69" s="2365"/>
    </row>
    <row r="70" spans="1:18" ht="15.75" thickBot="1">
      <c r="A70" s="821" t="s">
        <v>1787</v>
      </c>
      <c r="B70" s="822" t="s">
        <v>1810</v>
      </c>
      <c r="C70" s="823">
        <f ca="1">ROUND(C67*10000/F70,0)</f>
        <v>-1467</v>
      </c>
      <c r="D70" s="824" t="s">
        <v>1811</v>
      </c>
      <c r="E70" s="825" t="s">
        <v>1812</v>
      </c>
      <c r="F70" s="826">
        <f ca="1">F43</f>
        <v>2440.73</v>
      </c>
      <c r="O70" s="2363" t="s">
        <v>2398</v>
      </c>
      <c r="P70" s="2369" t="s">
        <v>2399</v>
      </c>
      <c r="Q70" s="2362">
        <f ca="1">C39</f>
        <v>45</v>
      </c>
      <c r="R70" s="2361" t="s">
        <v>2379</v>
      </c>
    </row>
    <row r="71" spans="1:18" ht="15.75" thickBot="1">
      <c r="O71" s="2363" t="s">
        <v>2400</v>
      </c>
      <c r="P71" s="2369" t="s">
        <v>2401</v>
      </c>
      <c r="Q71" s="2362">
        <f ca="1">C13</f>
        <v>1177</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1210</v>
      </c>
      <c r="R76" s="2365" t="s">
        <v>2391</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7" sqref="B37:I37"/>
    </sheetView>
  </sheetViews>
  <sheetFormatPr defaultRowHeight="13.5"/>
  <cols>
    <col min="1" max="1" width="10.5" customWidth="1"/>
    <col min="2" max="2" width="12.875" customWidth="1"/>
    <col min="3" max="3" width="8.75" customWidth="1"/>
  </cols>
  <sheetData>
    <row r="1" spans="1:9" ht="14.25">
      <c r="A1" s="3506" t="s">
        <v>2470</v>
      </c>
      <c r="B1" s="3507"/>
      <c r="C1" s="3508"/>
      <c r="D1" s="3509">
        <f>SUM(I10,I15,I20,I21,I23)</f>
        <v>0</v>
      </c>
      <c r="E1" s="3509"/>
      <c r="F1" s="3509"/>
      <c r="G1" s="3509"/>
      <c r="H1" s="3509"/>
      <c r="I1" s="3510"/>
    </row>
    <row r="2" spans="1:9">
      <c r="A2" s="3511" t="s">
        <v>2471</v>
      </c>
      <c r="B2" s="3512" t="s">
        <v>2472</v>
      </c>
      <c r="C2" s="3512"/>
      <c r="D2" s="2469" t="s">
        <v>2473</v>
      </c>
      <c r="E2" s="2469" t="s">
        <v>2474</v>
      </c>
      <c r="F2" s="2469" t="s">
        <v>2475</v>
      </c>
      <c r="G2" s="2469" t="s">
        <v>2476</v>
      </c>
      <c r="H2" s="2469" t="s">
        <v>2477</v>
      </c>
      <c r="I2" s="2470" t="s">
        <v>2478</v>
      </c>
    </row>
    <row r="3" spans="1:9">
      <c r="A3" s="3511"/>
      <c r="B3" s="3512" t="s">
        <v>2479</v>
      </c>
      <c r="C3" s="3512"/>
      <c r="D3" s="2471"/>
      <c r="E3" s="2469"/>
      <c r="F3" s="2472"/>
      <c r="G3" s="2472"/>
      <c r="H3" s="2473"/>
      <c r="I3" s="2474">
        <f>ROUND(D3*E3*F3*G3*H3/10000,0)</f>
        <v>0</v>
      </c>
    </row>
    <row r="4" spans="1:9">
      <c r="A4" s="3511"/>
      <c r="B4" s="3512" t="s">
        <v>2480</v>
      </c>
      <c r="C4" s="3512"/>
      <c r="D4" s="2471"/>
      <c r="E4" s="2469"/>
      <c r="F4" s="2472"/>
      <c r="G4" s="2472"/>
      <c r="H4" s="2473"/>
      <c r="I4" s="2474">
        <f t="shared" ref="I4:I9" si="0">ROUND(D4*E4*F4*G4*H4/10000,0)</f>
        <v>0</v>
      </c>
    </row>
    <row r="5" spans="1:9">
      <c r="A5" s="3511"/>
      <c r="B5" s="3512" t="s">
        <v>2481</v>
      </c>
      <c r="C5" s="3512"/>
      <c r="D5" s="2471"/>
      <c r="E5" s="2469"/>
      <c r="F5" s="2472"/>
      <c r="G5" s="2472"/>
      <c r="H5" s="2473"/>
      <c r="I5" s="2474">
        <f t="shared" si="0"/>
        <v>0</v>
      </c>
    </row>
    <row r="6" spans="1:9">
      <c r="A6" s="3511"/>
      <c r="B6" s="3512" t="s">
        <v>2482</v>
      </c>
      <c r="C6" s="3512"/>
      <c r="D6" s="2471"/>
      <c r="E6" s="2469"/>
      <c r="F6" s="2472"/>
      <c r="G6" s="2472"/>
      <c r="H6" s="2473"/>
      <c r="I6" s="2474">
        <f t="shared" si="0"/>
        <v>0</v>
      </c>
    </row>
    <row r="7" spans="1:9">
      <c r="A7" s="3511"/>
      <c r="B7" s="3512" t="s">
        <v>2483</v>
      </c>
      <c r="C7" s="3512"/>
      <c r="D7" s="2471"/>
      <c r="E7" s="2469"/>
      <c r="F7" s="2472"/>
      <c r="G7" s="2472"/>
      <c r="H7" s="2473"/>
      <c r="I7" s="2474">
        <f t="shared" si="0"/>
        <v>0</v>
      </c>
    </row>
    <row r="8" spans="1:9">
      <c r="A8" s="3511"/>
      <c r="B8" s="3512" t="s">
        <v>2484</v>
      </c>
      <c r="C8" s="3512"/>
      <c r="D8" s="2471"/>
      <c r="E8" s="2469"/>
      <c r="F8" s="2472"/>
      <c r="G8" s="2472"/>
      <c r="H8" s="2473"/>
      <c r="I8" s="2474">
        <f t="shared" si="0"/>
        <v>0</v>
      </c>
    </row>
    <row r="9" spans="1:9">
      <c r="A9" s="3511"/>
      <c r="B9" s="3512" t="s">
        <v>2485</v>
      </c>
      <c r="C9" s="3512"/>
      <c r="D9" s="2471"/>
      <c r="E9" s="2469"/>
      <c r="F9" s="2472"/>
      <c r="G9" s="2472"/>
      <c r="H9" s="2473"/>
      <c r="I9" s="2474">
        <f t="shared" si="0"/>
        <v>0</v>
      </c>
    </row>
    <row r="10" spans="1:9">
      <c r="A10" s="3511"/>
      <c r="B10" s="3513" t="s">
        <v>2486</v>
      </c>
      <c r="C10" s="3513"/>
      <c r="D10" s="2475">
        <v>527</v>
      </c>
      <c r="E10" s="2475" t="e">
        <f>ROUND(D1*10000/D10/H9,0)</f>
        <v>#DIV/0!</v>
      </c>
      <c r="F10" s="2476"/>
      <c r="G10" s="2476"/>
      <c r="H10" s="2477"/>
      <c r="I10" s="2478">
        <f>SUM(I3:I9)</f>
        <v>0</v>
      </c>
    </row>
    <row r="11" spans="1:9" ht="14.25">
      <c r="A11" s="3511" t="s">
        <v>2487</v>
      </c>
      <c r="B11" s="3512" t="s">
        <v>2488</v>
      </c>
      <c r="C11" s="3512"/>
      <c r="D11" s="2471" t="s">
        <v>2489</v>
      </c>
      <c r="E11" s="2471" t="s">
        <v>2490</v>
      </c>
      <c r="F11" s="2472" t="s">
        <v>2491</v>
      </c>
      <c r="G11" s="2472" t="s">
        <v>2492</v>
      </c>
      <c r="H11" s="2479" t="s">
        <v>2493</v>
      </c>
      <c r="I11" s="2470" t="s">
        <v>2494</v>
      </c>
    </row>
    <row r="12" spans="1:9">
      <c r="A12" s="3511"/>
      <c r="B12" s="3512" t="s">
        <v>2495</v>
      </c>
      <c r="C12" s="3512"/>
      <c r="D12" s="2471"/>
      <c r="E12" s="2471"/>
      <c r="F12" s="2472"/>
      <c r="G12" s="2473"/>
      <c r="H12" s="2480"/>
      <c r="I12" s="2470">
        <f>ROUND(D12*E12*F12*G12/10000,0)</f>
        <v>0</v>
      </c>
    </row>
    <row r="13" spans="1:9">
      <c r="A13" s="3511"/>
      <c r="B13" s="3512" t="s">
        <v>2496</v>
      </c>
      <c r="C13" s="3512"/>
      <c r="D13" s="2471"/>
      <c r="E13" s="2471"/>
      <c r="F13" s="2472"/>
      <c r="G13" s="2473"/>
      <c r="H13" s="2480"/>
      <c r="I13" s="2470">
        <f>ROUND(D13*E13*F13*G13/10000,0)</f>
        <v>0</v>
      </c>
    </row>
    <row r="14" spans="1:9">
      <c r="A14" s="3511"/>
      <c r="B14" s="3512" t="s">
        <v>2497</v>
      </c>
      <c r="C14" s="3512"/>
      <c r="D14" s="2471"/>
      <c r="E14" s="2471"/>
      <c r="F14" s="2472"/>
      <c r="G14" s="2473"/>
      <c r="H14" s="2480"/>
      <c r="I14" s="2470">
        <f>ROUND(D14*E14*F14*G14/10000,0)</f>
        <v>0</v>
      </c>
    </row>
    <row r="15" spans="1:9">
      <c r="A15" s="3511"/>
      <c r="B15" s="3513" t="s">
        <v>2486</v>
      </c>
      <c r="C15" s="3513"/>
      <c r="D15" s="2475"/>
      <c r="E15" s="2475">
        <f>SUM(E12:E14)</f>
        <v>0</v>
      </c>
      <c r="F15" s="2476"/>
      <c r="G15" s="2473"/>
      <c r="H15" s="2480"/>
      <c r="I15" s="2481">
        <f>SUM(I12:I14)</f>
        <v>0</v>
      </c>
    </row>
    <row r="16" spans="1:9" ht="24">
      <c r="A16" s="3511" t="s">
        <v>2498</v>
      </c>
      <c r="B16" s="3512" t="s">
        <v>2499</v>
      </c>
      <c r="C16" s="3512"/>
      <c r="D16" s="2471" t="s">
        <v>2500</v>
      </c>
      <c r="E16" s="2482" t="s">
        <v>2501</v>
      </c>
      <c r="F16" s="2472" t="s">
        <v>2502</v>
      </c>
      <c r="G16" s="2473" t="s">
        <v>2492</v>
      </c>
      <c r="H16" s="2479" t="s">
        <v>2493</v>
      </c>
      <c r="I16" s="2470" t="s">
        <v>2494</v>
      </c>
    </row>
    <row r="17" spans="1:9" ht="14.25">
      <c r="A17" s="3511"/>
      <c r="B17" s="3512" t="s">
        <v>2503</v>
      </c>
      <c r="C17" s="3512"/>
      <c r="D17" s="2471"/>
      <c r="E17" s="2471"/>
      <c r="F17" s="2472"/>
      <c r="G17" s="2473"/>
      <c r="H17" s="2483"/>
      <c r="I17" s="2484">
        <f>ROUND(D17*E17*F17*G17/10000,0)</f>
        <v>0</v>
      </c>
    </row>
    <row r="18" spans="1:9" ht="14.25">
      <c r="A18" s="3511"/>
      <c r="B18" s="3512" t="s">
        <v>2504</v>
      </c>
      <c r="C18" s="3512"/>
      <c r="D18" s="2471"/>
      <c r="E18" s="2471"/>
      <c r="F18" s="2472"/>
      <c r="G18" s="2473"/>
      <c r="H18" s="2483"/>
      <c r="I18" s="2484">
        <f>ROUND(D18*E18*F18*G18/10000,0)</f>
        <v>0</v>
      </c>
    </row>
    <row r="19" spans="1:9" ht="14.25">
      <c r="A19" s="3511"/>
      <c r="B19" s="3512" t="s">
        <v>2505</v>
      </c>
      <c r="C19" s="3512"/>
      <c r="D19" s="2471"/>
      <c r="E19" s="2471"/>
      <c r="F19" s="2472"/>
      <c r="G19" s="2473"/>
      <c r="H19" s="2483"/>
      <c r="I19" s="2484">
        <f>ROUND(D19*E19*F19*G19/10000,0)</f>
        <v>0</v>
      </c>
    </row>
    <row r="20" spans="1:9">
      <c r="A20" s="3511"/>
      <c r="B20" s="3513" t="s">
        <v>2486</v>
      </c>
      <c r="C20" s="3513"/>
      <c r="D20" s="2475">
        <f>SUM(D17:D19)</f>
        <v>0</v>
      </c>
      <c r="E20" s="2475"/>
      <c r="F20" s="2476"/>
      <c r="G20" s="2473"/>
      <c r="H20" s="2480"/>
      <c r="I20" s="2481">
        <f>SUM(I17:I19)</f>
        <v>0</v>
      </c>
    </row>
    <row r="21" spans="1:9">
      <c r="A21" s="3511" t="s">
        <v>2506</v>
      </c>
      <c r="B21" s="3515"/>
      <c r="C21" s="3515"/>
      <c r="D21" s="3515"/>
      <c r="E21" s="3515"/>
      <c r="F21" s="3515"/>
      <c r="G21" s="3515"/>
      <c r="H21" s="2485">
        <v>0.1</v>
      </c>
      <c r="I21" s="2478">
        <f>ROUND(I10*H21,0)</f>
        <v>0</v>
      </c>
    </row>
    <row r="22" spans="1:9" ht="14.25">
      <c r="A22" s="3516" t="s">
        <v>2507</v>
      </c>
      <c r="B22" s="3517"/>
      <c r="C22" s="3518"/>
      <c r="D22" s="2486" t="s">
        <v>2508</v>
      </c>
      <c r="E22" s="2486" t="s">
        <v>2509</v>
      </c>
      <c r="F22" s="2487" t="s">
        <v>2510</v>
      </c>
      <c r="G22" s="2487" t="s">
        <v>2511</v>
      </c>
      <c r="H22" s="2479" t="s">
        <v>2512</v>
      </c>
      <c r="I22" s="2470" t="s">
        <v>2513</v>
      </c>
    </row>
    <row r="23" spans="1:9" ht="14.25" thickBot="1">
      <c r="A23" s="3519"/>
      <c r="B23" s="3520"/>
      <c r="C23" s="3521"/>
      <c r="D23" s="2488"/>
      <c r="E23" s="2488"/>
      <c r="F23" s="2488"/>
      <c r="G23" s="2489"/>
      <c r="H23" s="2490"/>
      <c r="I23" s="2491">
        <f>ROUND(E23*D23*F23*(1-G23)/10000,0)</f>
        <v>0</v>
      </c>
    </row>
    <row r="26" spans="1:9">
      <c r="A26" s="2492" t="s">
        <v>2514</v>
      </c>
      <c r="B26" s="2492"/>
      <c r="C26" s="2492"/>
      <c r="D26" s="2492"/>
      <c r="E26" s="3522">
        <f>C27-C30-C31-C32</f>
        <v>0</v>
      </c>
      <c r="F26" s="3522"/>
      <c r="G26" s="3522"/>
      <c r="H26" s="2990" t="s">
        <v>2841</v>
      </c>
    </row>
    <row r="27" spans="1:9">
      <c r="A27" s="2493">
        <v>1</v>
      </c>
      <c r="B27" s="2494" t="s">
        <v>2515</v>
      </c>
      <c r="C27" s="2494"/>
      <c r="D27" s="2494"/>
      <c r="E27" s="3523"/>
      <c r="F27" s="3523"/>
      <c r="G27" s="3523"/>
    </row>
    <row r="28" spans="1:9">
      <c r="A28" s="2495" t="s">
        <v>2516</v>
      </c>
      <c r="B28" s="2494" t="s">
        <v>2517</v>
      </c>
      <c r="C28" s="2494"/>
      <c r="D28" s="2494"/>
      <c r="E28" s="3523"/>
      <c r="F28" s="3523"/>
      <c r="G28" s="3523"/>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514"/>
      <c r="F32" s="3514"/>
      <c r="G32" s="3514"/>
    </row>
    <row r="33" spans="1:7" hidden="1">
      <c r="A33" s="3524" t="s">
        <v>2525</v>
      </c>
      <c r="B33" s="3525"/>
      <c r="C33" s="3525"/>
      <c r="D33" s="3526"/>
      <c r="E33" s="3522"/>
      <c r="F33" s="3522"/>
      <c r="G33" s="3522"/>
    </row>
    <row r="34" spans="1:7" hidden="1">
      <c r="A34" s="2497">
        <v>1</v>
      </c>
      <c r="B34" s="2494" t="s">
        <v>2526</v>
      </c>
      <c r="C34" s="2494"/>
      <c r="D34" s="2494"/>
      <c r="E34" s="3523"/>
      <c r="F34" s="3523"/>
      <c r="G34" s="3523"/>
    </row>
    <row r="35" spans="1:7" hidden="1">
      <c r="A35" s="2497">
        <v>2</v>
      </c>
      <c r="B35" s="2494" t="s">
        <v>2527</v>
      </c>
      <c r="C35" s="2494"/>
      <c r="D35" s="2494"/>
      <c r="E35" s="3523"/>
      <c r="F35" s="3523"/>
      <c r="G35" s="3523"/>
    </row>
    <row r="36" spans="1:7" hidden="1">
      <c r="A36" s="2497">
        <v>3</v>
      </c>
      <c r="B36" s="2494" t="s">
        <v>2528</v>
      </c>
      <c r="C36" s="2494"/>
      <c r="D36" s="2494"/>
      <c r="E36" s="3523"/>
      <c r="F36" s="3523"/>
      <c r="G36" s="3523"/>
    </row>
    <row r="37" spans="1:7" hidden="1">
      <c r="A37" s="2497">
        <v>4</v>
      </c>
      <c r="B37" s="2494" t="s">
        <v>2529</v>
      </c>
      <c r="C37" s="2494"/>
      <c r="D37" s="2494"/>
      <c r="E37" s="3523"/>
      <c r="F37" s="3523"/>
      <c r="G37" s="3523"/>
    </row>
    <row r="38" spans="1:7" hidden="1">
      <c r="A38" s="3524" t="s">
        <v>2530</v>
      </c>
      <c r="B38" s="3525"/>
      <c r="C38" s="3525"/>
      <c r="D38" s="3526"/>
      <c r="E38" s="3522"/>
      <c r="F38" s="3522"/>
      <c r="G38" s="35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37" sqref="B37:I3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603</v>
      </c>
      <c r="B1" s="740"/>
      <c r="C1" s="2165"/>
      <c r="D1" s="2165"/>
      <c r="E1" s="2165"/>
      <c r="F1" s="2165"/>
      <c r="G1" s="2091"/>
    </row>
    <row r="2" spans="1:25" s="2042" customFormat="1" ht="18" customHeight="1">
      <c r="A2" s="421" t="s">
        <v>467</v>
      </c>
      <c r="B2" s="423">
        <f ca="1">C23</f>
        <v>0</v>
      </c>
      <c r="C2" s="2091"/>
      <c r="D2" s="2091"/>
      <c r="E2" s="2091"/>
      <c r="F2" s="2091"/>
      <c r="G2" s="2091"/>
    </row>
    <row r="3" spans="1:25" s="2042" customFormat="1" ht="18" customHeight="1">
      <c r="A3" s="1373" t="s">
        <v>1685</v>
      </c>
      <c r="B3" s="423">
        <f ca="1">ROUND(B2*10000/'数据-汇总表'!E3,0)</f>
        <v>0</v>
      </c>
      <c r="C3" s="2091"/>
      <c r="D3" s="2091"/>
      <c r="E3" s="2091"/>
      <c r="F3" s="2091"/>
      <c r="G3" s="2091"/>
    </row>
    <row r="4" spans="1:25" s="2042" customFormat="1" ht="18" customHeight="1">
      <c r="A4" s="424" t="s">
        <v>468</v>
      </c>
      <c r="B4" s="425">
        <f ca="1">ROUND(B2*10000/'数据-汇总表'!D3,0)</f>
        <v>0</v>
      </c>
      <c r="C4" s="2044"/>
      <c r="D4" s="2091"/>
      <c r="E4" s="2091"/>
      <c r="F4" s="2091"/>
      <c r="G4" s="2091"/>
    </row>
    <row r="5" spans="1:25" s="2042" customFormat="1" ht="18" customHeight="1" thickBot="1">
      <c r="A5" s="427"/>
      <c r="B5" s="428">
        <f ca="1">ROUND(B2/('数据-汇总表'!D3/666.67),0)</f>
        <v>0</v>
      </c>
      <c r="C5" s="429" t="s">
        <v>469</v>
      </c>
      <c r="D5" s="2091"/>
      <c r="E5" s="2091"/>
      <c r="F5" s="2091"/>
      <c r="G5" s="2091"/>
    </row>
    <row r="6" spans="1:25" s="2166" customFormat="1" ht="13.5" customHeight="1">
      <c r="A6" s="741"/>
      <c r="B6" s="742" t="s">
        <v>604</v>
      </c>
      <c r="C6" s="743" t="s">
        <v>605</v>
      </c>
      <c r="D6" s="743" t="s">
        <v>606</v>
      </c>
      <c r="E6" s="744" t="s">
        <v>607</v>
      </c>
      <c r="F6" s="744" t="s">
        <v>608</v>
      </c>
      <c r="G6" s="745"/>
    </row>
    <row r="7" spans="1:25" s="2166" customFormat="1" ht="13.5" customHeight="1">
      <c r="A7" s="2431">
        <v>1</v>
      </c>
      <c r="B7" s="746" t="s">
        <v>609</v>
      </c>
      <c r="C7" s="747">
        <f>C8+C9</f>
        <v>0</v>
      </c>
      <c r="D7" s="747"/>
      <c r="E7" s="748"/>
      <c r="F7" s="748"/>
      <c r="G7" s="2441"/>
    </row>
    <row r="8" spans="1:25" s="2166" customFormat="1" ht="13.5" customHeight="1">
      <c r="A8" s="2431" t="s">
        <v>2439</v>
      </c>
      <c r="B8" s="2434" t="s">
        <v>2441</v>
      </c>
      <c r="C8" s="2435"/>
      <c r="D8" s="747"/>
      <c r="E8" s="748"/>
      <c r="F8" s="748"/>
      <c r="G8" s="749"/>
    </row>
    <row r="9" spans="1:25" s="2166" customFormat="1" ht="13.5" customHeight="1">
      <c r="A9" s="2431" t="s">
        <v>2440</v>
      </c>
      <c r="B9" s="2434" t="s">
        <v>2442</v>
      </c>
      <c r="C9" s="2435"/>
      <c r="D9" s="747"/>
      <c r="E9" s="748"/>
      <c r="F9" s="748"/>
      <c r="G9" s="749"/>
    </row>
    <row r="10" spans="1:25" s="2166" customFormat="1" ht="36">
      <c r="A10" s="2431">
        <v>2</v>
      </c>
      <c r="B10" s="746" t="s">
        <v>613</v>
      </c>
      <c r="C10" s="747">
        <f>C11+C14+C15</f>
        <v>0</v>
      </c>
      <c r="D10" s="758">
        <f>'数据-汇总表'!E3</f>
        <v>421294.36999999976</v>
      </c>
      <c r="E10" s="747">
        <f>'数据-取费表'!B31</f>
        <v>20</v>
      </c>
      <c r="F10" s="759"/>
      <c r="G10" s="757" t="s">
        <v>614</v>
      </c>
    </row>
    <row r="11" spans="1:25" s="2166" customFormat="1" ht="13.5" customHeight="1">
      <c r="A11" s="2431" t="s">
        <v>2439</v>
      </c>
      <c r="B11" s="750" t="s">
        <v>610</v>
      </c>
      <c r="C11" s="751">
        <f>'数据-取费表'!B29</f>
        <v>0</v>
      </c>
      <c r="D11" s="752"/>
      <c r="E11" s="751"/>
      <c r="F11" s="753"/>
      <c r="G11" s="2440" t="s">
        <v>2450</v>
      </c>
    </row>
    <row r="12" spans="1:25" s="2166" customFormat="1" ht="13.5" customHeight="1">
      <c r="A12" s="2438" t="s">
        <v>2447</v>
      </c>
      <c r="B12" s="754" t="s">
        <v>611</v>
      </c>
      <c r="C12" s="755">
        <f>ROUND(D12*E12/10000,0)</f>
        <v>0</v>
      </c>
      <c r="D12" s="756">
        <f>'数据-汇总表'!E5</f>
        <v>275334.25</v>
      </c>
      <c r="E12" s="755">
        <f>'数据-取费表'!B27</f>
        <v>0</v>
      </c>
      <c r="F12" s="753"/>
      <c r="G12" s="757"/>
    </row>
    <row r="13" spans="1:25" s="2166" customFormat="1" ht="13.5" customHeight="1">
      <c r="A13" s="2438" t="s">
        <v>2446</v>
      </c>
      <c r="B13" s="754" t="s">
        <v>612</v>
      </c>
      <c r="C13" s="755">
        <f>ROUND(D13*E13/10000,0)</f>
        <v>0</v>
      </c>
      <c r="D13" s="756">
        <f>'数据-汇总表'!E6</f>
        <v>145960.11999999976</v>
      </c>
      <c r="E13" s="755">
        <f>'数据-取费表'!B28</f>
        <v>0</v>
      </c>
      <c r="F13" s="753"/>
      <c r="G13" s="757"/>
    </row>
    <row r="14" spans="1:25" s="2166" customFormat="1" ht="13.5" customHeight="1">
      <c r="A14" s="2431" t="s">
        <v>2440</v>
      </c>
      <c r="B14" s="2437" t="s">
        <v>2443</v>
      </c>
      <c r="C14" s="2435"/>
      <c r="D14" s="756"/>
      <c r="E14" s="755"/>
      <c r="F14" s="2436"/>
      <c r="G14" s="2439" t="s">
        <v>2448</v>
      </c>
    </row>
    <row r="15" spans="1:25" s="2166" customFormat="1" ht="13.5" customHeight="1">
      <c r="A15" s="2431" t="s">
        <v>2445</v>
      </c>
      <c r="B15" s="2437" t="s">
        <v>2444</v>
      </c>
      <c r="C15" s="2435"/>
      <c r="D15" s="756"/>
      <c r="E15" s="755"/>
      <c r="F15" s="2436"/>
      <c r="G15" s="2439" t="s">
        <v>2449</v>
      </c>
    </row>
    <row r="16" spans="1:25" s="2167" customFormat="1" ht="48">
      <c r="A16" s="2431">
        <v>3</v>
      </c>
      <c r="B16" s="746" t="s">
        <v>615</v>
      </c>
      <c r="C16" s="2435"/>
      <c r="D16" s="758"/>
      <c r="E16" s="747"/>
      <c r="F16" s="759"/>
      <c r="G16" s="757"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616</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617</v>
      </c>
      <c r="C18" s="747">
        <f>ROUND((C7+C10+C16)*F18,0)</f>
        <v>0</v>
      </c>
      <c r="D18" s="760"/>
      <c r="E18" s="761"/>
      <c r="F18" s="759">
        <f>'数据-取费表'!Q16</f>
        <v>0.24</v>
      </c>
      <c r="G18" s="763"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619</v>
      </c>
      <c r="C19" s="747">
        <f ca="1">C7+C10+C16+C17+C18</f>
        <v>0</v>
      </c>
      <c r="D19" s="758"/>
      <c r="E19" s="747"/>
      <c r="F19" s="759"/>
      <c r="G19" s="763"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621</v>
      </c>
      <c r="C20" s="747">
        <f ca="1">ROUND(C19*F20,0)</f>
        <v>0</v>
      </c>
      <c r="D20" s="758"/>
      <c r="E20" s="747"/>
      <c r="F20" s="1343"/>
      <c r="G20" s="763"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623</v>
      </c>
      <c r="C21" s="747">
        <f ca="1">C19+C20</f>
        <v>0</v>
      </c>
      <c r="D21" s="758"/>
      <c r="E21" s="747"/>
      <c r="F21" s="759"/>
      <c r="G21" s="763"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625</v>
      </c>
      <c r="C22" s="747">
        <f ca="1">ROUND(C21*F22,0)</f>
        <v>0</v>
      </c>
      <c r="D22" s="758"/>
      <c r="E22" s="747"/>
      <c r="F22" s="764">
        <f>'数据-取费表'!AP16</f>
        <v>0.92400000000000004</v>
      </c>
      <c r="G22" s="763"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627</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70" zoomScaleNormal="70" workbookViewId="0">
      <selection activeCell="G33" sqref="G3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5.875" style="1331" customWidth="1"/>
    <col min="6" max="6" width="12.25" style="1331" customWidth="1"/>
    <col min="7" max="7" width="15.87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5" t="s">
        <v>719</v>
      </c>
      <c r="C1" s="2586" t="s">
        <v>720</v>
      </c>
      <c r="D1" s="2587" t="s">
        <v>923</v>
      </c>
      <c r="E1" s="2588"/>
      <c r="F1" s="2760" t="s">
        <v>3129</v>
      </c>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467</v>
      </c>
      <c r="B2" s="2584">
        <f>ROUND(B3*D3/10000,0)</f>
        <v>943433</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7" t="s">
        <v>519</v>
      </c>
      <c r="B3" s="849">
        <f>C49</f>
        <v>34265</v>
      </c>
      <c r="C3" s="850" t="s">
        <v>722</v>
      </c>
      <c r="D3" s="849">
        <f>SUMIF('数据-汇总表'!$C19:$C33,D1,'数据-汇总表'!$E19:$E33)</f>
        <v>275334.25</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521</v>
      </c>
      <c r="B4" s="511"/>
      <c r="C4" s="3415" t="s">
        <v>522</v>
      </c>
      <c r="D4" s="3416"/>
      <c r="E4" s="3451" t="s">
        <v>523</v>
      </c>
      <c r="F4" s="3452"/>
      <c r="G4" s="3415" t="s">
        <v>524</v>
      </c>
      <c r="H4" s="3416"/>
      <c r="I4" s="3415" t="s">
        <v>525</v>
      </c>
      <c r="J4" s="3416"/>
      <c r="K4" s="851" t="s">
        <v>526</v>
      </c>
      <c r="L4" s="2116"/>
      <c r="M4" s="2117"/>
      <c r="N4" s="2117"/>
      <c r="O4" s="2117"/>
      <c r="P4" s="3417" t="s">
        <v>527</v>
      </c>
      <c r="Q4" s="3418"/>
      <c r="R4" s="3423" t="s">
        <v>523</v>
      </c>
      <c r="S4" s="3424"/>
      <c r="T4" s="3423" t="s">
        <v>524</v>
      </c>
      <c r="U4" s="3424"/>
      <c r="V4" s="3410" t="s">
        <v>525</v>
      </c>
      <c r="W4" s="3410"/>
      <c r="X4" s="1551"/>
      <c r="Y4" s="3423" t="s">
        <v>527</v>
      </c>
      <c r="Z4" s="3424"/>
      <c r="AA4" s="3412" t="s">
        <v>523</v>
      </c>
      <c r="AB4" s="3412" t="s">
        <v>524</v>
      </c>
      <c r="AC4" s="3412" t="s">
        <v>525</v>
      </c>
    </row>
    <row r="5" spans="1:29" ht="15">
      <c r="A5" s="513"/>
      <c r="B5" s="514"/>
      <c r="C5" s="3433" t="str">
        <f>项目基本情况!F10</f>
        <v>顺义区北小营镇顺义新城第30街区30-01-02地块R2二类居住用地</v>
      </c>
      <c r="D5" s="3432"/>
      <c r="E5" s="3532" t="s">
        <v>3169</v>
      </c>
      <c r="F5" s="3454"/>
      <c r="G5" s="3530" t="s">
        <v>3170</v>
      </c>
      <c r="H5" s="3432"/>
      <c r="I5" s="3530" t="s">
        <v>3165</v>
      </c>
      <c r="J5" s="3432"/>
      <c r="K5" s="852"/>
      <c r="L5" s="2116"/>
      <c r="M5" s="2117"/>
      <c r="N5" s="2117"/>
      <c r="O5" s="2117"/>
      <c r="P5" s="3419"/>
      <c r="Q5" s="3420"/>
      <c r="R5" s="3425"/>
      <c r="S5" s="3426"/>
      <c r="T5" s="3425"/>
      <c r="U5" s="3426"/>
      <c r="V5" s="3410"/>
      <c r="W5" s="3410"/>
      <c r="X5" s="1551"/>
      <c r="Y5" s="3425"/>
      <c r="Z5" s="3426"/>
      <c r="AA5" s="3413"/>
      <c r="AB5" s="3413"/>
      <c r="AC5" s="3413"/>
    </row>
    <row r="6" spans="1:29" ht="15.75" thickBot="1">
      <c r="A6" s="515"/>
      <c r="B6" s="516"/>
      <c r="C6" s="3429" t="s">
        <v>3279</v>
      </c>
      <c r="D6" s="3430"/>
      <c r="E6" s="3531" t="s">
        <v>3280</v>
      </c>
      <c r="F6" s="3450"/>
      <c r="G6" s="3429" t="s">
        <v>3279</v>
      </c>
      <c r="H6" s="3430"/>
      <c r="I6" s="3429" t="s">
        <v>3279</v>
      </c>
      <c r="J6" s="3430"/>
      <c r="K6" s="852" t="s">
        <v>528</v>
      </c>
      <c r="L6" s="2116"/>
      <c r="M6" s="2117"/>
      <c r="N6" s="2117"/>
      <c r="O6" s="2117"/>
      <c r="P6" s="3421"/>
      <c r="Q6" s="3422"/>
      <c r="R6" s="3425"/>
      <c r="S6" s="3426"/>
      <c r="T6" s="3427"/>
      <c r="U6" s="3428"/>
      <c r="V6" s="3410"/>
      <c r="W6" s="3410"/>
      <c r="X6" s="1551"/>
      <c r="Y6" s="3427"/>
      <c r="Z6" s="3428"/>
      <c r="AA6" s="3414"/>
      <c r="AB6" s="3414"/>
      <c r="AC6" s="3414"/>
    </row>
    <row r="7" spans="1:29" s="1214" customFormat="1" ht="15.75" thickBot="1">
      <c r="A7" s="2865"/>
      <c r="B7" s="2872" t="s">
        <v>529</v>
      </c>
      <c r="C7" s="517">
        <f>'数据-取费表'!B2</f>
        <v>43830</v>
      </c>
      <c r="D7" s="518">
        <v>100</v>
      </c>
      <c r="E7" s="3194">
        <v>43770</v>
      </c>
      <c r="F7" s="520">
        <f>SUMIF(58:58,YEAR(E7)&amp;"-"&amp;MONTH(E7),59:59)</f>
        <v>100</v>
      </c>
      <c r="G7" s="3194">
        <v>43770</v>
      </c>
      <c r="H7" s="518">
        <f>SUMIF(58:58,YEAR(G7)&amp;"-"&amp;MONTH(G7),59:59)</f>
        <v>100</v>
      </c>
      <c r="I7" s="3194">
        <v>43770</v>
      </c>
      <c r="J7" s="518">
        <f>SUMIF(58:58,YEAR(I7)&amp;"-"&amp;MONTH(I7),59:59)</f>
        <v>100</v>
      </c>
      <c r="K7" s="853"/>
      <c r="L7" s="2118"/>
      <c r="M7" s="2119"/>
      <c r="N7" s="2119"/>
      <c r="O7" s="2119"/>
      <c r="P7" s="3441" t="s">
        <v>530</v>
      </c>
      <c r="Q7" s="3443"/>
      <c r="R7" s="1552" t="s">
        <v>13</v>
      </c>
      <c r="S7" s="1553">
        <f t="shared" ref="S7:S15" si="0">F7</f>
        <v>100</v>
      </c>
      <c r="T7" s="1552" t="s">
        <v>13</v>
      </c>
      <c r="U7" s="1553">
        <f t="shared" ref="U7:U15" si="1">H7</f>
        <v>100</v>
      </c>
      <c r="V7" s="1552" t="s">
        <v>13</v>
      </c>
      <c r="W7" s="1553">
        <f t="shared" ref="W7:W15" si="2">J7</f>
        <v>100</v>
      </c>
      <c r="X7" s="1554"/>
      <c r="Y7" s="3441" t="s">
        <v>530</v>
      </c>
      <c r="Z7" s="3442"/>
      <c r="AA7" s="1555">
        <f>D7/F7</f>
        <v>1</v>
      </c>
      <c r="AB7" s="1555">
        <f>D7/H7</f>
        <v>1</v>
      </c>
      <c r="AC7" s="1555">
        <f>D7/J7</f>
        <v>1</v>
      </c>
    </row>
    <row r="8" spans="1:29" s="1214" customFormat="1" ht="15.75" thickBot="1">
      <c r="A8" s="2866"/>
      <c r="B8" s="2873" t="s">
        <v>531</v>
      </c>
      <c r="C8" s="523" t="s">
        <v>576</v>
      </c>
      <c r="D8" s="518">
        <v>100</v>
      </c>
      <c r="E8" s="854" t="s">
        <v>3083</v>
      </c>
      <c r="F8" s="520">
        <f>SUMIF(61:61,E8,62:62)-SUMIF(61:61,C8,62:62)+100</f>
        <v>100</v>
      </c>
      <c r="G8" s="523" t="s">
        <v>3083</v>
      </c>
      <c r="H8" s="518">
        <f>SUMIF(61:61,G8,62:62)-SUMIF(61:61,C8,62:62)+100</f>
        <v>100</v>
      </c>
      <c r="I8" s="854" t="s">
        <v>3083</v>
      </c>
      <c r="J8" s="518">
        <f>SUMIF(61:61,I8,62:62)-SUMIF(61:61,C8,62:62)+100</f>
        <v>100</v>
      </c>
      <c r="K8" s="853"/>
      <c r="L8" s="2118"/>
      <c r="M8" s="2119"/>
      <c r="N8" s="2119"/>
      <c r="O8" s="2119"/>
      <c r="P8" s="3441" t="s">
        <v>533</v>
      </c>
      <c r="Q8" s="3442"/>
      <c r="R8" s="1552" t="s">
        <v>13</v>
      </c>
      <c r="S8" s="1553">
        <f t="shared" si="0"/>
        <v>100</v>
      </c>
      <c r="T8" s="1552" t="s">
        <v>13</v>
      </c>
      <c r="U8" s="1553">
        <f t="shared" si="1"/>
        <v>100</v>
      </c>
      <c r="V8" s="1552" t="s">
        <v>13</v>
      </c>
      <c r="W8" s="1553">
        <f t="shared" si="2"/>
        <v>100</v>
      </c>
      <c r="X8" s="1554"/>
      <c r="Y8" s="3441" t="s">
        <v>533</v>
      </c>
      <c r="Z8" s="3442"/>
      <c r="AA8" s="1555">
        <f t="shared" ref="AA8:AA46" si="3">D8/F8</f>
        <v>1</v>
      </c>
      <c r="AB8" s="1555">
        <f t="shared" ref="AB8:AB46" si="4">D8/H8</f>
        <v>1</v>
      </c>
      <c r="AC8" s="1555">
        <f t="shared" ref="AC8:AC46" si="5">D8/J8</f>
        <v>1</v>
      </c>
    </row>
    <row r="9" spans="1:29" s="1214" customFormat="1" ht="15">
      <c r="A9" s="2867"/>
      <c r="B9" s="2874" t="s">
        <v>2754</v>
      </c>
      <c r="C9" s="3182" t="s">
        <v>3166</v>
      </c>
      <c r="D9" s="252">
        <v>100</v>
      </c>
      <c r="E9" s="856" t="s">
        <v>923</v>
      </c>
      <c r="F9" s="857">
        <f>SUMIF(63:63,E9,64:64)-SUMIF(63:63,C9,64:64)+100</f>
        <v>100</v>
      </c>
      <c r="G9" s="858" t="s">
        <v>923</v>
      </c>
      <c r="H9" s="252">
        <f>SUMIF(63:63,G9,64:64)-SUMIF(63:63,C9,64:64)+100</f>
        <v>100</v>
      </c>
      <c r="I9" s="858" t="s">
        <v>923</v>
      </c>
      <c r="J9" s="252">
        <f>SUMIF(63:63,I9,64:64)-SUMIF(63:63,C9,64:64)+100</f>
        <v>100</v>
      </c>
      <c r="K9" s="853"/>
      <c r="L9" s="2118"/>
      <c r="M9" s="2119"/>
      <c r="N9" s="2119"/>
      <c r="O9" s="2120"/>
      <c r="P9" s="3409" t="s">
        <v>535</v>
      </c>
      <c r="Q9" s="1145" t="str">
        <f t="shared" ref="Q9:Q15" si="6">B9</f>
        <v>用途</v>
      </c>
      <c r="R9" s="1552" t="s">
        <v>8</v>
      </c>
      <c r="S9" s="1553">
        <f t="shared" si="0"/>
        <v>100</v>
      </c>
      <c r="T9" s="1552" t="s">
        <v>8</v>
      </c>
      <c r="U9" s="1553">
        <f t="shared" si="1"/>
        <v>100</v>
      </c>
      <c r="V9" s="1552" t="s">
        <v>8</v>
      </c>
      <c r="W9" s="1553">
        <f t="shared" si="2"/>
        <v>100</v>
      </c>
      <c r="X9" s="1554"/>
      <c r="Y9" s="3355" t="s">
        <v>536</v>
      </c>
      <c r="Z9" s="1144" t="str">
        <f t="shared" ref="Z9:Z15" si="7">Q9</f>
        <v>用途</v>
      </c>
      <c r="AA9" s="1555">
        <f t="shared" si="3"/>
        <v>1</v>
      </c>
      <c r="AB9" s="1555">
        <f t="shared" si="4"/>
        <v>1</v>
      </c>
      <c r="AC9" s="1555">
        <f t="shared" si="5"/>
        <v>1</v>
      </c>
    </row>
    <row r="10" spans="1:29" s="1332" customFormat="1" ht="27">
      <c r="A10" s="2868"/>
      <c r="B10" s="2873" t="s">
        <v>2755</v>
      </c>
      <c r="C10" s="859" t="s">
        <v>3167</v>
      </c>
      <c r="D10" s="253">
        <v>100</v>
      </c>
      <c r="E10" s="859" t="s">
        <v>3167</v>
      </c>
      <c r="F10" s="861">
        <f>SUMIF(65:65,E10,66:66)-SUMIF(65:65,C10,66:66)+100</f>
        <v>100</v>
      </c>
      <c r="G10" s="859" t="s">
        <v>3167</v>
      </c>
      <c r="H10" s="253">
        <f>SUMIF(65:65,G10,66:66)-SUMIF(65:65,C10,66:66)+100</f>
        <v>100</v>
      </c>
      <c r="I10" s="859" t="s">
        <v>3167</v>
      </c>
      <c r="J10" s="253">
        <f>SUMIF(65:65,I10,66:66)-SUMIF(65:65,C10,66:66)+100</f>
        <v>100</v>
      </c>
      <c r="K10" s="862">
        <v>2</v>
      </c>
      <c r="L10" s="2121"/>
      <c r="M10" s="2161"/>
      <c r="N10" s="2161"/>
      <c r="O10" s="2122"/>
      <c r="P10" s="3409"/>
      <c r="Q10" s="1145" t="str">
        <f t="shared" si="6"/>
        <v>土地使用年限（年）</v>
      </c>
      <c r="R10" s="1552" t="s">
        <v>8</v>
      </c>
      <c r="S10" s="1553">
        <f t="shared" si="0"/>
        <v>100</v>
      </c>
      <c r="T10" s="1552" t="s">
        <v>8</v>
      </c>
      <c r="U10" s="1553">
        <f t="shared" si="1"/>
        <v>100</v>
      </c>
      <c r="V10" s="1552" t="s">
        <v>8</v>
      </c>
      <c r="W10" s="1553">
        <f t="shared" si="2"/>
        <v>100</v>
      </c>
      <c r="X10" s="1554"/>
      <c r="Y10" s="3355"/>
      <c r="Z10" s="1144" t="str">
        <f t="shared" si="7"/>
        <v>土地使用年限（年）</v>
      </c>
      <c r="AA10" s="1555">
        <f t="shared" si="3"/>
        <v>1</v>
      </c>
      <c r="AB10" s="1555">
        <f t="shared" si="4"/>
        <v>1</v>
      </c>
      <c r="AC10" s="1555">
        <f t="shared" si="5"/>
        <v>1</v>
      </c>
    </row>
    <row r="11" spans="1:29" ht="15.75" thickBot="1">
      <c r="A11" s="2869"/>
      <c r="B11" s="2873" t="s">
        <v>2756</v>
      </c>
      <c r="C11" s="531">
        <v>2</v>
      </c>
      <c r="D11" s="253">
        <v>100</v>
      </c>
      <c r="E11" s="532">
        <v>1.37</v>
      </c>
      <c r="F11" s="861">
        <f>LOOKUP(E11,68:68,69:69)-LOOKUP(C11,68:68,69:69)+100</f>
        <v>104</v>
      </c>
      <c r="G11" s="531">
        <v>1.2</v>
      </c>
      <c r="H11" s="253">
        <f>LOOKUP(G11,68:68,69:69)-LOOKUP(C11,68:68,69:69)+100</f>
        <v>104</v>
      </c>
      <c r="I11" s="531">
        <v>1.1000000000000001</v>
      </c>
      <c r="J11" s="253">
        <f>LOOKUP(I11,68:68,69:69)-LOOKUP(C11,68:68,69:69)+100</f>
        <v>104</v>
      </c>
      <c r="K11" s="862">
        <v>2</v>
      </c>
      <c r="L11" s="2123"/>
      <c r="M11" s="2117"/>
      <c r="N11" s="2117"/>
      <c r="O11" s="2124"/>
      <c r="P11" s="3409"/>
      <c r="Q11" s="1145" t="str">
        <f t="shared" si="6"/>
        <v>容积率</v>
      </c>
      <c r="R11" s="1552" t="s">
        <v>11</v>
      </c>
      <c r="S11" s="1553">
        <f t="shared" si="0"/>
        <v>104</v>
      </c>
      <c r="T11" s="1552" t="s">
        <v>11</v>
      </c>
      <c r="U11" s="1553">
        <f t="shared" si="1"/>
        <v>104</v>
      </c>
      <c r="V11" s="1552" t="s">
        <v>11</v>
      </c>
      <c r="W11" s="1553">
        <f t="shared" si="2"/>
        <v>104</v>
      </c>
      <c r="X11" s="1554"/>
      <c r="Y11" s="3355"/>
      <c r="Z11" s="1144" t="str">
        <f t="shared" si="7"/>
        <v>容积率</v>
      </c>
      <c r="AA11" s="1555">
        <f t="shared" si="3"/>
        <v>0.96153846153846156</v>
      </c>
      <c r="AB11" s="1555">
        <f t="shared" si="4"/>
        <v>0.96153846153846156</v>
      </c>
      <c r="AC11" s="1555">
        <f t="shared" si="5"/>
        <v>0.96153846153846156</v>
      </c>
    </row>
    <row r="12" spans="1:29" s="1214"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409"/>
      <c r="Q12" s="1145">
        <f t="shared" si="6"/>
        <v>111</v>
      </c>
      <c r="R12" s="1552" t="s">
        <v>11</v>
      </c>
      <c r="S12" s="1553">
        <f t="shared" si="0"/>
        <v>100</v>
      </c>
      <c r="T12" s="1552" t="s">
        <v>11</v>
      </c>
      <c r="U12" s="1553">
        <f t="shared" si="1"/>
        <v>100</v>
      </c>
      <c r="V12" s="1552" t="s">
        <v>11</v>
      </c>
      <c r="W12" s="1553">
        <f t="shared" si="2"/>
        <v>100</v>
      </c>
      <c r="X12" s="1554"/>
      <c r="Y12" s="3355"/>
      <c r="Z12" s="1144">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409"/>
      <c r="Q13" s="1145">
        <f t="shared" si="6"/>
        <v>111</v>
      </c>
      <c r="R13" s="1552" t="s">
        <v>11</v>
      </c>
      <c r="S13" s="1553">
        <f t="shared" si="0"/>
        <v>100</v>
      </c>
      <c r="T13" s="1552" t="s">
        <v>11</v>
      </c>
      <c r="U13" s="1553">
        <f t="shared" si="1"/>
        <v>100</v>
      </c>
      <c r="V13" s="1552" t="s">
        <v>11</v>
      </c>
      <c r="W13" s="1553">
        <f t="shared" si="2"/>
        <v>100</v>
      </c>
      <c r="X13" s="1554"/>
      <c r="Y13" s="3355"/>
      <c r="Z13" s="1144">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409"/>
      <c r="Q14" s="1145">
        <f t="shared" si="6"/>
        <v>111</v>
      </c>
      <c r="R14" s="1552" t="s">
        <v>11</v>
      </c>
      <c r="S14" s="1553">
        <f t="shared" si="0"/>
        <v>100</v>
      </c>
      <c r="T14" s="1552" t="s">
        <v>11</v>
      </c>
      <c r="U14" s="1553">
        <f t="shared" si="1"/>
        <v>100</v>
      </c>
      <c r="V14" s="1552" t="s">
        <v>11</v>
      </c>
      <c r="W14" s="1553">
        <f t="shared" si="2"/>
        <v>100</v>
      </c>
      <c r="X14" s="1554"/>
      <c r="Y14" s="3355"/>
      <c r="Z14" s="1144">
        <f t="shared" si="7"/>
        <v>111</v>
      </c>
      <c r="AA14" s="1555">
        <f t="shared" si="3"/>
        <v>1</v>
      </c>
      <c r="AB14" s="1555">
        <f t="shared" si="4"/>
        <v>1</v>
      </c>
      <c r="AC14" s="1555">
        <f t="shared" si="5"/>
        <v>1</v>
      </c>
    </row>
    <row r="15" spans="1:29" ht="114">
      <c r="A15" s="2863" t="s">
        <v>2752</v>
      </c>
      <c r="B15" s="166" t="s">
        <v>295</v>
      </c>
      <c r="C15" s="865" t="str">
        <f>估价对象房地状况!C3</f>
        <v>估价对象位于北京市顺义区北小营镇顺义新城，周边有水色时光花园、永利小区等住宅社区，居住社区成熟度一般</v>
      </c>
      <c r="D15" s="547">
        <v>100</v>
      </c>
      <c r="E15" s="3236" t="s">
        <v>3262</v>
      </c>
      <c r="F15" s="549">
        <f>SUMIF(76:76,E16,77:77)-SUMIF(76:76,C16,77:77)+100</f>
        <v>105</v>
      </c>
      <c r="G15" s="550"/>
      <c r="H15" s="547">
        <f>SUMIF(76:76,G16,77:77)-SUMIF(76:76,C16,77:77)+100</f>
        <v>105</v>
      </c>
      <c r="I15" s="548"/>
      <c r="J15" s="547">
        <f>SUMIF(76:76,I16,77:77)-SUMIF(76:76,C16,77:77)+100</f>
        <v>105</v>
      </c>
      <c r="K15" s="866">
        <v>5</v>
      </c>
      <c r="L15" s="2125"/>
      <c r="M15" s="2117"/>
      <c r="N15" s="2117"/>
      <c r="O15" s="2124"/>
      <c r="P15" s="3444" t="s">
        <v>540</v>
      </c>
      <c r="Q15" s="1556" t="str">
        <f t="shared" si="6"/>
        <v>居住社区成熟度</v>
      </c>
      <c r="R15" s="1557" t="s">
        <v>11</v>
      </c>
      <c r="S15" s="1558">
        <f t="shared" si="0"/>
        <v>105</v>
      </c>
      <c r="T15" s="1557" t="s">
        <v>11</v>
      </c>
      <c r="U15" s="1558">
        <f t="shared" si="1"/>
        <v>105</v>
      </c>
      <c r="V15" s="1557" t="s">
        <v>11</v>
      </c>
      <c r="W15" s="1558">
        <f t="shared" si="2"/>
        <v>105</v>
      </c>
      <c r="X15" s="1551"/>
      <c r="Y15" s="3444" t="s">
        <v>540</v>
      </c>
      <c r="Z15" s="1559" t="str">
        <f t="shared" si="7"/>
        <v>居住社区成熟度</v>
      </c>
      <c r="AA15" s="1560">
        <f t="shared" si="3"/>
        <v>0.95238095238095233</v>
      </c>
      <c r="AB15" s="1560">
        <f t="shared" si="4"/>
        <v>0.95238095238095233</v>
      </c>
      <c r="AC15" s="1560">
        <f t="shared" si="5"/>
        <v>0.95238095238095233</v>
      </c>
    </row>
    <row r="16" spans="1:29" ht="15">
      <c r="A16" s="530"/>
      <c r="B16" s="867"/>
      <c r="C16" s="574" t="s">
        <v>3086</v>
      </c>
      <c r="D16" s="553"/>
      <c r="E16" s="554" t="s">
        <v>3087</v>
      </c>
      <c r="F16" s="555"/>
      <c r="G16" s="556" t="s">
        <v>3087</v>
      </c>
      <c r="H16" s="557"/>
      <c r="I16" s="554" t="s">
        <v>3087</v>
      </c>
      <c r="J16" s="553"/>
      <c r="K16" s="868"/>
      <c r="L16" s="2125"/>
      <c r="M16" s="2117"/>
      <c r="N16" s="2117"/>
      <c r="O16" s="2124"/>
      <c r="P16" s="3445"/>
      <c r="Q16" s="1556"/>
      <c r="R16" s="1557"/>
      <c r="S16" s="1558"/>
      <c r="T16" s="1557"/>
      <c r="U16" s="1558"/>
      <c r="V16" s="1557"/>
      <c r="W16" s="1558"/>
      <c r="X16" s="1551"/>
      <c r="Y16" s="3445"/>
      <c r="Z16" s="1559"/>
      <c r="AA16" s="1560">
        <v>1</v>
      </c>
      <c r="AB16" s="1560">
        <v>1</v>
      </c>
      <c r="AC16" s="1560">
        <v>1</v>
      </c>
    </row>
    <row r="17" spans="1:29" ht="185.25">
      <c r="A17" s="530"/>
      <c r="B17" s="869" t="s">
        <v>296</v>
      </c>
      <c r="C17" s="870" t="str">
        <f>估价对象房地状况!C6</f>
        <v>估价对象紧邻城市主干道——昌金路，临近城市主干道——顺密路。估价对象周边有顺16路、顺27路、顺32路、顺37路等多条公交线路通过，距离地铁15号线（俸伯站）约9公里，综合评价交通便捷度一般</v>
      </c>
      <c r="D17" s="557">
        <v>100</v>
      </c>
      <c r="E17" s="560" t="s">
        <v>3264</v>
      </c>
      <c r="F17" s="561">
        <f>SUMIF(78:78,E18,79:79)-SUMIF(78:78,C18,79:79)+100</f>
        <v>102</v>
      </c>
      <c r="G17" s="562"/>
      <c r="H17" s="563">
        <f>SUMIF(78:78,G18,79:79)-SUMIF(78:78,C18,79:79)+100</f>
        <v>102</v>
      </c>
      <c r="I17" s="560"/>
      <c r="J17" s="563">
        <f>SUMIF(78:78,I18,79:79)-SUMIF(78:78,C18,79:79)+100</f>
        <v>102</v>
      </c>
      <c r="K17" s="866">
        <v>2</v>
      </c>
      <c r="L17" s="2125"/>
      <c r="M17" s="2117"/>
      <c r="N17" s="2117"/>
      <c r="O17" s="2124"/>
      <c r="P17" s="3445"/>
      <c r="Q17" s="1556" t="str">
        <f>B17</f>
        <v>交通便捷度</v>
      </c>
      <c r="R17" s="1557" t="s">
        <v>11</v>
      </c>
      <c r="S17" s="1558">
        <f>F17</f>
        <v>102</v>
      </c>
      <c r="T17" s="1557" t="s">
        <v>11</v>
      </c>
      <c r="U17" s="1558">
        <f>H17</f>
        <v>102</v>
      </c>
      <c r="V17" s="1557" t="s">
        <v>11</v>
      </c>
      <c r="W17" s="1558">
        <f>J17</f>
        <v>102</v>
      </c>
      <c r="X17" s="1551"/>
      <c r="Y17" s="3445"/>
      <c r="Z17" s="1559" t="str">
        <f>Q17</f>
        <v>交通便捷度</v>
      </c>
      <c r="AA17" s="1560">
        <f t="shared" si="3"/>
        <v>0.98039215686274506</v>
      </c>
      <c r="AB17" s="1560">
        <f t="shared" si="4"/>
        <v>0.98039215686274506</v>
      </c>
      <c r="AC17" s="1560">
        <f t="shared" si="5"/>
        <v>0.98039215686274506</v>
      </c>
    </row>
    <row r="18" spans="1:29" ht="15">
      <c r="A18" s="530"/>
      <c r="B18" s="593"/>
      <c r="C18" s="871" t="s">
        <v>3086</v>
      </c>
      <c r="D18" s="557"/>
      <c r="E18" s="566" t="s">
        <v>3087</v>
      </c>
      <c r="F18" s="561"/>
      <c r="G18" s="567" t="s">
        <v>3087</v>
      </c>
      <c r="H18" s="553"/>
      <c r="I18" s="566" t="s">
        <v>3087</v>
      </c>
      <c r="J18" s="553"/>
      <c r="K18" s="868"/>
      <c r="L18" s="2125"/>
      <c r="M18" s="2117"/>
      <c r="N18" s="2117"/>
      <c r="O18" s="2124"/>
      <c r="P18" s="3445"/>
      <c r="Q18" s="1556"/>
      <c r="R18" s="1557"/>
      <c r="S18" s="1558"/>
      <c r="T18" s="1557"/>
      <c r="U18" s="1558"/>
      <c r="V18" s="1557"/>
      <c r="W18" s="1558"/>
      <c r="X18" s="1551"/>
      <c r="Y18" s="3445"/>
      <c r="Z18" s="1559"/>
      <c r="AA18" s="1560">
        <v>1</v>
      </c>
      <c r="AB18" s="1560">
        <v>1</v>
      </c>
      <c r="AC18" s="1560">
        <v>1</v>
      </c>
    </row>
    <row r="19" spans="1:29" ht="171">
      <c r="A19" s="530"/>
      <c r="B19" s="2562" t="s">
        <v>2545</v>
      </c>
      <c r="C19" s="870" t="str">
        <f>估价对象房地状况!C7</f>
        <v>估价对象所在区域有银行（北京顺义银座村镇银行(北小营支行)等），学校（北京顺义第十三中学等），无大型购物场所、医院、餐饮等公共配套设施，综合确定公共配套设施齐备度一般</v>
      </c>
      <c r="D19" s="563">
        <v>100</v>
      </c>
      <c r="E19" s="3237" t="s">
        <v>3278</v>
      </c>
      <c r="F19" s="569">
        <f>SUMIF(80:80,E20,81:81)-SUMIF(80:80,C20,81:81)+100</f>
        <v>105</v>
      </c>
      <c r="G19" s="3238" t="s">
        <v>3087</v>
      </c>
      <c r="H19" s="557">
        <f>SUMIF(80:80,G20,81:81)-SUMIF(80:80,C20,81:81)+100</f>
        <v>105</v>
      </c>
      <c r="I19" s="3237" t="s">
        <v>3087</v>
      </c>
      <c r="J19" s="557">
        <f>SUMIF(80:80,I20,81:81)-SUMIF(80:80,C20,81:81)+100</f>
        <v>105</v>
      </c>
      <c r="K19" s="866">
        <v>5</v>
      </c>
      <c r="L19" s="2125"/>
      <c r="M19" s="2117"/>
      <c r="N19" s="2117"/>
      <c r="O19" s="2124"/>
      <c r="P19" s="3445"/>
      <c r="Q19" s="1556" t="str">
        <f>B19</f>
        <v>公共配套设施</v>
      </c>
      <c r="R19" s="1557" t="s">
        <v>11</v>
      </c>
      <c r="S19" s="1558">
        <f>F19</f>
        <v>105</v>
      </c>
      <c r="T19" s="1557" t="s">
        <v>11</v>
      </c>
      <c r="U19" s="1558">
        <f>H19</f>
        <v>105</v>
      </c>
      <c r="V19" s="1557" t="s">
        <v>11</v>
      </c>
      <c r="W19" s="1558">
        <f>J19</f>
        <v>105</v>
      </c>
      <c r="X19" s="1551"/>
      <c r="Y19" s="3445"/>
      <c r="Z19" s="1559" t="str">
        <f>Q19</f>
        <v>公共配套设施</v>
      </c>
      <c r="AA19" s="1560">
        <f t="shared" si="3"/>
        <v>0.95238095238095233</v>
      </c>
      <c r="AB19" s="1560">
        <f t="shared" si="4"/>
        <v>0.95238095238095233</v>
      </c>
      <c r="AC19" s="1560">
        <f t="shared" si="5"/>
        <v>0.95238095238095233</v>
      </c>
    </row>
    <row r="20" spans="1:29" ht="15">
      <c r="A20" s="530"/>
      <c r="B20" s="593"/>
      <c r="C20" s="574" t="s">
        <v>3086</v>
      </c>
      <c r="D20" s="553"/>
      <c r="E20" s="554" t="s">
        <v>3087</v>
      </c>
      <c r="F20" s="555"/>
      <c r="G20" s="556" t="s">
        <v>3087</v>
      </c>
      <c r="H20" s="553"/>
      <c r="I20" s="554" t="s">
        <v>3087</v>
      </c>
      <c r="J20" s="553"/>
      <c r="K20" s="868"/>
      <c r="L20" s="2125"/>
      <c r="M20" s="2117"/>
      <c r="N20" s="2117"/>
      <c r="O20" s="2124"/>
      <c r="P20" s="3445"/>
      <c r="Q20" s="1556"/>
      <c r="R20" s="1557"/>
      <c r="S20" s="1558"/>
      <c r="T20" s="1557"/>
      <c r="U20" s="1558"/>
      <c r="V20" s="1557"/>
      <c r="W20" s="1558"/>
      <c r="X20" s="1551"/>
      <c r="Y20" s="3445"/>
      <c r="Z20" s="1559"/>
      <c r="AA20" s="1560">
        <v>1</v>
      </c>
      <c r="AB20" s="1560">
        <v>1</v>
      </c>
      <c r="AC20" s="1560">
        <v>1</v>
      </c>
    </row>
    <row r="21" spans="1:29" ht="42.75">
      <c r="A21" s="530"/>
      <c r="B21" s="2555" t="s">
        <v>2557</v>
      </c>
      <c r="C21" s="870" t="str">
        <f>估价对象房地状况!C8</f>
        <v>估价对象所在区域基础设施水平为六通</v>
      </c>
      <c r="D21" s="563">
        <v>100</v>
      </c>
      <c r="E21" s="3239" t="s">
        <v>3091</v>
      </c>
      <c r="F21" s="569">
        <f>SUMIF(82:82,E22,83:83)-SUMIF(82:82,C22,83:83)+100</f>
        <v>100</v>
      </c>
      <c r="G21" s="3239" t="s">
        <v>3091</v>
      </c>
      <c r="H21" s="563">
        <f>SUMIF(82:82,G22,83:83)-SUMIF(82:82,C22,83:83)+100</f>
        <v>100</v>
      </c>
      <c r="I21" s="3239" t="s">
        <v>3091</v>
      </c>
      <c r="J21" s="563">
        <f>SUMIF(82:82,I22,83:83)-SUMIF(82:82,C22,83:83)+100</f>
        <v>100</v>
      </c>
      <c r="K21" s="866">
        <v>2</v>
      </c>
      <c r="L21" s="2125"/>
      <c r="M21" s="2117"/>
      <c r="N21" s="2117"/>
      <c r="O21" s="2124"/>
      <c r="P21" s="3445"/>
      <c r="Q21" s="2541" t="str">
        <f>B21</f>
        <v>基础设施水平</v>
      </c>
      <c r="R21" s="1557" t="s">
        <v>11</v>
      </c>
      <c r="S21" s="1558">
        <f>F21</f>
        <v>100</v>
      </c>
      <c r="T21" s="1557" t="s">
        <v>11</v>
      </c>
      <c r="U21" s="1558">
        <f>H21</f>
        <v>100</v>
      </c>
      <c r="V21" s="1557" t="s">
        <v>11</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920"/>
      <c r="C22" s="871" t="s">
        <v>3091</v>
      </c>
      <c r="D22" s="553"/>
      <c r="E22" s="574" t="s">
        <v>3091</v>
      </c>
      <c r="F22" s="555"/>
      <c r="G22" s="574" t="s">
        <v>3091</v>
      </c>
      <c r="H22" s="553"/>
      <c r="I22" s="574" t="s">
        <v>3091</v>
      </c>
      <c r="J22" s="553"/>
      <c r="K22" s="2561"/>
      <c r="L22" s="2125"/>
      <c r="M22" s="2117"/>
      <c r="N22" s="2117"/>
      <c r="O22" s="2124"/>
      <c r="P22" s="3445"/>
      <c r="Q22" s="2541"/>
      <c r="R22" s="1557"/>
      <c r="S22" s="1558"/>
      <c r="T22" s="1557"/>
      <c r="U22" s="1558"/>
      <c r="V22" s="1557"/>
      <c r="W22" s="1558"/>
      <c r="X22" s="2543"/>
      <c r="Y22" s="3445"/>
      <c r="Z22" s="2542"/>
      <c r="AA22" s="1560">
        <v>1</v>
      </c>
      <c r="AB22" s="1560">
        <v>1</v>
      </c>
      <c r="AC22" s="1560">
        <v>1</v>
      </c>
    </row>
    <row r="23" spans="1:29" ht="142.5">
      <c r="A23" s="530"/>
      <c r="B23" s="869" t="s">
        <v>297</v>
      </c>
      <c r="C23" s="870" t="str">
        <f>估价对象房地状况!C9</f>
        <v>估价对象周边有箭杆河、民悦广场、凤阳广场、顺义奥林匹克水上公园等自然景观；有北小营镇政府等人文设施，综合考虑自然环境与人文环境一般</v>
      </c>
      <c r="D23" s="557">
        <v>100</v>
      </c>
      <c r="E23" s="3235" t="s">
        <v>3087</v>
      </c>
      <c r="F23" s="561">
        <f>SUMIF(84:84,E24,85:85)-SUMIF(84:84,C24,85:85)+100</f>
        <v>102</v>
      </c>
      <c r="G23" s="3234" t="s">
        <v>3087</v>
      </c>
      <c r="H23" s="557">
        <f>SUMIF(84:84,G24,85:85)-SUMIF(84:84,C24,85:85)+100</f>
        <v>102</v>
      </c>
      <c r="I23" s="3235" t="s">
        <v>3087</v>
      </c>
      <c r="J23" s="557">
        <f>SUMIF(84:84,I24,85:85)-SUMIF(84:84,C24,85:85)+100</f>
        <v>102</v>
      </c>
      <c r="K23" s="866">
        <v>2</v>
      </c>
      <c r="L23" s="2125"/>
      <c r="M23" s="2117"/>
      <c r="N23" s="2117"/>
      <c r="O23" s="2124"/>
      <c r="P23" s="3445"/>
      <c r="Q23" s="1556" t="str">
        <f>B23</f>
        <v>自然及人文环境</v>
      </c>
      <c r="R23" s="1557" t="s">
        <v>11</v>
      </c>
      <c r="S23" s="1558">
        <f>F23</f>
        <v>102</v>
      </c>
      <c r="T23" s="1557" t="s">
        <v>11</v>
      </c>
      <c r="U23" s="1558">
        <f>H23</f>
        <v>102</v>
      </c>
      <c r="V23" s="1557" t="s">
        <v>11</v>
      </c>
      <c r="W23" s="1558">
        <f>J23</f>
        <v>102</v>
      </c>
      <c r="X23" s="1551"/>
      <c r="Y23" s="3445"/>
      <c r="Z23" s="1559" t="str">
        <f>Q23</f>
        <v>自然及人文环境</v>
      </c>
      <c r="AA23" s="1560">
        <f t="shared" si="3"/>
        <v>0.98039215686274506</v>
      </c>
      <c r="AB23" s="1560">
        <f t="shared" si="4"/>
        <v>0.98039215686274506</v>
      </c>
      <c r="AC23" s="1560">
        <f t="shared" si="5"/>
        <v>0.98039215686274506</v>
      </c>
    </row>
    <row r="24" spans="1:29" ht="15">
      <c r="A24" s="530"/>
      <c r="B24" s="593"/>
      <c r="C24" s="574" t="s">
        <v>3086</v>
      </c>
      <c r="D24" s="553"/>
      <c r="E24" s="554" t="s">
        <v>3087</v>
      </c>
      <c r="F24" s="555"/>
      <c r="G24" s="556" t="s">
        <v>3087</v>
      </c>
      <c r="H24" s="553"/>
      <c r="I24" s="554" t="s">
        <v>3087</v>
      </c>
      <c r="J24" s="553"/>
      <c r="K24" s="868"/>
      <c r="L24" s="2125"/>
      <c r="M24" s="2117"/>
      <c r="N24" s="2117"/>
      <c r="O24" s="2124"/>
      <c r="P24" s="3445"/>
      <c r="Q24" s="1556"/>
      <c r="R24" s="1557"/>
      <c r="S24" s="1558"/>
      <c r="T24" s="1557"/>
      <c r="U24" s="1558"/>
      <c r="V24" s="1557"/>
      <c r="W24" s="1558"/>
      <c r="X24" s="1551"/>
      <c r="Y24" s="3445"/>
      <c r="Z24" s="1559"/>
      <c r="AA24" s="1560">
        <v>1</v>
      </c>
      <c r="AB24" s="1560">
        <v>1</v>
      </c>
      <c r="AC24" s="1560">
        <v>1</v>
      </c>
    </row>
    <row r="25" spans="1:29" ht="15" hidden="1">
      <c r="A25" s="530"/>
      <c r="B25" s="1878" t="s">
        <v>2255</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45"/>
      <c r="Q25" s="1556" t="str">
        <f t="shared" ref="Q25:Q46" si="11">B25</f>
        <v>楼层-1</v>
      </c>
      <c r="R25" s="1557" t="s">
        <v>11</v>
      </c>
      <c r="S25" s="1558">
        <f>F25</f>
        <v>100</v>
      </c>
      <c r="T25" s="1557" t="s">
        <v>11</v>
      </c>
      <c r="U25" s="1558">
        <f>H25</f>
        <v>100</v>
      </c>
      <c r="V25" s="1557" t="s">
        <v>11</v>
      </c>
      <c r="W25" s="1558">
        <f>J25</f>
        <v>100</v>
      </c>
      <c r="X25" s="1551"/>
      <c r="Y25" s="3445"/>
      <c r="Z25" s="1559" t="str">
        <f>Q25</f>
        <v>楼层-1</v>
      </c>
      <c r="AA25" s="1560">
        <f t="shared" si="3"/>
        <v>1</v>
      </c>
      <c r="AB25" s="1560">
        <f t="shared" si="4"/>
        <v>1</v>
      </c>
      <c r="AC25" s="1560">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45"/>
      <c r="Q26" s="1556" t="str">
        <f t="shared" si="11"/>
        <v>朝向</v>
      </c>
      <c r="R26" s="1557" t="s">
        <v>11</v>
      </c>
      <c r="S26" s="1558">
        <f>F26</f>
        <v>100</v>
      </c>
      <c r="T26" s="1557" t="s">
        <v>11</v>
      </c>
      <c r="U26" s="1558">
        <f>H26</f>
        <v>100</v>
      </c>
      <c r="V26" s="1557" t="s">
        <v>11</v>
      </c>
      <c r="W26" s="1558">
        <f>J26</f>
        <v>100</v>
      </c>
      <c r="X26" s="1551"/>
      <c r="Y26" s="3445"/>
      <c r="Z26" s="1559" t="str">
        <f>Q26</f>
        <v>朝向</v>
      </c>
      <c r="AA26" s="1560">
        <f t="shared" si="3"/>
        <v>1</v>
      </c>
      <c r="AB26" s="1560">
        <f t="shared" si="4"/>
        <v>1</v>
      </c>
      <c r="AC26" s="1560">
        <f t="shared" si="5"/>
        <v>1</v>
      </c>
    </row>
    <row r="27" spans="1:29" s="1214" customFormat="1" ht="15.75" thickBot="1">
      <c r="A27" s="534"/>
      <c r="B27" s="535" t="s">
        <v>724</v>
      </c>
      <c r="C27" s="3187" t="s">
        <v>3168</v>
      </c>
      <c r="D27" s="873">
        <v>100</v>
      </c>
      <c r="E27" s="3188" t="s">
        <v>3168</v>
      </c>
      <c r="F27" s="874">
        <f>SUMIF(90:90,E27,91:91)-SUMIF(90:90,C27,91:91)+100</f>
        <v>100</v>
      </c>
      <c r="G27" s="3189" t="s">
        <v>3168</v>
      </c>
      <c r="H27" s="873">
        <f>SUMIF(90:90,G27,91:91)-SUMIF(90:90,C27,91:91)+100</f>
        <v>100</v>
      </c>
      <c r="I27" s="3188" t="s">
        <v>3168</v>
      </c>
      <c r="J27" s="873">
        <f>SUMIF(90:90,I27,91:91)-SUMIF(90:90,C27,91:91)+100</f>
        <v>100</v>
      </c>
      <c r="K27" s="863"/>
      <c r="L27" s="2118"/>
      <c r="M27" s="2119"/>
      <c r="N27" s="2119"/>
      <c r="O27" s="2120"/>
      <c r="P27" s="3445"/>
      <c r="Q27" s="1145" t="str">
        <f t="shared" si="11"/>
        <v>道路级别</v>
      </c>
      <c r="R27" s="1552" t="s">
        <v>11</v>
      </c>
      <c r="S27" s="1553">
        <f>F27</f>
        <v>100</v>
      </c>
      <c r="T27" s="1552" t="s">
        <v>11</v>
      </c>
      <c r="U27" s="1553">
        <f>H27</f>
        <v>100</v>
      </c>
      <c r="V27" s="1552" t="s">
        <v>11</v>
      </c>
      <c r="W27" s="1553">
        <f>J27</f>
        <v>100</v>
      </c>
      <c r="X27" s="1554"/>
      <c r="Y27" s="3445"/>
      <c r="Z27" s="1144"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45"/>
      <c r="Q28" s="1556">
        <f t="shared" si="11"/>
        <v>111</v>
      </c>
      <c r="R28" s="1557" t="s">
        <v>11</v>
      </c>
      <c r="S28" s="1558">
        <f t="shared" ref="S28:S46" si="12">F28</f>
        <v>100</v>
      </c>
      <c r="T28" s="1557" t="s">
        <v>11</v>
      </c>
      <c r="U28" s="1558">
        <f t="shared" ref="U28:U46" si="13">H28</f>
        <v>100</v>
      </c>
      <c r="V28" s="1557" t="s">
        <v>11</v>
      </c>
      <c r="W28" s="1558">
        <f t="shared" ref="W28:W46" si="14">J28</f>
        <v>100</v>
      </c>
      <c r="X28" s="1551"/>
      <c r="Y28" s="3445"/>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45"/>
      <c r="Q29" s="1556">
        <f t="shared" si="11"/>
        <v>111</v>
      </c>
      <c r="R29" s="1557" t="s">
        <v>11</v>
      </c>
      <c r="S29" s="1558">
        <f t="shared" si="12"/>
        <v>100</v>
      </c>
      <c r="T29" s="1557" t="s">
        <v>11</v>
      </c>
      <c r="U29" s="1558">
        <f t="shared" si="13"/>
        <v>100</v>
      </c>
      <c r="V29" s="1557" t="s">
        <v>11</v>
      </c>
      <c r="W29" s="1558">
        <f t="shared" si="14"/>
        <v>100</v>
      </c>
      <c r="X29" s="1551"/>
      <c r="Y29" s="3445"/>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45"/>
      <c r="Q30" s="1556">
        <f t="shared" si="11"/>
        <v>111</v>
      </c>
      <c r="R30" s="1557" t="s">
        <v>11</v>
      </c>
      <c r="S30" s="1558">
        <f t="shared" si="12"/>
        <v>100</v>
      </c>
      <c r="T30" s="1557" t="s">
        <v>11</v>
      </c>
      <c r="U30" s="1558">
        <f t="shared" si="13"/>
        <v>100</v>
      </c>
      <c r="V30" s="1557" t="s">
        <v>11</v>
      </c>
      <c r="W30" s="1558">
        <f t="shared" si="14"/>
        <v>100</v>
      </c>
      <c r="X30" s="1551"/>
      <c r="Y30" s="3445"/>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45"/>
      <c r="Q31" s="1556">
        <f t="shared" si="11"/>
        <v>111</v>
      </c>
      <c r="R31" s="1557" t="s">
        <v>11</v>
      </c>
      <c r="S31" s="1558">
        <f t="shared" si="12"/>
        <v>100</v>
      </c>
      <c r="T31" s="1557" t="s">
        <v>11</v>
      </c>
      <c r="U31" s="1558">
        <f t="shared" si="13"/>
        <v>100</v>
      </c>
      <c r="V31" s="1557" t="s">
        <v>11</v>
      </c>
      <c r="W31" s="1558">
        <f t="shared" si="14"/>
        <v>100</v>
      </c>
      <c r="X31" s="1551"/>
      <c r="Y31" s="3445"/>
      <c r="Z31" s="1559">
        <f t="shared" si="15"/>
        <v>111</v>
      </c>
      <c r="AA31" s="1560">
        <f t="shared" si="3"/>
        <v>1</v>
      </c>
      <c r="AB31" s="1560">
        <f t="shared" si="4"/>
        <v>1</v>
      </c>
      <c r="AC31" s="1560">
        <f t="shared" si="5"/>
        <v>1</v>
      </c>
    </row>
    <row r="32" spans="1:29" ht="15">
      <c r="A32" s="2860" t="s">
        <v>2753</v>
      </c>
      <c r="B32" s="172" t="s">
        <v>725</v>
      </c>
      <c r="C32" s="876" t="s">
        <v>3163</v>
      </c>
      <c r="D32" s="595">
        <v>100</v>
      </c>
      <c r="E32" s="877" t="s">
        <v>3161</v>
      </c>
      <c r="F32" s="573">
        <f>SUMIF(100:100,E32,101:101)-SUMIF(100:100,C32,101:101)+100</f>
        <v>106</v>
      </c>
      <c r="G32" s="876" t="s">
        <v>3163</v>
      </c>
      <c r="H32" s="595">
        <f>SUMIF(100:100,G32,101:101)-SUMIF(100:100,C32,101:101)+100</f>
        <v>100</v>
      </c>
      <c r="I32" s="877" t="s">
        <v>3161</v>
      </c>
      <c r="J32" s="538">
        <f>SUMIF(100:100,I32,101:101)-SUMIF(100:100,C32,101:101)+100</f>
        <v>106</v>
      </c>
      <c r="K32" s="862">
        <v>6</v>
      </c>
      <c r="L32" s="2125"/>
      <c r="M32" s="2117"/>
      <c r="N32" s="2117"/>
      <c r="O32" s="2124"/>
      <c r="P32" s="3446" t="s">
        <v>550</v>
      </c>
      <c r="Q32" s="1556" t="str">
        <f t="shared" si="11"/>
        <v>建筑类型</v>
      </c>
      <c r="R32" s="1557" t="s">
        <v>11</v>
      </c>
      <c r="S32" s="1558">
        <f t="shared" si="12"/>
        <v>106</v>
      </c>
      <c r="T32" s="1557" t="s">
        <v>11</v>
      </c>
      <c r="U32" s="1558">
        <f t="shared" si="13"/>
        <v>100</v>
      </c>
      <c r="V32" s="1557" t="s">
        <v>11</v>
      </c>
      <c r="W32" s="1558">
        <f t="shared" si="14"/>
        <v>106</v>
      </c>
      <c r="X32" s="1551"/>
      <c r="Y32" s="3447" t="s">
        <v>550</v>
      </c>
      <c r="Z32" s="1559" t="str">
        <f t="shared" si="15"/>
        <v>建筑类型</v>
      </c>
      <c r="AA32" s="1560">
        <f t="shared" si="3"/>
        <v>0.94339622641509435</v>
      </c>
      <c r="AB32" s="1560">
        <f t="shared" si="4"/>
        <v>1</v>
      </c>
      <c r="AC32" s="1560">
        <f t="shared" si="5"/>
        <v>0.94339622641509435</v>
      </c>
    </row>
    <row r="33" spans="1:29" s="1333" customFormat="1" ht="15">
      <c r="A33" s="601"/>
      <c r="B33" s="525" t="s">
        <v>726</v>
      </c>
      <c r="C33" s="878">
        <v>450000</v>
      </c>
      <c r="D33" s="253">
        <v>100</v>
      </c>
      <c r="E33" s="532">
        <v>200000</v>
      </c>
      <c r="F33" s="861">
        <f>LOOKUP(E33,103:103,104:104)-LOOKUP(C33,103:103,104:104)+100</f>
        <v>100</v>
      </c>
      <c r="G33" s="531">
        <v>120000</v>
      </c>
      <c r="H33" s="253">
        <f>LOOKUP(G33,103:103,104:104)-LOOKUP(C33,103:103,104:104)+100</f>
        <v>98</v>
      </c>
      <c r="I33" s="532">
        <v>600000</v>
      </c>
      <c r="J33" s="253">
        <f>LOOKUP(I33,103:103,104:104)-LOOKUP(C33,103:103,104:104)+100</f>
        <v>98</v>
      </c>
      <c r="K33" s="863"/>
      <c r="L33" s="2123"/>
      <c r="M33" s="2154"/>
      <c r="N33" s="2154"/>
      <c r="O33" s="2126"/>
      <c r="P33" s="3447"/>
      <c r="Q33" s="1588" t="str">
        <f t="shared" si="11"/>
        <v>项目建筑规模</v>
      </c>
      <c r="R33" s="1561" t="s">
        <v>11</v>
      </c>
      <c r="S33" s="1562">
        <f t="shared" si="12"/>
        <v>100</v>
      </c>
      <c r="T33" s="1561" t="s">
        <v>11</v>
      </c>
      <c r="U33" s="1562">
        <f t="shared" si="13"/>
        <v>98</v>
      </c>
      <c r="V33" s="1561" t="s">
        <v>11</v>
      </c>
      <c r="W33" s="1562">
        <f t="shared" si="14"/>
        <v>98</v>
      </c>
      <c r="X33" s="1563"/>
      <c r="Y33" s="3447"/>
      <c r="Z33" s="1564" t="str">
        <f t="shared" si="15"/>
        <v>项目建筑规模</v>
      </c>
      <c r="AA33" s="1560">
        <f t="shared" si="3"/>
        <v>1</v>
      </c>
      <c r="AB33" s="1560">
        <f t="shared" si="4"/>
        <v>1.0204081632653061</v>
      </c>
      <c r="AC33" s="1560">
        <f t="shared" si="5"/>
        <v>1.0204081632653061</v>
      </c>
    </row>
    <row r="34" spans="1:29" ht="15">
      <c r="A34" s="592"/>
      <c r="B34" s="525" t="s">
        <v>727</v>
      </c>
      <c r="C34" s="879" t="s">
        <v>3150</v>
      </c>
      <c r="D34" s="538">
        <v>100</v>
      </c>
      <c r="E34" s="879" t="s">
        <v>3150</v>
      </c>
      <c r="F34" s="573">
        <f>SUMIF(105:105,E34,106:106)-SUMIF(105:105,C34,106:106)+100</f>
        <v>100</v>
      </c>
      <c r="G34" s="879" t="s">
        <v>3150</v>
      </c>
      <c r="H34" s="538">
        <f>SUMIF(105:105,G34,106:106)-SUMIF(105:105,C34,106:106)+100</f>
        <v>100</v>
      </c>
      <c r="I34" s="879" t="s">
        <v>3150</v>
      </c>
      <c r="J34" s="538">
        <f>SUMIF(105:105,I34,106:106)-SUMIF(105:105,C34,106:106)+100</f>
        <v>100</v>
      </c>
      <c r="K34" s="862"/>
      <c r="L34" s="2125"/>
      <c r="M34" s="2117"/>
      <c r="N34" s="2117"/>
      <c r="O34" s="2124"/>
      <c r="P34" s="3447"/>
      <c r="Q34" s="1556" t="str">
        <f t="shared" si="11"/>
        <v>建筑结构</v>
      </c>
      <c r="R34" s="1557" t="s">
        <v>11</v>
      </c>
      <c r="S34" s="1558">
        <f t="shared" si="12"/>
        <v>100</v>
      </c>
      <c r="T34" s="1557" t="s">
        <v>11</v>
      </c>
      <c r="U34" s="1558">
        <f t="shared" si="13"/>
        <v>100</v>
      </c>
      <c r="V34" s="1557" t="s">
        <v>11</v>
      </c>
      <c r="W34" s="1558">
        <f t="shared" si="14"/>
        <v>100</v>
      </c>
      <c r="X34" s="1551"/>
      <c r="Y34" s="3447"/>
      <c r="Z34" s="1559" t="str">
        <f t="shared" si="15"/>
        <v>建筑结构</v>
      </c>
      <c r="AA34" s="1560">
        <f t="shared" si="3"/>
        <v>1</v>
      </c>
      <c r="AB34" s="1560">
        <f t="shared" si="4"/>
        <v>1</v>
      </c>
      <c r="AC34" s="1560">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5"/>
      <c r="M35" s="2117"/>
      <c r="N35" s="2117"/>
      <c r="O35" s="2124"/>
      <c r="P35" s="3447"/>
      <c r="Q35" s="1556" t="str">
        <f t="shared" si="11"/>
        <v>建筑品质</v>
      </c>
      <c r="R35" s="1557" t="s">
        <v>11</v>
      </c>
      <c r="S35" s="1558">
        <f t="shared" si="12"/>
        <v>100</v>
      </c>
      <c r="T35" s="1557" t="s">
        <v>11</v>
      </c>
      <c r="U35" s="1558">
        <f t="shared" si="13"/>
        <v>100</v>
      </c>
      <c r="V35" s="1557" t="s">
        <v>11</v>
      </c>
      <c r="W35" s="1558">
        <f t="shared" si="14"/>
        <v>100</v>
      </c>
      <c r="X35" s="1551"/>
      <c r="Y35" s="3447"/>
      <c r="Z35" s="1559" t="str">
        <f t="shared" si="15"/>
        <v>建筑品质</v>
      </c>
      <c r="AA35" s="1560">
        <f t="shared" si="3"/>
        <v>1</v>
      </c>
      <c r="AB35" s="1560">
        <f t="shared" si="4"/>
        <v>1</v>
      </c>
      <c r="AC35" s="1560">
        <f t="shared" si="5"/>
        <v>1</v>
      </c>
    </row>
    <row r="36" spans="1:29" ht="15">
      <c r="A36" s="592"/>
      <c r="B36" s="525" t="s">
        <v>729</v>
      </c>
      <c r="C36" s="597" t="s">
        <v>3171</v>
      </c>
      <c r="D36" s="538">
        <v>100</v>
      </c>
      <c r="E36" s="597" t="s">
        <v>3171</v>
      </c>
      <c r="F36" s="573">
        <f>SUMIF(109:109,E36,110:110)-SUMIF(109:109,C36,110:110)+100</f>
        <v>100</v>
      </c>
      <c r="G36" s="597" t="s">
        <v>3171</v>
      </c>
      <c r="H36" s="538">
        <f>SUMIF(109:109,G36,110:110)-SUMIF(109:109,C36,110:110)+100</f>
        <v>100</v>
      </c>
      <c r="I36" s="597" t="s">
        <v>3171</v>
      </c>
      <c r="J36" s="538">
        <f>SUMIF(109:109,I36,110:110)-SUMIF(109:109,C36,110:110)+100</f>
        <v>100</v>
      </c>
      <c r="K36" s="862"/>
      <c r="L36" s="2125"/>
      <c r="M36" s="2117"/>
      <c r="N36" s="2117"/>
      <c r="O36" s="2124"/>
      <c r="P36" s="3447"/>
      <c r="Q36" s="1556" t="str">
        <f t="shared" si="11"/>
        <v>公共部分装修</v>
      </c>
      <c r="R36" s="1557" t="s">
        <v>11</v>
      </c>
      <c r="S36" s="1558">
        <f t="shared" si="12"/>
        <v>100</v>
      </c>
      <c r="T36" s="1557" t="s">
        <v>11</v>
      </c>
      <c r="U36" s="1558">
        <f t="shared" si="13"/>
        <v>100</v>
      </c>
      <c r="V36" s="1557" t="s">
        <v>11</v>
      </c>
      <c r="W36" s="1558">
        <f t="shared" si="14"/>
        <v>100</v>
      </c>
      <c r="X36" s="1551"/>
      <c r="Y36" s="3447"/>
      <c r="Z36" s="1559" t="str">
        <f t="shared" si="15"/>
        <v>公共部分装修</v>
      </c>
      <c r="AA36" s="1560">
        <f t="shared" si="3"/>
        <v>1</v>
      </c>
      <c r="AB36" s="1560">
        <f t="shared" si="4"/>
        <v>1</v>
      </c>
      <c r="AC36" s="1560">
        <f t="shared" si="5"/>
        <v>1</v>
      </c>
    </row>
    <row r="37" spans="1:29" s="1214"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8"/>
      <c r="M37" s="2119"/>
      <c r="N37" s="2119"/>
      <c r="O37" s="2120"/>
      <c r="P37" s="3447"/>
      <c r="Q37" s="1145" t="str">
        <f t="shared" si="11"/>
        <v>成新度</v>
      </c>
      <c r="R37" s="1552" t="s">
        <v>11</v>
      </c>
      <c r="S37" s="1553">
        <f t="shared" si="12"/>
        <v>100</v>
      </c>
      <c r="T37" s="1552" t="s">
        <v>11</v>
      </c>
      <c r="U37" s="1553">
        <f t="shared" si="13"/>
        <v>100</v>
      </c>
      <c r="V37" s="1552" t="s">
        <v>11</v>
      </c>
      <c r="W37" s="1553">
        <f t="shared" si="14"/>
        <v>100</v>
      </c>
      <c r="X37" s="1554"/>
      <c r="Y37" s="3447"/>
      <c r="Z37" s="1144" t="str">
        <f t="shared" si="15"/>
        <v>成新度</v>
      </c>
      <c r="AA37" s="1555">
        <f t="shared" si="3"/>
        <v>1</v>
      </c>
      <c r="AB37" s="1555">
        <f t="shared" si="4"/>
        <v>1</v>
      </c>
      <c r="AC37" s="1555">
        <f t="shared" si="5"/>
        <v>1</v>
      </c>
    </row>
    <row r="38" spans="1:29" ht="15">
      <c r="A38" s="592"/>
      <c r="B38" s="525" t="s">
        <v>731</v>
      </c>
      <c r="C38" s="597" t="s">
        <v>3138</v>
      </c>
      <c r="D38" s="538">
        <v>100</v>
      </c>
      <c r="E38" s="597" t="s">
        <v>3138</v>
      </c>
      <c r="F38" s="573">
        <f>SUMIF(114:114,E38,115:115)-SUMIF(114:114,C38,115:115)+100</f>
        <v>100</v>
      </c>
      <c r="G38" s="597" t="s">
        <v>3138</v>
      </c>
      <c r="H38" s="538">
        <f>SUMIF(114:114,G38,115:115)-SUMIF(114:114,C38,115:115)+100</f>
        <v>100</v>
      </c>
      <c r="I38" s="597" t="s">
        <v>3138</v>
      </c>
      <c r="J38" s="538">
        <f>SUMIF(114:114,I38,115:115)-SUMIF(114:114,C38,115:115)+100</f>
        <v>100</v>
      </c>
      <c r="K38" s="862"/>
      <c r="L38" s="2125"/>
      <c r="M38" s="2117"/>
      <c r="N38" s="2117"/>
      <c r="O38" s="2124"/>
      <c r="P38" s="3447" t="s">
        <v>550</v>
      </c>
      <c r="Q38" s="1556" t="str">
        <f t="shared" si="11"/>
        <v>物业管理</v>
      </c>
      <c r="R38" s="1557" t="s">
        <v>11</v>
      </c>
      <c r="S38" s="1558">
        <f t="shared" si="12"/>
        <v>100</v>
      </c>
      <c r="T38" s="1557" t="s">
        <v>11</v>
      </c>
      <c r="U38" s="1558">
        <f t="shared" si="13"/>
        <v>100</v>
      </c>
      <c r="V38" s="1557" t="s">
        <v>11</v>
      </c>
      <c r="W38" s="1558">
        <f t="shared" si="14"/>
        <v>100</v>
      </c>
      <c r="X38" s="1551"/>
      <c r="Y38" s="3447" t="s">
        <v>550</v>
      </c>
      <c r="Z38" s="1559" t="str">
        <f t="shared" si="15"/>
        <v>物业管理</v>
      </c>
      <c r="AA38" s="1560">
        <f t="shared" si="3"/>
        <v>1</v>
      </c>
      <c r="AB38" s="1560">
        <f t="shared" si="4"/>
        <v>1</v>
      </c>
      <c r="AC38" s="1560">
        <f t="shared" si="5"/>
        <v>1</v>
      </c>
    </row>
    <row r="39" spans="1:29" ht="15">
      <c r="A39" s="592"/>
      <c r="B39" s="1878" t="s">
        <v>2563</v>
      </c>
      <c r="C39" s="597" t="s">
        <v>3091</v>
      </c>
      <c r="D39" s="538">
        <v>100</v>
      </c>
      <c r="E39" s="872" t="s">
        <v>3091</v>
      </c>
      <c r="F39" s="573">
        <f>SUMIF(116:116,E39,117:117)-SUMIF(116:116,C39,117:117)+100</f>
        <v>100</v>
      </c>
      <c r="G39" s="872" t="s">
        <v>3091</v>
      </c>
      <c r="H39" s="538">
        <f>SUMIF(116:116,G39,117:117)-SUMIF(116:116,C39,117:117)+100</f>
        <v>100</v>
      </c>
      <c r="I39" s="872" t="s">
        <v>3091</v>
      </c>
      <c r="J39" s="538">
        <f>SUMIF(116:116,I39,117:117)-SUMIF(116:116,C39,117:117)+100</f>
        <v>100</v>
      </c>
      <c r="K39" s="862">
        <v>1</v>
      </c>
      <c r="L39" s="2125"/>
      <c r="M39" s="2117"/>
      <c r="N39" s="2117"/>
      <c r="O39" s="2124"/>
      <c r="P39" s="3447"/>
      <c r="Q39" s="1556" t="str">
        <f t="shared" si="11"/>
        <v>市政基础设施</v>
      </c>
      <c r="R39" s="1557" t="s">
        <v>11</v>
      </c>
      <c r="S39" s="1558">
        <f t="shared" si="12"/>
        <v>100</v>
      </c>
      <c r="T39" s="1557" t="s">
        <v>11</v>
      </c>
      <c r="U39" s="1558">
        <f t="shared" si="13"/>
        <v>100</v>
      </c>
      <c r="V39" s="1557" t="s">
        <v>11</v>
      </c>
      <c r="W39" s="1558">
        <f t="shared" si="14"/>
        <v>100</v>
      </c>
      <c r="X39" s="1551"/>
      <c r="Y39" s="3447"/>
      <c r="Z39" s="1559" t="str">
        <f t="shared" si="15"/>
        <v>市政基础设施</v>
      </c>
      <c r="AA39" s="1560">
        <f t="shared" si="3"/>
        <v>1</v>
      </c>
      <c r="AB39" s="1560">
        <f t="shared" si="4"/>
        <v>1</v>
      </c>
      <c r="AC39" s="1560">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5"/>
      <c r="M40" s="2117"/>
      <c r="N40" s="2117"/>
      <c r="O40" s="2124"/>
      <c r="P40" s="3447"/>
      <c r="Q40" s="1556" t="str">
        <f t="shared" si="11"/>
        <v>房型</v>
      </c>
      <c r="R40" s="1557" t="s">
        <v>11</v>
      </c>
      <c r="S40" s="1558">
        <f t="shared" si="12"/>
        <v>100</v>
      </c>
      <c r="T40" s="1557" t="s">
        <v>11</v>
      </c>
      <c r="U40" s="1558">
        <f t="shared" si="13"/>
        <v>100</v>
      </c>
      <c r="V40" s="1557" t="s">
        <v>11</v>
      </c>
      <c r="W40" s="1558">
        <f t="shared" si="14"/>
        <v>100</v>
      </c>
      <c r="X40" s="1551"/>
      <c r="Y40" s="3447"/>
      <c r="Z40" s="1559" t="str">
        <f t="shared" si="15"/>
        <v>房型</v>
      </c>
      <c r="AA40" s="1560">
        <f t="shared" si="3"/>
        <v>1</v>
      </c>
      <c r="AB40" s="1560">
        <f t="shared" si="4"/>
        <v>1</v>
      </c>
      <c r="AC40" s="1560">
        <f t="shared" si="5"/>
        <v>1</v>
      </c>
    </row>
    <row r="41" spans="1:29" s="1333"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3"/>
      <c r="M41" s="2154"/>
      <c r="N41" s="2154"/>
      <c r="O41" s="2126"/>
      <c r="P41" s="3447"/>
      <c r="Q41" s="1588" t="str">
        <f t="shared" si="11"/>
        <v>单套/主力户型建筑面积</v>
      </c>
      <c r="R41" s="1561" t="s">
        <v>11</v>
      </c>
      <c r="S41" s="1562">
        <f t="shared" si="12"/>
        <v>100</v>
      </c>
      <c r="T41" s="1561" t="s">
        <v>11</v>
      </c>
      <c r="U41" s="1562">
        <f t="shared" si="13"/>
        <v>100</v>
      </c>
      <c r="V41" s="1561" t="s">
        <v>11</v>
      </c>
      <c r="W41" s="1562">
        <f t="shared" si="14"/>
        <v>100</v>
      </c>
      <c r="X41" s="1563"/>
      <c r="Y41" s="3447"/>
      <c r="Z41" s="1564" t="str">
        <f t="shared" si="15"/>
        <v>单套/主力户型建筑面积</v>
      </c>
      <c r="AA41" s="1560">
        <f t="shared" si="3"/>
        <v>1</v>
      </c>
      <c r="AB41" s="1560">
        <f t="shared" si="4"/>
        <v>1</v>
      </c>
      <c r="AC41" s="1560">
        <f t="shared" si="5"/>
        <v>1</v>
      </c>
    </row>
    <row r="42" spans="1:29" ht="15">
      <c r="A42" s="592"/>
      <c r="B42" s="525" t="s">
        <v>734</v>
      </c>
      <c r="C42" s="597" t="s">
        <v>3171</v>
      </c>
      <c r="D42" s="538">
        <v>100</v>
      </c>
      <c r="E42" s="597" t="s">
        <v>3171</v>
      </c>
      <c r="F42" s="573">
        <f>SUMIF(122:122,E42,123:123)-SUMIF(122:122,C42,123:123)+100</f>
        <v>100</v>
      </c>
      <c r="G42" s="597" t="s">
        <v>3175</v>
      </c>
      <c r="H42" s="538">
        <f>SUMIF(122:122,G42,123:123)-SUMIF(122:122,C42,123:123)+100</f>
        <v>94</v>
      </c>
      <c r="I42" s="597" t="s">
        <v>3171</v>
      </c>
      <c r="J42" s="538">
        <f>SUMIF(122:122,I42,123:123)-SUMIF(122:122,C42,123:123)+100</f>
        <v>100</v>
      </c>
      <c r="K42" s="862">
        <v>2</v>
      </c>
      <c r="L42" s="2125"/>
      <c r="M42" s="2117"/>
      <c r="N42" s="2117"/>
      <c r="O42" s="2124"/>
      <c r="P42" s="3447"/>
      <c r="Q42" s="1556" t="str">
        <f t="shared" si="11"/>
        <v>内部装修</v>
      </c>
      <c r="R42" s="1557" t="s">
        <v>11</v>
      </c>
      <c r="S42" s="1558">
        <f t="shared" si="12"/>
        <v>100</v>
      </c>
      <c r="T42" s="1557" t="s">
        <v>11</v>
      </c>
      <c r="U42" s="1558">
        <f t="shared" si="13"/>
        <v>94</v>
      </c>
      <c r="V42" s="1557" t="s">
        <v>11</v>
      </c>
      <c r="W42" s="1558">
        <f t="shared" si="14"/>
        <v>100</v>
      </c>
      <c r="X42" s="1551"/>
      <c r="Y42" s="3447"/>
      <c r="Z42" s="1559" t="str">
        <f t="shared" si="15"/>
        <v>内部装修</v>
      </c>
      <c r="AA42" s="1560">
        <f t="shared" si="3"/>
        <v>1</v>
      </c>
      <c r="AB42" s="1560">
        <f t="shared" si="4"/>
        <v>1.0638297872340425</v>
      </c>
      <c r="AC42" s="1560">
        <f t="shared" si="5"/>
        <v>1</v>
      </c>
    </row>
    <row r="43" spans="1:29" ht="27.75" thickBot="1">
      <c r="A43" s="592"/>
      <c r="B43" s="525" t="s">
        <v>735</v>
      </c>
      <c r="C43" s="597" t="s">
        <v>3087</v>
      </c>
      <c r="D43" s="538">
        <v>100</v>
      </c>
      <c r="E43" s="597" t="s">
        <v>3087</v>
      </c>
      <c r="F43" s="573">
        <f>SUMIF(124:124,E43,125:125)-SUMIF(124:124,C43,125:125)+100</f>
        <v>100</v>
      </c>
      <c r="G43" s="597" t="s">
        <v>3087</v>
      </c>
      <c r="H43" s="538">
        <f>SUMIF(124:124,G43,125:125)-SUMIF(124:124,C43,125:125)+100</f>
        <v>100</v>
      </c>
      <c r="I43" s="597" t="s">
        <v>3087</v>
      </c>
      <c r="J43" s="538">
        <f>SUMIF(124:124,I43,125:125)-SUMIF(124:124,C43,125:125)+100</f>
        <v>100</v>
      </c>
      <c r="K43" s="862"/>
      <c r="L43" s="2125"/>
      <c r="M43" s="2117"/>
      <c r="N43" s="2117"/>
      <c r="O43" s="2124"/>
      <c r="P43" s="3447"/>
      <c r="Q43" s="1556" t="str">
        <f t="shared" si="11"/>
        <v>内部装修维护情况</v>
      </c>
      <c r="R43" s="1557" t="s">
        <v>11</v>
      </c>
      <c r="S43" s="1558">
        <f t="shared" si="12"/>
        <v>100</v>
      </c>
      <c r="T43" s="1557" t="s">
        <v>11</v>
      </c>
      <c r="U43" s="1558">
        <f t="shared" si="13"/>
        <v>100</v>
      </c>
      <c r="V43" s="1557" t="s">
        <v>11</v>
      </c>
      <c r="W43" s="1558">
        <f t="shared" si="14"/>
        <v>100</v>
      </c>
      <c r="X43" s="1551"/>
      <c r="Y43" s="3447"/>
      <c r="Z43" s="1559" t="str">
        <f t="shared" si="15"/>
        <v>内部装修维护情况</v>
      </c>
      <c r="AA43" s="1560">
        <f t="shared" si="3"/>
        <v>1</v>
      </c>
      <c r="AB43" s="1560">
        <f t="shared" si="4"/>
        <v>1</v>
      </c>
      <c r="AC43" s="1560">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8"/>
      <c r="M44" s="2119"/>
      <c r="N44" s="2119"/>
      <c r="O44" s="2120"/>
      <c r="P44" s="3447"/>
      <c r="Q44" s="1145">
        <f t="shared" si="11"/>
        <v>111</v>
      </c>
      <c r="R44" s="1552" t="s">
        <v>11</v>
      </c>
      <c r="S44" s="1553">
        <f t="shared" si="12"/>
        <v>100</v>
      </c>
      <c r="T44" s="1552" t="s">
        <v>11</v>
      </c>
      <c r="U44" s="1553">
        <f t="shared" si="13"/>
        <v>100</v>
      </c>
      <c r="V44" s="1552" t="s">
        <v>11</v>
      </c>
      <c r="W44" s="1553">
        <f t="shared" si="14"/>
        <v>100</v>
      </c>
      <c r="X44" s="1554"/>
      <c r="Y44" s="3447"/>
      <c r="Z44" s="1144">
        <f t="shared" si="15"/>
        <v>111</v>
      </c>
      <c r="AA44" s="1555">
        <f t="shared" si="3"/>
        <v>1</v>
      </c>
      <c r="AB44" s="1555">
        <f t="shared" si="4"/>
        <v>1</v>
      </c>
      <c r="AC44" s="1555">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47"/>
      <c r="Q45" s="1556">
        <f t="shared" si="11"/>
        <v>111</v>
      </c>
      <c r="R45" s="1557" t="s">
        <v>11</v>
      </c>
      <c r="S45" s="1558">
        <f t="shared" si="12"/>
        <v>100</v>
      </c>
      <c r="T45" s="1557" t="s">
        <v>11</v>
      </c>
      <c r="U45" s="1558">
        <f t="shared" si="13"/>
        <v>100</v>
      </c>
      <c r="V45" s="1557" t="s">
        <v>11</v>
      </c>
      <c r="W45" s="1558">
        <f t="shared" si="14"/>
        <v>100</v>
      </c>
      <c r="X45" s="1551"/>
      <c r="Y45" s="3447"/>
      <c r="Z45" s="1559">
        <f t="shared" si="15"/>
        <v>111</v>
      </c>
      <c r="AA45" s="1560">
        <f t="shared" si="3"/>
        <v>1</v>
      </c>
      <c r="AB45" s="1560">
        <f t="shared" si="4"/>
        <v>1</v>
      </c>
      <c r="AC45" s="156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529"/>
      <c r="Q46" s="1556">
        <f t="shared" si="11"/>
        <v>111</v>
      </c>
      <c r="R46" s="1557" t="s">
        <v>10</v>
      </c>
      <c r="S46" s="1558">
        <f t="shared" si="12"/>
        <v>100</v>
      </c>
      <c r="T46" s="1557" t="s">
        <v>10</v>
      </c>
      <c r="U46" s="1558">
        <f t="shared" si="13"/>
        <v>100</v>
      </c>
      <c r="V46" s="1557" t="s">
        <v>10</v>
      </c>
      <c r="W46" s="1558">
        <f t="shared" si="14"/>
        <v>100</v>
      </c>
      <c r="X46" s="1551"/>
      <c r="Y46" s="3529"/>
      <c r="Z46" s="1559">
        <f t="shared" si="15"/>
        <v>111</v>
      </c>
      <c r="AA46" s="1560">
        <f t="shared" si="3"/>
        <v>1</v>
      </c>
      <c r="AB46" s="1560">
        <f t="shared" si="4"/>
        <v>1</v>
      </c>
      <c r="AC46" s="1560">
        <f t="shared" si="5"/>
        <v>1</v>
      </c>
    </row>
    <row r="47" spans="1:29" ht="15">
      <c r="A47" s="605" t="s">
        <v>736</v>
      </c>
      <c r="B47" s="885"/>
      <c r="C47" s="2589" t="s">
        <v>9</v>
      </c>
      <c r="D47" s="2590"/>
      <c r="E47" s="2591">
        <v>42370</v>
      </c>
      <c r="F47" s="2592"/>
      <c r="G47" s="2593">
        <v>39417</v>
      </c>
      <c r="H47" s="2594"/>
      <c r="I47" s="2591">
        <v>41414</v>
      </c>
      <c r="J47" s="2594"/>
      <c r="K47" s="1589"/>
      <c r="L47" s="2127"/>
      <c r="M47" s="2128"/>
      <c r="N47" s="2117"/>
      <c r="O47" s="2128"/>
      <c r="P47" s="3409" t="str">
        <f>A47</f>
        <v>成交单价（元/平方米）</v>
      </c>
      <c r="Q47" s="3409"/>
      <c r="R47" s="3528">
        <f>E47</f>
        <v>42370</v>
      </c>
      <c r="S47" s="3528"/>
      <c r="T47" s="3528">
        <f>G47</f>
        <v>39417</v>
      </c>
      <c r="U47" s="3528"/>
      <c r="V47" s="3528">
        <f>I47</f>
        <v>41414</v>
      </c>
      <c r="W47" s="3528"/>
      <c r="X47" s="1543"/>
      <c r="Y47" s="1565"/>
      <c r="Z47" s="1543"/>
      <c r="AA47" s="1543"/>
      <c r="AB47" s="1543"/>
      <c r="AC47" s="1543"/>
    </row>
    <row r="48" spans="1:29" ht="15.75" thickBot="1">
      <c r="A48" s="613" t="s">
        <v>2758</v>
      </c>
      <c r="B48" s="886"/>
      <c r="C48" s="2595">
        <f>R49</f>
        <v>34265</v>
      </c>
      <c r="D48" s="2596"/>
      <c r="E48" s="2597">
        <f>R48</f>
        <v>33507</v>
      </c>
      <c r="F48" s="2597"/>
      <c r="G48" s="2595">
        <f>T48</f>
        <v>35869</v>
      </c>
      <c r="H48" s="2596"/>
      <c r="I48" s="2597">
        <f>V48</f>
        <v>33420</v>
      </c>
      <c r="J48" s="2596"/>
      <c r="K48" s="1590"/>
      <c r="L48" s="2127"/>
      <c r="M48" s="2128"/>
      <c r="N48" s="2128"/>
      <c r="O48" s="2128"/>
      <c r="P48" s="3409" t="str">
        <f>A48</f>
        <v>比较价格（元/平方米）</v>
      </c>
      <c r="Q48" s="3409"/>
      <c r="R48" s="3528">
        <f>IF(F1="售价",ROUND(PRODUCT(R47,AA7:AA46),0),ROUND(PRODUCT(R47,AA7:AA46),1))</f>
        <v>33507</v>
      </c>
      <c r="S48" s="3528"/>
      <c r="T48" s="3528">
        <f>IF(F1="售价",ROUND(PRODUCT(T47,AB7:AB46),0),ROUND(PRODUCT(T47,AB7:AB46),1))</f>
        <v>35869</v>
      </c>
      <c r="U48" s="3528"/>
      <c r="V48" s="3528">
        <f>IF(F1="售价",ROUND(PRODUCT(V47,AC7:AC46),0),ROUND(PRODUCT(V47,AC7:AC46),1))</f>
        <v>33420</v>
      </c>
      <c r="W48" s="3528"/>
      <c r="X48" s="1543"/>
      <c r="Y48" s="1543"/>
      <c r="Z48" s="1543"/>
      <c r="AA48" s="1543"/>
      <c r="AB48" s="1543"/>
      <c r="AC48" s="1543"/>
    </row>
    <row r="49" spans="1:29" ht="15.75" thickBot="1">
      <c r="A49" s="619" t="s">
        <v>2927</v>
      </c>
      <c r="B49" s="620"/>
      <c r="C49" s="2598">
        <f>R49</f>
        <v>34265</v>
      </c>
      <c r="D49" s="2598"/>
      <c r="E49" s="2598"/>
      <c r="F49" s="2598"/>
      <c r="G49" s="2598"/>
      <c r="H49" s="2598"/>
      <c r="I49" s="2598"/>
      <c r="J49" s="2598"/>
      <c r="K49" s="1591"/>
      <c r="L49" s="2127"/>
      <c r="M49" s="2128"/>
      <c r="N49" s="2128"/>
      <c r="O49" s="2128"/>
      <c r="P49" s="3406" t="str">
        <f>A49</f>
        <v>估价对象XX用房的比较价格（楼面单价，元/平方米）</v>
      </c>
      <c r="Q49" s="3407"/>
      <c r="R49" s="3527">
        <f>IF(F1="售价",ROUND(AVERAGE(R48:V48),0),ROUND(AVERAGE(R48:V48),1))</f>
        <v>34265</v>
      </c>
      <c r="S49" s="3527"/>
      <c r="T49" s="3527"/>
      <c r="U49" s="3527"/>
      <c r="V49" s="3527"/>
      <c r="W49" s="352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f>IF(E47&lt;E48,E48/E47-1,E47/E48-1)</f>
        <v>0.26451189303727585</v>
      </c>
      <c r="F52" s="625" t="str">
        <f>IF(OR(E52&gt;=0.3,E52&lt;=-0.3),"超过30%","")</f>
        <v/>
      </c>
      <c r="G52" s="624">
        <f>IF(G47&lt;G48,G48/G47-1,G47/G48-1)</f>
        <v>9.8915498062393636E-2</v>
      </c>
      <c r="H52" s="625" t="str">
        <f>IF(OR(G52&gt;=0.3,G52&lt;=-0.3),"超过30%","")</f>
        <v/>
      </c>
      <c r="I52" s="624">
        <f>IF(I47&lt;I48,I48/I47-1,I47/I48-1)</f>
        <v>0.23919808497905448</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f>IF(E48&lt;G48,G48/E48-1,E48/G48-1)</f>
        <v>7.0492732861790142E-2</v>
      </c>
      <c r="F53" s="625" t="str">
        <f>IF(OR(E53&gt;=0.2,E53&lt;=-0.2),"超过20%","")</f>
        <v/>
      </c>
      <c r="G53" s="624">
        <f>IF(G48&lt;I48,I48/G48-1,G48/I48-1)</f>
        <v>7.32794733692399E-2</v>
      </c>
      <c r="H53" s="625" t="str">
        <f>IF(OR(G53&gt;=0.2,G53&lt;=-0.2),"超过20%","")</f>
        <v/>
      </c>
      <c r="I53" s="624">
        <f>IF(I48&lt;E48,E48/I48-1,I48/E48-1)</f>
        <v>2.603231597845701E-3</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f>IF(E47&lt;G47,G47/E47-1,E47/G47-1)</f>
        <v>7.4916914021868841E-2</v>
      </c>
      <c r="F54" s="625" t="str">
        <f>IF(OR(E54&gt;=0.3,E54&lt;=-0.3),"超过30%","")</f>
        <v/>
      </c>
      <c r="G54" s="624">
        <f>IF(G47&lt;I47,I47/G47-1,G47/I47-1)</f>
        <v>5.066341933683427E-2</v>
      </c>
      <c r="H54" s="625" t="str">
        <f>IF(OR(G54&gt;=0.3,G54&lt;=-0.3),"超过30%","")</f>
        <v/>
      </c>
      <c r="I54" s="624">
        <f>IF(I47&lt;E47,E47/I47-1,I47/E47-1)</f>
        <v>2.3083981262375097E-2</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7" t="str">
        <f>YEAR(C7)&amp;"-"&amp;MONTH(C7)</f>
        <v>2019-12</v>
      </c>
      <c r="D58" s="2757">
        <f>EDATE(C58,-1)</f>
        <v>43770</v>
      </c>
      <c r="E58" s="2757">
        <f t="shared" ref="E58:O58" si="16">EDATE(D58,-1)</f>
        <v>43739</v>
      </c>
      <c r="F58" s="2757">
        <f t="shared" si="16"/>
        <v>43709</v>
      </c>
      <c r="G58" s="2757">
        <f t="shared" si="16"/>
        <v>43678</v>
      </c>
      <c r="H58" s="2757">
        <f t="shared" si="16"/>
        <v>43647</v>
      </c>
      <c r="I58" s="2757">
        <f t="shared" si="16"/>
        <v>43617</v>
      </c>
      <c r="J58" s="2757">
        <f t="shared" si="16"/>
        <v>43586</v>
      </c>
      <c r="K58" s="2757">
        <f t="shared" si="16"/>
        <v>43556</v>
      </c>
      <c r="L58" s="2757">
        <f t="shared" si="16"/>
        <v>43525</v>
      </c>
      <c r="M58" s="2757">
        <f t="shared" si="16"/>
        <v>43497</v>
      </c>
      <c r="N58" s="2757">
        <f t="shared" si="16"/>
        <v>43466</v>
      </c>
      <c r="O58" s="2757">
        <f t="shared" si="16"/>
        <v>43435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v>100</v>
      </c>
      <c r="E59" s="648">
        <v>101</v>
      </c>
      <c r="F59" s="648"/>
      <c r="G59" s="648"/>
      <c r="H59" s="648"/>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577</v>
      </c>
      <c r="B63" s="663" t="s">
        <v>534</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v>
      </c>
      <c r="I67" s="680" t="str">
        <f t="shared" si="18"/>
        <v>（含）-</v>
      </c>
      <c r="J67" s="680" t="str">
        <f t="shared" si="18"/>
        <v>（含）-</v>
      </c>
      <c r="K67" s="680" t="str">
        <f t="shared" si="18"/>
        <v>（含）-</v>
      </c>
      <c r="L67" s="680" t="str">
        <f t="shared" si="18"/>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0.5</v>
      </c>
      <c r="E68" s="539">
        <v>1</v>
      </c>
      <c r="F68" s="539">
        <v>1.5</v>
      </c>
      <c r="G68" s="539">
        <v>2</v>
      </c>
      <c r="H68" s="539">
        <v>2.5</v>
      </c>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95</v>
      </c>
      <c r="E77" s="677">
        <f>D77-$K15</f>
        <v>90</v>
      </c>
      <c r="F77" s="677">
        <f>E77-$K15</f>
        <v>85</v>
      </c>
      <c r="G77" s="677">
        <f>F77-$K15</f>
        <v>80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95</v>
      </c>
      <c r="E81" s="677">
        <f>D81-$K19</f>
        <v>90</v>
      </c>
      <c r="F81" s="677">
        <f>E81-$K19</f>
        <v>85</v>
      </c>
      <c r="G81" s="677">
        <f>F81-$K19</f>
        <v>80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98</v>
      </c>
      <c r="E83" s="677">
        <f>D83-$K21</f>
        <v>96</v>
      </c>
      <c r="F83" s="677">
        <f>E83-$K21</f>
        <v>94</v>
      </c>
      <c r="G83" s="677">
        <f>F83-$K21</f>
        <v>92</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98</v>
      </c>
      <c r="E85" s="677">
        <f>D85-$K23</f>
        <v>96</v>
      </c>
      <c r="F85" s="677">
        <f>E85-$K23</f>
        <v>94</v>
      </c>
      <c r="G85" s="677">
        <f>F85-$K23</f>
        <v>92</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1879" t="s">
        <v>2256</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
        <v>746</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道路级别</v>
      </c>
      <c r="C90" s="3179" t="s">
        <v>3096</v>
      </c>
      <c r="D90" s="3179" t="s">
        <v>3097</v>
      </c>
      <c r="E90" s="3179" t="s">
        <v>3098</v>
      </c>
      <c r="F90" s="3179" t="s">
        <v>3100</v>
      </c>
      <c r="G90" s="3179" t="s">
        <v>3102</v>
      </c>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690">
        <v>100</v>
      </c>
      <c r="D91" s="690">
        <f>C91-2</f>
        <v>98</v>
      </c>
      <c r="E91" s="690">
        <f t="shared" ref="E91:F91" si="22">D91-2</f>
        <v>96</v>
      </c>
      <c r="F91" s="690">
        <f t="shared" si="22"/>
        <v>94</v>
      </c>
      <c r="G91" s="690">
        <f>F91-2</f>
        <v>92</v>
      </c>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747</v>
      </c>
      <c r="C100" s="3177" t="s">
        <v>3160</v>
      </c>
      <c r="D100" s="3177" t="s">
        <v>3162</v>
      </c>
      <c r="E100" s="3177" t="s">
        <v>3164</v>
      </c>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3">C101-$K32</f>
        <v>94</v>
      </c>
      <c r="E101" s="677">
        <f t="shared" si="23"/>
        <v>88</v>
      </c>
      <c r="F101" s="677">
        <f t="shared" si="23"/>
        <v>82</v>
      </c>
      <c r="G101" s="677">
        <f t="shared" si="23"/>
        <v>76</v>
      </c>
      <c r="H101" s="677">
        <f t="shared" si="23"/>
        <v>70</v>
      </c>
      <c r="I101" s="677">
        <f t="shared" si="23"/>
        <v>64</v>
      </c>
      <c r="J101" s="677">
        <f t="shared" si="23"/>
        <v>58</v>
      </c>
      <c r="K101" s="677">
        <f t="shared" si="23"/>
        <v>52</v>
      </c>
      <c r="L101" s="677">
        <f t="shared" si="23"/>
        <v>46</v>
      </c>
      <c r="M101" s="677">
        <f t="shared" si="23"/>
        <v>40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748</v>
      </c>
      <c r="C102" s="706" t="str">
        <f>C103&amp;"(含)"&amp;"-"&amp;D103</f>
        <v>0(含)-150000</v>
      </c>
      <c r="D102" s="706" t="str">
        <f t="shared" ref="D102:L102" si="24">D103&amp;"(含)"&amp;"-"&amp;E103</f>
        <v>150000(含)-500000</v>
      </c>
      <c r="E102" s="706" t="str">
        <f t="shared" si="24"/>
        <v>500000(含)-1000000</v>
      </c>
      <c r="F102" s="706" t="str">
        <f t="shared" si="24"/>
        <v>1000000(含)-1500000</v>
      </c>
      <c r="G102" s="706" t="str">
        <f t="shared" si="24"/>
        <v>1500000(含)-</v>
      </c>
      <c r="H102" s="706" t="str">
        <f t="shared" si="24"/>
        <v>(含)-</v>
      </c>
      <c r="I102" s="706" t="str">
        <f t="shared" si="24"/>
        <v>(含)-</v>
      </c>
      <c r="J102" s="706" t="str">
        <f t="shared" si="24"/>
        <v>(含)-</v>
      </c>
      <c r="K102" s="706" t="str">
        <f t="shared" si="24"/>
        <v>(含)-</v>
      </c>
      <c r="L102" s="706" t="str">
        <f t="shared" si="24"/>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v>0</v>
      </c>
      <c r="D103" s="728">
        <v>150000</v>
      </c>
      <c r="E103" s="728">
        <v>500000</v>
      </c>
      <c r="F103" s="728">
        <v>1000000</v>
      </c>
      <c r="G103" s="728">
        <v>1500000</v>
      </c>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v>98</v>
      </c>
      <c r="D104" s="669">
        <v>100</v>
      </c>
      <c r="E104" s="669">
        <v>98</v>
      </c>
      <c r="F104" s="669">
        <v>96</v>
      </c>
      <c r="G104" s="669"/>
      <c r="H104" s="669"/>
      <c r="I104" s="669"/>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3179" t="s">
        <v>3184</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5">C106-$K34</f>
        <v>100</v>
      </c>
      <c r="E106" s="677">
        <f t="shared" si="25"/>
        <v>100</v>
      </c>
      <c r="F106" s="677">
        <f t="shared" si="25"/>
        <v>100</v>
      </c>
      <c r="G106" s="677">
        <f t="shared" si="25"/>
        <v>100</v>
      </c>
      <c r="H106" s="677">
        <f t="shared" si="25"/>
        <v>100</v>
      </c>
      <c r="I106" s="677">
        <f t="shared" si="25"/>
        <v>100</v>
      </c>
      <c r="J106" s="677">
        <f t="shared" si="25"/>
        <v>100</v>
      </c>
      <c r="K106" s="677">
        <f t="shared" si="25"/>
        <v>100</v>
      </c>
      <c r="L106" s="677">
        <f t="shared" si="25"/>
        <v>100</v>
      </c>
      <c r="M106" s="677">
        <f t="shared" si="25"/>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750</v>
      </c>
      <c r="C107" s="716"/>
      <c r="D107" s="716"/>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6">C108-$K35</f>
        <v>100</v>
      </c>
      <c r="E108" s="677">
        <f t="shared" si="26"/>
        <v>100</v>
      </c>
      <c r="F108" s="677">
        <f t="shared" si="26"/>
        <v>100</v>
      </c>
      <c r="G108" s="677">
        <f t="shared" si="26"/>
        <v>100</v>
      </c>
      <c r="H108" s="677">
        <f t="shared" si="26"/>
        <v>100</v>
      </c>
      <c r="I108" s="677">
        <f t="shared" si="26"/>
        <v>100</v>
      </c>
      <c r="J108" s="677">
        <f t="shared" si="26"/>
        <v>100</v>
      </c>
      <c r="K108" s="677">
        <f t="shared" si="26"/>
        <v>100</v>
      </c>
      <c r="L108" s="677">
        <f t="shared" si="26"/>
        <v>100</v>
      </c>
      <c r="M108" s="677">
        <f t="shared" si="26"/>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751</v>
      </c>
      <c r="C109" s="3179" t="s">
        <v>3172</v>
      </c>
      <c r="D109" s="3179" t="s">
        <v>3173</v>
      </c>
      <c r="E109" s="3179" t="s">
        <v>3174</v>
      </c>
      <c r="F109" s="3180" t="s">
        <v>3176</v>
      </c>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7">C110-$K36</f>
        <v>100</v>
      </c>
      <c r="E110" s="677">
        <f t="shared" si="27"/>
        <v>100</v>
      </c>
      <c r="F110" s="677">
        <f t="shared" si="27"/>
        <v>100</v>
      </c>
      <c r="G110" s="677">
        <f t="shared" si="27"/>
        <v>100</v>
      </c>
      <c r="H110" s="677">
        <f t="shared" si="27"/>
        <v>100</v>
      </c>
      <c r="I110" s="677">
        <f t="shared" si="27"/>
        <v>100</v>
      </c>
      <c r="J110" s="677">
        <f t="shared" si="27"/>
        <v>100</v>
      </c>
      <c r="K110" s="677">
        <f t="shared" si="27"/>
        <v>100</v>
      </c>
      <c r="L110" s="677">
        <f t="shared" si="27"/>
        <v>100</v>
      </c>
      <c r="M110" s="677">
        <f t="shared" si="27"/>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6"/>
      <c r="B112" s="679"/>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753</v>
      </c>
      <c r="C114" s="3179" t="s">
        <v>3177</v>
      </c>
      <c r="D114" s="3179" t="s">
        <v>3178</v>
      </c>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8">C115-$K38</f>
        <v>100</v>
      </c>
      <c r="E115" s="677">
        <f t="shared" si="28"/>
        <v>100</v>
      </c>
      <c r="F115" s="677">
        <f t="shared" si="28"/>
        <v>100</v>
      </c>
      <c r="G115" s="677">
        <f t="shared" si="28"/>
        <v>100</v>
      </c>
      <c r="H115" s="677">
        <f t="shared" si="28"/>
        <v>100</v>
      </c>
      <c r="I115" s="677">
        <f t="shared" si="28"/>
        <v>100</v>
      </c>
      <c r="J115" s="677">
        <f t="shared" si="28"/>
        <v>100</v>
      </c>
      <c r="K115" s="677">
        <f t="shared" si="28"/>
        <v>100</v>
      </c>
      <c r="L115" s="677">
        <f t="shared" si="28"/>
        <v>100</v>
      </c>
      <c r="M115" s="677">
        <f t="shared" si="28"/>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2555</v>
      </c>
      <c r="C116" s="3179" t="s">
        <v>3179</v>
      </c>
      <c r="D116" s="3179" t="s">
        <v>3180</v>
      </c>
      <c r="E116" s="3179" t="s">
        <v>3181</v>
      </c>
      <c r="F116" s="3179" t="s">
        <v>3182</v>
      </c>
      <c r="G116" s="3179" t="s">
        <v>3183</v>
      </c>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754</v>
      </c>
      <c r="C118" s="716"/>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6"/>
      <c r="B120" s="671" t="s">
        <v>733</v>
      </c>
      <c r="C120" s="686"/>
      <c r="D120" s="686"/>
      <c r="E120" s="686"/>
      <c r="F120" s="686"/>
      <c r="G120" s="686"/>
      <c r="H120" s="686"/>
      <c r="I120" s="686"/>
      <c r="J120" s="686"/>
      <c r="K120" s="686"/>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3179" t="s">
        <v>3172</v>
      </c>
      <c r="D122" s="3179" t="s">
        <v>3173</v>
      </c>
      <c r="E122" s="3179" t="s">
        <v>3174</v>
      </c>
      <c r="F122" s="3180" t="s">
        <v>3176</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37" sqref="B37:I3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2"/>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519</v>
      </c>
      <c r="B3" s="508" t="e">
        <f>C49</f>
        <v>#DIV/0!</v>
      </c>
      <c r="C3" s="850" t="s">
        <v>722</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521</v>
      </c>
      <c r="B4" s="511"/>
      <c r="C4" s="3415" t="s">
        <v>522</v>
      </c>
      <c r="D4" s="3416"/>
      <c r="E4" s="3451" t="s">
        <v>523</v>
      </c>
      <c r="F4" s="3452"/>
      <c r="G4" s="3415" t="s">
        <v>524</v>
      </c>
      <c r="H4" s="3416"/>
      <c r="I4" s="3415" t="s">
        <v>525</v>
      </c>
      <c r="J4" s="3416"/>
      <c r="K4" s="512" t="s">
        <v>526</v>
      </c>
      <c r="L4" s="2116"/>
      <c r="M4" s="2117"/>
      <c r="N4" s="2117"/>
      <c r="O4" s="2117"/>
      <c r="P4" s="3417" t="s">
        <v>527</v>
      </c>
      <c r="Q4" s="3418"/>
      <c r="R4" s="3423" t="s">
        <v>523</v>
      </c>
      <c r="S4" s="3424"/>
      <c r="T4" s="3423" t="s">
        <v>524</v>
      </c>
      <c r="U4" s="3424"/>
      <c r="V4" s="3410" t="s">
        <v>525</v>
      </c>
      <c r="W4" s="3410"/>
      <c r="X4" s="1551"/>
      <c r="Y4" s="3423" t="s">
        <v>527</v>
      </c>
      <c r="Z4" s="3424"/>
      <c r="AA4" s="3412" t="s">
        <v>523</v>
      </c>
      <c r="AB4" s="3410" t="s">
        <v>524</v>
      </c>
      <c r="AC4" s="3412" t="s">
        <v>525</v>
      </c>
    </row>
    <row r="5" spans="1:29" ht="15">
      <c r="A5" s="513"/>
      <c r="B5" s="514"/>
      <c r="C5" s="3431" t="s">
        <v>2921</v>
      </c>
      <c r="D5" s="3432"/>
      <c r="E5" s="3453" t="s">
        <v>2922</v>
      </c>
      <c r="F5" s="3454"/>
      <c r="G5" s="3431" t="s">
        <v>2923</v>
      </c>
      <c r="H5" s="3432"/>
      <c r="I5" s="3431" t="s">
        <v>2924</v>
      </c>
      <c r="J5" s="3432"/>
      <c r="K5" s="512"/>
      <c r="L5" s="2116"/>
      <c r="M5" s="2117"/>
      <c r="N5" s="2117"/>
      <c r="O5" s="2117"/>
      <c r="P5" s="3419"/>
      <c r="Q5" s="3420"/>
      <c r="R5" s="3425"/>
      <c r="S5" s="3426"/>
      <c r="T5" s="3425"/>
      <c r="U5" s="3426"/>
      <c r="V5" s="3410"/>
      <c r="W5" s="3410"/>
      <c r="X5" s="1551"/>
      <c r="Y5" s="3425"/>
      <c r="Z5" s="3426"/>
      <c r="AA5" s="3413"/>
      <c r="AB5" s="3410"/>
      <c r="AC5" s="3413"/>
    </row>
    <row r="6" spans="1:29" ht="15.75" thickBot="1">
      <c r="A6" s="515"/>
      <c r="B6" s="516"/>
      <c r="C6" s="3448" t="s">
        <v>2925</v>
      </c>
      <c r="D6" s="3430"/>
      <c r="E6" s="3449" t="s">
        <v>2925</v>
      </c>
      <c r="F6" s="3450"/>
      <c r="G6" s="3448" t="s">
        <v>2925</v>
      </c>
      <c r="H6" s="3430"/>
      <c r="I6" s="3448" t="s">
        <v>2925</v>
      </c>
      <c r="J6" s="3430"/>
      <c r="K6" s="512" t="s">
        <v>528</v>
      </c>
      <c r="L6" s="2116"/>
      <c r="M6" s="2117"/>
      <c r="N6" s="2117"/>
      <c r="O6" s="2117"/>
      <c r="P6" s="3421"/>
      <c r="Q6" s="3422"/>
      <c r="R6" s="3425"/>
      <c r="S6" s="3426"/>
      <c r="T6" s="3427"/>
      <c r="U6" s="3428"/>
      <c r="V6" s="3410"/>
      <c r="W6" s="3410"/>
      <c r="X6" s="1551"/>
      <c r="Y6" s="3427"/>
      <c r="Z6" s="3428"/>
      <c r="AA6" s="3414"/>
      <c r="AB6" s="3410"/>
      <c r="AC6" s="3414"/>
    </row>
    <row r="7" spans="1:29" s="1214" customFormat="1" ht="15.75" thickBot="1">
      <c r="A7" s="2865"/>
      <c r="B7" s="2872" t="s">
        <v>529</v>
      </c>
      <c r="C7" s="517">
        <f>'数据-取费表'!B2</f>
        <v>43830</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41" t="s">
        <v>530</v>
      </c>
      <c r="Q7" s="3443"/>
      <c r="R7" s="1552" t="s">
        <v>8</v>
      </c>
      <c r="S7" s="1553">
        <f t="shared" ref="S7:S15" si="0">F7</f>
        <v>0</v>
      </c>
      <c r="T7" s="1552" t="s">
        <v>8</v>
      </c>
      <c r="U7" s="1553">
        <f t="shared" ref="U7:U15" si="1">H7</f>
        <v>0</v>
      </c>
      <c r="V7" s="1552" t="s">
        <v>8</v>
      </c>
      <c r="W7" s="1553">
        <f t="shared" ref="W7:W15"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46" si="3">D8/F8</f>
        <v>#DIV/0!</v>
      </c>
      <c r="AB8" s="1555" t="e">
        <f t="shared" ref="AB8:AB46" si="4">D8/H8</f>
        <v>#DIV/0!</v>
      </c>
      <c r="AC8" s="1555" t="e">
        <f t="shared" ref="AC8:AC46" si="5">D8/J8</f>
        <v>#DIV/0!</v>
      </c>
    </row>
    <row r="9" spans="1:29" s="1214" customFormat="1" ht="15">
      <c r="A9" s="2867"/>
      <c r="B9" s="2874" t="s">
        <v>2754</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409" t="s">
        <v>535</v>
      </c>
      <c r="Q9" s="1145" t="str">
        <f t="shared" ref="Q9:Q15" si="6">B9</f>
        <v>用途</v>
      </c>
      <c r="R9" s="1552" t="s">
        <v>8</v>
      </c>
      <c r="S9" s="1553">
        <f t="shared" si="0"/>
        <v>100</v>
      </c>
      <c r="T9" s="1552" t="s">
        <v>8</v>
      </c>
      <c r="U9" s="1553">
        <f t="shared" si="1"/>
        <v>100</v>
      </c>
      <c r="V9" s="1552" t="s">
        <v>8</v>
      </c>
      <c r="W9" s="1553">
        <f t="shared" si="2"/>
        <v>100</v>
      </c>
      <c r="X9" s="1554"/>
      <c r="Y9" s="3355" t="s">
        <v>536</v>
      </c>
      <c r="Z9" s="1144" t="str">
        <f t="shared" ref="Z9:Z15" si="7">Q9</f>
        <v>用途</v>
      </c>
      <c r="AA9" s="1555">
        <f t="shared" si="3"/>
        <v>1</v>
      </c>
      <c r="AB9" s="1555">
        <f t="shared" si="4"/>
        <v>1</v>
      </c>
      <c r="AC9" s="1555">
        <f t="shared" si="5"/>
        <v>1</v>
      </c>
    </row>
    <row r="10" spans="1:29" s="1332" customFormat="1" ht="27">
      <c r="A10" s="2868"/>
      <c r="B10" s="2873" t="s">
        <v>2755</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409"/>
      <c r="Q10" s="1145" t="str">
        <f t="shared" si="6"/>
        <v>土地使用年限（年）</v>
      </c>
      <c r="R10" s="1552" t="s">
        <v>8</v>
      </c>
      <c r="S10" s="1553">
        <f t="shared" si="0"/>
        <v>100</v>
      </c>
      <c r="T10" s="1552" t="s">
        <v>8</v>
      </c>
      <c r="U10" s="1553">
        <f t="shared" si="1"/>
        <v>100</v>
      </c>
      <c r="V10" s="1552" t="s">
        <v>8</v>
      </c>
      <c r="W10" s="1553">
        <f t="shared" si="2"/>
        <v>100</v>
      </c>
      <c r="X10" s="1554"/>
      <c r="Y10" s="3355"/>
      <c r="Z10" s="1144"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409"/>
      <c r="Q11" s="1145" t="str">
        <f t="shared" si="6"/>
        <v>容积率</v>
      </c>
      <c r="R11" s="1552" t="s">
        <v>8</v>
      </c>
      <c r="S11" s="1553" t="e">
        <f t="shared" si="0"/>
        <v>#N/A</v>
      </c>
      <c r="T11" s="1552" t="s">
        <v>8</v>
      </c>
      <c r="U11" s="1553" t="e">
        <f t="shared" si="1"/>
        <v>#N/A</v>
      </c>
      <c r="V11" s="1552" t="s">
        <v>8</v>
      </c>
      <c r="W11" s="1553" t="e">
        <f t="shared" si="2"/>
        <v>#N/A</v>
      </c>
      <c r="X11" s="1554"/>
      <c r="Y11" s="3355"/>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SUMIF(70:70,E12,71:71)-SUMIF(70:70,C12,71:71)+100</f>
        <v>100</v>
      </c>
      <c r="G12" s="910"/>
      <c r="H12" s="253">
        <f>SUMIF(70:70,G12,71:71)-SUMIF(70:70,C12,71:71)+100</f>
        <v>100</v>
      </c>
      <c r="I12" s="537"/>
      <c r="J12" s="253">
        <f>SUMIF(70:70,I12,71:71)-SUMIF(70:70,C12,71:71)+100</f>
        <v>100</v>
      </c>
      <c r="K12" s="579"/>
      <c r="L12" s="2118"/>
      <c r="M12" s="2119"/>
      <c r="N12" s="2119"/>
      <c r="O12" s="2120"/>
      <c r="P12" s="3409"/>
      <c r="Q12" s="1145">
        <f t="shared" si="6"/>
        <v>111</v>
      </c>
      <c r="R12" s="1552" t="s">
        <v>8</v>
      </c>
      <c r="S12" s="1553">
        <f t="shared" si="0"/>
        <v>100</v>
      </c>
      <c r="T12" s="1552" t="s">
        <v>8</v>
      </c>
      <c r="U12" s="1553">
        <f t="shared" si="1"/>
        <v>100</v>
      </c>
      <c r="V12" s="1552" t="s">
        <v>8</v>
      </c>
      <c r="W12" s="1553">
        <f t="shared" si="2"/>
        <v>100</v>
      </c>
      <c r="X12" s="1554"/>
      <c r="Y12" s="3355"/>
      <c r="Z12" s="1144">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10"/>
      <c r="H13" s="538">
        <f>SUMIF(72:72,G13,73:73)-SUMIF(72:72,C13,73:73)+100</f>
        <v>100</v>
      </c>
      <c r="I13" s="537"/>
      <c r="J13" s="538">
        <f>SUMIF(72:72,I13,73:73)-SUMIF(72:72,C13,73:73)+100</f>
        <v>100</v>
      </c>
      <c r="K13" s="579"/>
      <c r="L13" s="2125"/>
      <c r="M13" s="2117"/>
      <c r="N13" s="2117"/>
      <c r="O13" s="2124"/>
      <c r="P13" s="3409"/>
      <c r="Q13" s="1145">
        <f t="shared" si="6"/>
        <v>111</v>
      </c>
      <c r="R13" s="1552" t="s">
        <v>8</v>
      </c>
      <c r="S13" s="1553">
        <f t="shared" si="0"/>
        <v>100</v>
      </c>
      <c r="T13" s="1552" t="s">
        <v>8</v>
      </c>
      <c r="U13" s="1553">
        <f t="shared" si="1"/>
        <v>100</v>
      </c>
      <c r="V13" s="1552" t="s">
        <v>8</v>
      </c>
      <c r="W13" s="1553">
        <f t="shared" si="2"/>
        <v>100</v>
      </c>
      <c r="X13" s="1554"/>
      <c r="Y13" s="3355"/>
      <c r="Z13" s="1144">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10"/>
      <c r="H14" s="544">
        <f>SUMIF(74:74,G14,75:75)-SUMIF(74:74,C14,75:75)+100</f>
        <v>100</v>
      </c>
      <c r="I14" s="537"/>
      <c r="J14" s="544">
        <f>SUMIF(74:74,I14,75:75)-SUMIF(74:74,C14,75:75)+100</f>
        <v>100</v>
      </c>
      <c r="K14" s="579"/>
      <c r="L14" s="2125"/>
      <c r="M14" s="2117"/>
      <c r="N14" s="2117"/>
      <c r="O14" s="2124"/>
      <c r="P14" s="3409"/>
      <c r="Q14" s="1145">
        <f t="shared" si="6"/>
        <v>111</v>
      </c>
      <c r="R14" s="1552" t="s">
        <v>8</v>
      </c>
      <c r="S14" s="1553">
        <f t="shared" si="0"/>
        <v>100</v>
      </c>
      <c r="T14" s="1552" t="s">
        <v>8</v>
      </c>
      <c r="U14" s="1553">
        <f t="shared" si="1"/>
        <v>100</v>
      </c>
      <c r="V14" s="1552" t="s">
        <v>8</v>
      </c>
      <c r="W14" s="1553">
        <f t="shared" si="2"/>
        <v>100</v>
      </c>
      <c r="X14" s="1554"/>
      <c r="Y14" s="3355"/>
      <c r="Z14" s="1144">
        <f t="shared" si="7"/>
        <v>111</v>
      </c>
      <c r="AA14" s="1555">
        <f t="shared" si="3"/>
        <v>1</v>
      </c>
      <c r="AB14" s="1555">
        <f t="shared" si="4"/>
        <v>1</v>
      </c>
      <c r="AC14" s="1555">
        <f t="shared" si="5"/>
        <v>1</v>
      </c>
    </row>
    <row r="15" spans="1:29" ht="15">
      <c r="A15" s="2863" t="s">
        <v>2752</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5"/>
      <c r="M15" s="2117"/>
      <c r="N15" s="2117"/>
      <c r="O15" s="2124"/>
      <c r="P15" s="3444" t="s">
        <v>540</v>
      </c>
      <c r="Q15" s="1556" t="str">
        <f t="shared" si="6"/>
        <v>商业繁华度</v>
      </c>
      <c r="R15" s="1557" t="s">
        <v>8</v>
      </c>
      <c r="S15" s="1558">
        <f t="shared" si="0"/>
        <v>100</v>
      </c>
      <c r="T15" s="1557" t="s">
        <v>8</v>
      </c>
      <c r="U15" s="1558">
        <f t="shared" si="1"/>
        <v>100</v>
      </c>
      <c r="V15" s="1557" t="s">
        <v>8</v>
      </c>
      <c r="W15" s="1558">
        <f t="shared" si="2"/>
        <v>100</v>
      </c>
      <c r="X15" s="1551"/>
      <c r="Y15" s="3444" t="s">
        <v>540</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45"/>
      <c r="Q16" s="1556"/>
      <c r="R16" s="1557"/>
      <c r="S16" s="1558"/>
      <c r="T16" s="1557"/>
      <c r="U16" s="1558"/>
      <c r="V16" s="1557"/>
      <c r="W16" s="1558"/>
      <c r="X16" s="1551"/>
      <c r="Y16" s="3445"/>
      <c r="Z16" s="1559"/>
      <c r="AA16" s="1560">
        <v>1</v>
      </c>
      <c r="AB16" s="1560">
        <v>1</v>
      </c>
      <c r="AC16" s="1560">
        <v>1</v>
      </c>
    </row>
    <row r="17" spans="1:29" ht="185.25">
      <c r="A17" s="530"/>
      <c r="B17" s="869" t="s">
        <v>296</v>
      </c>
      <c r="C17" s="870" t="str">
        <f>估价对象房地状况!C6</f>
        <v>估价对象紧邻城市主干道——昌金路，临近城市主干道——顺密路。估价对象周边有顺16路、顺27路、顺32路、顺37路等多条公交线路通过，距离地铁15号线（俸伯站）约9公里，综合评价交通便捷度一般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25"/>
      <c r="M17" s="2117"/>
      <c r="N17" s="2117"/>
      <c r="O17" s="2124"/>
      <c r="P17" s="3445"/>
      <c r="Q17" s="1556" t="str">
        <f>B17</f>
        <v>交通便捷度</v>
      </c>
      <c r="R17" s="1557" t="s">
        <v>8</v>
      </c>
      <c r="S17" s="1558">
        <f>F17</f>
        <v>100</v>
      </c>
      <c r="T17" s="1557" t="s">
        <v>8</v>
      </c>
      <c r="U17" s="1558">
        <f>H17</f>
        <v>100</v>
      </c>
      <c r="V17" s="1557" t="s">
        <v>8</v>
      </c>
      <c r="W17" s="1558">
        <f>J17</f>
        <v>100</v>
      </c>
      <c r="X17" s="1551"/>
      <c r="Y17" s="3445"/>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45"/>
      <c r="Q18" s="1556"/>
      <c r="R18" s="1557"/>
      <c r="S18" s="1558"/>
      <c r="T18" s="1557"/>
      <c r="U18" s="1558"/>
      <c r="V18" s="1557"/>
      <c r="W18" s="1558"/>
      <c r="X18" s="1551"/>
      <c r="Y18" s="3445"/>
      <c r="Z18" s="1559"/>
      <c r="AA18" s="1560">
        <v>1</v>
      </c>
      <c r="AB18" s="1560">
        <v>1</v>
      </c>
      <c r="AC18" s="1560">
        <v>1</v>
      </c>
    </row>
    <row r="19" spans="1:29" ht="171">
      <c r="A19" s="530"/>
      <c r="B19" s="2562" t="s">
        <v>2545</v>
      </c>
      <c r="C19" s="870" t="str">
        <f>估价对象房地状况!C7</f>
        <v>估价对象所在区域有银行（北京顺义银座村镇银行(北小营支行)等），学校（北京顺义第十三中学等），无大型购物场所、医院、餐饮等公共配套设施，综合确定公共配套设施齐备度一般</v>
      </c>
      <c r="D19" s="563">
        <v>100</v>
      </c>
      <c r="E19" s="568"/>
      <c r="F19" s="569">
        <f>SUMIF(80:80,E20,81:81)-SUMIF(80:80,C20,81:81)+100</f>
        <v>100</v>
      </c>
      <c r="G19" s="570"/>
      <c r="H19" s="557">
        <f>SUMIF(80:80,G20,81:81)-SUMIF(80:80,C20,81:81)+100</f>
        <v>100</v>
      </c>
      <c r="I19" s="568"/>
      <c r="J19" s="557">
        <f>SUMIF(80:80,I20,81:81)-SUMIF(80:80,C20,81:81)+100</f>
        <v>100</v>
      </c>
      <c r="K19" s="896"/>
      <c r="L19" s="2125"/>
      <c r="M19" s="2117"/>
      <c r="N19" s="2117"/>
      <c r="O19" s="2124"/>
      <c r="P19" s="3445"/>
      <c r="Q19" s="1556" t="str">
        <f>B19</f>
        <v>公共配套设施</v>
      </c>
      <c r="R19" s="1557" t="s">
        <v>8</v>
      </c>
      <c r="S19" s="1558">
        <f>F19</f>
        <v>100</v>
      </c>
      <c r="T19" s="1557" t="s">
        <v>8</v>
      </c>
      <c r="U19" s="1558">
        <f>H19</f>
        <v>100</v>
      </c>
      <c r="V19" s="1557" t="s">
        <v>8</v>
      </c>
      <c r="W19" s="1558">
        <f>J19</f>
        <v>100</v>
      </c>
      <c r="X19" s="1551"/>
      <c r="Y19" s="3445"/>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5"/>
      <c r="M20" s="2117"/>
      <c r="N20" s="2117"/>
      <c r="O20" s="2124"/>
      <c r="P20" s="3445"/>
      <c r="Q20" s="1556"/>
      <c r="R20" s="1557"/>
      <c r="S20" s="1558"/>
      <c r="T20" s="1557"/>
      <c r="U20" s="1558"/>
      <c r="V20" s="1557"/>
      <c r="W20" s="1558"/>
      <c r="X20" s="1551"/>
      <c r="Y20" s="3445"/>
      <c r="Z20" s="1559"/>
      <c r="AA20" s="1560">
        <v>1</v>
      </c>
      <c r="AB20" s="1560">
        <v>1</v>
      </c>
      <c r="AC20" s="1560">
        <v>1</v>
      </c>
    </row>
    <row r="21" spans="1:29" ht="42.75">
      <c r="A21" s="530"/>
      <c r="B21" s="2555" t="s">
        <v>2557</v>
      </c>
      <c r="C21" s="870" t="str">
        <f>估价对象房地状况!C8</f>
        <v>估价对象所在区域基础设施水平为六通</v>
      </c>
      <c r="D21" s="563">
        <v>100</v>
      </c>
      <c r="E21" s="570"/>
      <c r="F21" s="569">
        <f>SUMIF(82:82,E22,83:83)-SUMIF(82:82,C22,83:83)+100</f>
        <v>100</v>
      </c>
      <c r="G21" s="570"/>
      <c r="H21" s="563">
        <f>SUMIF(82:82,G22,83:83)-SUMIF(82:82,C22,83:83)+100</f>
        <v>100</v>
      </c>
      <c r="I21" s="568"/>
      <c r="J21" s="563">
        <f>SUMIF(82:82,I22,83:83)-SUMIF(82:82,C22,83:83)+100</f>
        <v>100</v>
      </c>
      <c r="K21" s="896"/>
      <c r="L21" s="2125"/>
      <c r="M21" s="2117"/>
      <c r="N21" s="2117"/>
      <c r="O21" s="2124"/>
      <c r="P21" s="3445"/>
      <c r="Q21" s="2541" t="str">
        <f>B21</f>
        <v>基础设施水平</v>
      </c>
      <c r="R21" s="1557" t="s">
        <v>8</v>
      </c>
      <c r="S21" s="1558">
        <f>F21</f>
        <v>100</v>
      </c>
      <c r="T21" s="1557" t="s">
        <v>8</v>
      </c>
      <c r="U21" s="1558">
        <f>H21</f>
        <v>100</v>
      </c>
      <c r="V21" s="1557" t="s">
        <v>8</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4"/>
      <c r="L22" s="2125"/>
      <c r="M22" s="2117"/>
      <c r="N22" s="2117"/>
      <c r="O22" s="2124"/>
      <c r="P22" s="3445"/>
      <c r="Q22" s="2541"/>
      <c r="R22" s="1557"/>
      <c r="S22" s="1558"/>
      <c r="T22" s="1557"/>
      <c r="U22" s="1558"/>
      <c r="V22" s="1557"/>
      <c r="W22" s="1558"/>
      <c r="X22" s="2543"/>
      <c r="Y22" s="3445"/>
      <c r="Z22" s="2542"/>
      <c r="AA22" s="1560">
        <v>1</v>
      </c>
      <c r="AB22" s="1560">
        <v>1</v>
      </c>
      <c r="AC22" s="1560">
        <v>1</v>
      </c>
    </row>
    <row r="23" spans="1:29" ht="142.5">
      <c r="A23" s="530"/>
      <c r="B23" s="869" t="s">
        <v>297</v>
      </c>
      <c r="C23" s="898" t="str">
        <f>估价对象房地状况!C9</f>
        <v>估价对象周边有箭杆河、民悦广场、凤阳广场、顺义奥林匹克水上公园等自然景观；有北小营镇政府等人文设施，综合考虑自然环境与人文环境一般</v>
      </c>
      <c r="D23" s="557">
        <v>100</v>
      </c>
      <c r="E23" s="560"/>
      <c r="F23" s="561">
        <f>SUMIF(84:84,E24,85:85)-SUMIF(84:84,C24,85:85)+100</f>
        <v>100</v>
      </c>
      <c r="G23" s="562"/>
      <c r="H23" s="557">
        <f>SUMIF(84:84,G24,85:85)-SUMIF(84:84,C24,85:85)+100</f>
        <v>100</v>
      </c>
      <c r="I23" s="560"/>
      <c r="J23" s="557">
        <f>SUMIF(84:84,I24,85:85)-SUMIF(84:84,C24,85:85)+100</f>
        <v>100</v>
      </c>
      <c r="K23" s="896"/>
      <c r="L23" s="2125"/>
      <c r="M23" s="2117"/>
      <c r="N23" s="2117"/>
      <c r="O23" s="2124"/>
      <c r="P23" s="3445"/>
      <c r="Q23" s="1556" t="str">
        <f>B23</f>
        <v>自然及人文环境</v>
      </c>
      <c r="R23" s="1557" t="s">
        <v>8</v>
      </c>
      <c r="S23" s="1558">
        <f>F23</f>
        <v>100</v>
      </c>
      <c r="T23" s="1557" t="s">
        <v>8</v>
      </c>
      <c r="U23" s="1558">
        <f>H23</f>
        <v>100</v>
      </c>
      <c r="V23" s="1557" t="s">
        <v>8</v>
      </c>
      <c r="W23" s="1558">
        <f>J23</f>
        <v>100</v>
      </c>
      <c r="X23" s="1551"/>
      <c r="Y23" s="3445"/>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5"/>
      <c r="M24" s="2117"/>
      <c r="N24" s="2117"/>
      <c r="O24" s="2124"/>
      <c r="P24" s="3445"/>
      <c r="Q24" s="1556"/>
      <c r="R24" s="1557"/>
      <c r="S24" s="1558"/>
      <c r="T24" s="1557"/>
      <c r="U24" s="1558"/>
      <c r="V24" s="1557"/>
      <c r="W24" s="1558"/>
      <c r="X24" s="1551"/>
      <c r="Y24" s="3445"/>
      <c r="Z24" s="1559"/>
      <c r="AA24" s="1560">
        <v>1</v>
      </c>
      <c r="AB24" s="1560">
        <v>1</v>
      </c>
      <c r="AC24" s="1560">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45"/>
      <c r="Q25" s="1556" t="str">
        <f t="shared" ref="Q25:Q46" si="11">B25</f>
        <v>临街状况</v>
      </c>
      <c r="R25" s="1557" t="s">
        <v>8</v>
      </c>
      <c r="S25" s="1558">
        <f>F25</f>
        <v>100</v>
      </c>
      <c r="T25" s="1557" t="s">
        <v>8</v>
      </c>
      <c r="U25" s="1558">
        <f>H25</f>
        <v>100</v>
      </c>
      <c r="V25" s="1557" t="s">
        <v>8</v>
      </c>
      <c r="W25" s="1558">
        <f>J25</f>
        <v>100</v>
      </c>
      <c r="X25" s="1551"/>
      <c r="Y25" s="3445"/>
      <c r="Z25" s="1559" t="str">
        <f>Q25</f>
        <v>临街状况</v>
      </c>
      <c r="AA25" s="1560">
        <f t="shared" si="3"/>
        <v>1</v>
      </c>
      <c r="AB25" s="1560">
        <f t="shared" si="4"/>
        <v>1</v>
      </c>
      <c r="AC25" s="1560">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45"/>
      <c r="Q26" s="1556" t="str">
        <f t="shared" si="11"/>
        <v>平面位置/可视性</v>
      </c>
      <c r="R26" s="1557" t="s">
        <v>8</v>
      </c>
      <c r="S26" s="1558">
        <f>F26</f>
        <v>100</v>
      </c>
      <c r="T26" s="1557" t="s">
        <v>8</v>
      </c>
      <c r="U26" s="1558">
        <f>H26</f>
        <v>100</v>
      </c>
      <c r="V26" s="1557" t="s">
        <v>8</v>
      </c>
      <c r="W26" s="1558">
        <f>J26</f>
        <v>100</v>
      </c>
      <c r="X26" s="1551"/>
      <c r="Y26" s="3445"/>
      <c r="Z26" s="1559" t="str">
        <f>Q26</f>
        <v>平面位置/可视性</v>
      </c>
      <c r="AA26" s="1560">
        <f t="shared" si="3"/>
        <v>1</v>
      </c>
      <c r="AB26" s="1560">
        <f t="shared" si="4"/>
        <v>1</v>
      </c>
      <c r="AC26" s="1560">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8"/>
      <c r="M27" s="2119"/>
      <c r="N27" s="2119"/>
      <c r="O27" s="2120"/>
      <c r="P27" s="3445"/>
      <c r="Q27" s="1145" t="str">
        <f t="shared" si="11"/>
        <v>人流量</v>
      </c>
      <c r="R27" s="1552" t="s">
        <v>8</v>
      </c>
      <c r="S27" s="1553">
        <f>F27</f>
        <v>100</v>
      </c>
      <c r="T27" s="1552" t="s">
        <v>8</v>
      </c>
      <c r="U27" s="1553">
        <f>H27</f>
        <v>100</v>
      </c>
      <c r="V27" s="1552" t="s">
        <v>8</v>
      </c>
      <c r="W27" s="1553">
        <f>J27</f>
        <v>100</v>
      </c>
      <c r="X27" s="1554"/>
      <c r="Y27" s="3445"/>
      <c r="Z27" s="1144" t="str">
        <f>Q27</f>
        <v>人流量</v>
      </c>
      <c r="AA27" s="1560">
        <f>D27/F27</f>
        <v>1</v>
      </c>
      <c r="AB27" s="1560">
        <f>D27/H27</f>
        <v>1</v>
      </c>
      <c r="AC27" s="1560">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45"/>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45"/>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45"/>
      <c r="Q29" s="1556">
        <f t="shared" si="11"/>
        <v>111</v>
      </c>
      <c r="R29" s="1557" t="s">
        <v>8</v>
      </c>
      <c r="S29" s="1558">
        <f t="shared" si="12"/>
        <v>100</v>
      </c>
      <c r="T29" s="1557" t="s">
        <v>8</v>
      </c>
      <c r="U29" s="1558">
        <f t="shared" si="13"/>
        <v>100</v>
      </c>
      <c r="V29" s="1557" t="s">
        <v>8</v>
      </c>
      <c r="W29" s="1558">
        <f t="shared" si="14"/>
        <v>100</v>
      </c>
      <c r="X29" s="1551"/>
      <c r="Y29" s="3445"/>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45"/>
      <c r="Q30" s="1556">
        <f t="shared" si="11"/>
        <v>111</v>
      </c>
      <c r="R30" s="1557" t="s">
        <v>8</v>
      </c>
      <c r="S30" s="1558">
        <f t="shared" si="12"/>
        <v>100</v>
      </c>
      <c r="T30" s="1557" t="s">
        <v>8</v>
      </c>
      <c r="U30" s="1558">
        <f t="shared" si="13"/>
        <v>100</v>
      </c>
      <c r="V30" s="1557" t="s">
        <v>8</v>
      </c>
      <c r="W30" s="1558">
        <f t="shared" si="14"/>
        <v>100</v>
      </c>
      <c r="X30" s="1551"/>
      <c r="Y30" s="3445"/>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45"/>
      <c r="Q31" s="1556">
        <f t="shared" si="11"/>
        <v>111</v>
      </c>
      <c r="R31" s="1557" t="s">
        <v>8</v>
      </c>
      <c r="S31" s="1558">
        <f t="shared" si="12"/>
        <v>100</v>
      </c>
      <c r="T31" s="1557" t="s">
        <v>8</v>
      </c>
      <c r="U31" s="1558">
        <f t="shared" si="13"/>
        <v>100</v>
      </c>
      <c r="V31" s="1557" t="s">
        <v>8</v>
      </c>
      <c r="W31" s="1558">
        <f t="shared" si="14"/>
        <v>100</v>
      </c>
      <c r="X31" s="1551"/>
      <c r="Y31" s="3445"/>
      <c r="Z31" s="1559">
        <f t="shared" si="15"/>
        <v>111</v>
      </c>
      <c r="AA31" s="1560">
        <f t="shared" si="3"/>
        <v>1</v>
      </c>
      <c r="AB31" s="1560">
        <f t="shared" si="4"/>
        <v>1</v>
      </c>
      <c r="AC31" s="1560">
        <f t="shared" si="5"/>
        <v>1</v>
      </c>
    </row>
    <row r="32" spans="1:29" ht="15">
      <c r="A32" s="2860" t="s">
        <v>2753</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46" t="s">
        <v>550</v>
      </c>
      <c r="Q32" s="1556" t="str">
        <f t="shared" si="11"/>
        <v>商业类型</v>
      </c>
      <c r="R32" s="1557" t="s">
        <v>8</v>
      </c>
      <c r="S32" s="1558">
        <f t="shared" si="12"/>
        <v>100</v>
      </c>
      <c r="T32" s="1557" t="s">
        <v>8</v>
      </c>
      <c r="U32" s="1558">
        <f t="shared" si="13"/>
        <v>100</v>
      </c>
      <c r="V32" s="1557" t="s">
        <v>8</v>
      </c>
      <c r="W32" s="1558">
        <f t="shared" si="14"/>
        <v>100</v>
      </c>
      <c r="X32" s="1551"/>
      <c r="Y32" s="3447" t="s">
        <v>550</v>
      </c>
      <c r="Z32" s="1559" t="str">
        <f t="shared" si="15"/>
        <v>商业类型</v>
      </c>
      <c r="AA32" s="1560">
        <f t="shared" si="3"/>
        <v>1</v>
      </c>
      <c r="AB32" s="1560">
        <f t="shared" si="4"/>
        <v>1</v>
      </c>
      <c r="AC32" s="1560">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47"/>
      <c r="Q33" s="1588" t="str">
        <f t="shared" si="11"/>
        <v>项目建筑规模</v>
      </c>
      <c r="R33" s="1561" t="s">
        <v>8</v>
      </c>
      <c r="S33" s="1562" t="e">
        <f t="shared" si="12"/>
        <v>#N/A</v>
      </c>
      <c r="T33" s="1561" t="s">
        <v>8</v>
      </c>
      <c r="U33" s="1562" t="e">
        <f t="shared" si="13"/>
        <v>#N/A</v>
      </c>
      <c r="V33" s="1561" t="s">
        <v>8</v>
      </c>
      <c r="W33" s="1562" t="e">
        <f t="shared" si="14"/>
        <v>#N/A</v>
      </c>
      <c r="X33" s="1563"/>
      <c r="Y33" s="3447"/>
      <c r="Z33" s="1564" t="str">
        <f t="shared" si="15"/>
        <v>项目建筑规模</v>
      </c>
      <c r="AA33" s="1560" t="e">
        <f t="shared" si="3"/>
        <v>#N/A</v>
      </c>
      <c r="AB33" s="1560" t="e">
        <f t="shared" si="4"/>
        <v>#N/A</v>
      </c>
      <c r="AC33" s="1560"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5"/>
      <c r="M34" s="2117"/>
      <c r="N34" s="2117"/>
      <c r="O34" s="2124"/>
      <c r="P34" s="3447"/>
      <c r="Q34" s="1556" t="str">
        <f t="shared" si="11"/>
        <v>建筑结构</v>
      </c>
      <c r="R34" s="1557" t="s">
        <v>8</v>
      </c>
      <c r="S34" s="1558">
        <f t="shared" si="12"/>
        <v>100</v>
      </c>
      <c r="T34" s="1557" t="s">
        <v>8</v>
      </c>
      <c r="U34" s="1558">
        <f t="shared" si="13"/>
        <v>100</v>
      </c>
      <c r="V34" s="1557" t="s">
        <v>8</v>
      </c>
      <c r="W34" s="1558">
        <f t="shared" si="14"/>
        <v>100</v>
      </c>
      <c r="X34" s="1551"/>
      <c r="Y34" s="3447"/>
      <c r="Z34" s="1559" t="str">
        <f t="shared" si="15"/>
        <v>建筑结构</v>
      </c>
      <c r="AA34" s="1560">
        <f t="shared" si="3"/>
        <v>1</v>
      </c>
      <c r="AB34" s="1560">
        <f t="shared" si="4"/>
        <v>1</v>
      </c>
      <c r="AC34" s="1560">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47"/>
      <c r="Q35" s="1556" t="str">
        <f t="shared" si="11"/>
        <v>公共部分装修</v>
      </c>
      <c r="R35" s="1557" t="s">
        <v>8</v>
      </c>
      <c r="S35" s="1558">
        <f t="shared" si="12"/>
        <v>100</v>
      </c>
      <c r="T35" s="1557" t="s">
        <v>8</v>
      </c>
      <c r="U35" s="1558">
        <f t="shared" si="13"/>
        <v>100</v>
      </c>
      <c r="V35" s="1557" t="s">
        <v>8</v>
      </c>
      <c r="W35" s="1558">
        <f t="shared" si="14"/>
        <v>100</v>
      </c>
      <c r="X35" s="1551"/>
      <c r="Y35" s="3447"/>
      <c r="Z35" s="1559" t="str">
        <f t="shared" si="15"/>
        <v>公共部分装修</v>
      </c>
      <c r="AA35" s="1560">
        <f t="shared" si="3"/>
        <v>1</v>
      </c>
      <c r="AB35" s="1560">
        <f t="shared" si="4"/>
        <v>1</v>
      </c>
      <c r="AC35" s="1560">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5"/>
      <c r="M36" s="2117"/>
      <c r="N36" s="2117"/>
      <c r="O36" s="2124"/>
      <c r="P36" s="3447"/>
      <c r="Q36" s="1556" t="str">
        <f t="shared" si="11"/>
        <v>成新度</v>
      </c>
      <c r="R36" s="1557" t="s">
        <v>8</v>
      </c>
      <c r="S36" s="1558" t="e">
        <f t="shared" si="12"/>
        <v>#N/A</v>
      </c>
      <c r="T36" s="1557" t="s">
        <v>8</v>
      </c>
      <c r="U36" s="1558" t="e">
        <f t="shared" si="13"/>
        <v>#N/A</v>
      </c>
      <c r="V36" s="1557" t="s">
        <v>8</v>
      </c>
      <c r="W36" s="1558" t="e">
        <f t="shared" si="14"/>
        <v>#N/A</v>
      </c>
      <c r="X36" s="1551"/>
      <c r="Y36" s="3447"/>
      <c r="Z36" s="1559" t="str">
        <f t="shared" si="15"/>
        <v>成新度</v>
      </c>
      <c r="AA36" s="1560" t="e">
        <f t="shared" si="3"/>
        <v>#N/A</v>
      </c>
      <c r="AB36" s="1560" t="e">
        <f t="shared" si="4"/>
        <v>#N/A</v>
      </c>
      <c r="AC36" s="1560" t="e">
        <f t="shared" si="5"/>
        <v>#N/A</v>
      </c>
    </row>
    <row r="37" spans="1:29" s="1214" customFormat="1" ht="15">
      <c r="A37" s="598"/>
      <c r="B37" s="1878"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47"/>
      <c r="Q37" s="1145" t="str">
        <f t="shared" si="11"/>
        <v>市政基础设施</v>
      </c>
      <c r="R37" s="1552" t="s">
        <v>8</v>
      </c>
      <c r="S37" s="1553">
        <f t="shared" si="12"/>
        <v>100</v>
      </c>
      <c r="T37" s="1552" t="s">
        <v>8</v>
      </c>
      <c r="U37" s="1553">
        <f t="shared" si="13"/>
        <v>100</v>
      </c>
      <c r="V37" s="1552" t="s">
        <v>8</v>
      </c>
      <c r="W37" s="1553">
        <f t="shared" si="14"/>
        <v>100</v>
      </c>
      <c r="X37" s="1554"/>
      <c r="Y37" s="3447"/>
      <c r="Z37" s="1144" t="str">
        <f t="shared" si="15"/>
        <v>市政基础设施</v>
      </c>
      <c r="AA37" s="1555">
        <f t="shared" si="3"/>
        <v>1</v>
      </c>
      <c r="AB37" s="1555">
        <f t="shared" si="4"/>
        <v>1</v>
      </c>
      <c r="AC37" s="1555">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47" t="s">
        <v>766</v>
      </c>
      <c r="Q38" s="1556" t="str">
        <f t="shared" si="11"/>
        <v>业态</v>
      </c>
      <c r="R38" s="1557" t="s">
        <v>8</v>
      </c>
      <c r="S38" s="1558">
        <f t="shared" si="12"/>
        <v>100</v>
      </c>
      <c r="T38" s="1557" t="s">
        <v>8</v>
      </c>
      <c r="U38" s="1558">
        <f t="shared" si="13"/>
        <v>100</v>
      </c>
      <c r="V38" s="1557" t="s">
        <v>8</v>
      </c>
      <c r="W38" s="1558">
        <f t="shared" si="14"/>
        <v>100</v>
      </c>
      <c r="X38" s="1551"/>
      <c r="Y38" s="3447" t="s">
        <v>766</v>
      </c>
      <c r="Z38" s="1559" t="str">
        <f t="shared" si="15"/>
        <v>业态</v>
      </c>
      <c r="AA38" s="1560">
        <f t="shared" si="3"/>
        <v>1</v>
      </c>
      <c r="AB38" s="1560">
        <f t="shared" si="4"/>
        <v>1</v>
      </c>
      <c r="AC38" s="1560">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47"/>
      <c r="Q39" s="1556" t="str">
        <f t="shared" si="11"/>
        <v>层高</v>
      </c>
      <c r="R39" s="1557" t="s">
        <v>8</v>
      </c>
      <c r="S39" s="1558">
        <f t="shared" si="12"/>
        <v>100</v>
      </c>
      <c r="T39" s="1557" t="s">
        <v>8</v>
      </c>
      <c r="U39" s="1558">
        <f t="shared" si="13"/>
        <v>100</v>
      </c>
      <c r="V39" s="1557" t="s">
        <v>8</v>
      </c>
      <c r="W39" s="1558">
        <f t="shared" si="14"/>
        <v>100</v>
      </c>
      <c r="X39" s="1551"/>
      <c r="Y39" s="3447"/>
      <c r="Z39" s="1559" t="str">
        <f t="shared" si="15"/>
        <v>层高</v>
      </c>
      <c r="AA39" s="1560">
        <f t="shared" si="3"/>
        <v>1</v>
      </c>
      <c r="AB39" s="1560">
        <f t="shared" si="4"/>
        <v>1</v>
      </c>
      <c r="AC39" s="1560">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5"/>
      <c r="M40" s="2117"/>
      <c r="N40" s="2117"/>
      <c r="O40" s="2124"/>
      <c r="P40" s="3447"/>
      <c r="Q40" s="1556" t="str">
        <f t="shared" si="11"/>
        <v>单套建筑面积</v>
      </c>
      <c r="R40" s="1557" t="s">
        <v>8</v>
      </c>
      <c r="S40" s="1558">
        <f t="shared" si="12"/>
        <v>100</v>
      </c>
      <c r="T40" s="1557" t="s">
        <v>8</v>
      </c>
      <c r="U40" s="1558">
        <f t="shared" si="13"/>
        <v>100</v>
      </c>
      <c r="V40" s="1557" t="s">
        <v>8</v>
      </c>
      <c r="W40" s="1558">
        <f t="shared" si="14"/>
        <v>100</v>
      </c>
      <c r="X40" s="1551"/>
      <c r="Y40" s="3447"/>
      <c r="Z40" s="1559" t="str">
        <f t="shared" si="15"/>
        <v>单套建筑面积</v>
      </c>
      <c r="AA40" s="1560">
        <f t="shared" si="3"/>
        <v>1</v>
      </c>
      <c r="AB40" s="1560">
        <f t="shared" si="4"/>
        <v>1</v>
      </c>
      <c r="AC40" s="1560">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47"/>
      <c r="Q41" s="1588" t="str">
        <f t="shared" si="11"/>
        <v>进深比</v>
      </c>
      <c r="R41" s="1561" t="s">
        <v>8</v>
      </c>
      <c r="S41" s="1562">
        <f t="shared" si="12"/>
        <v>100</v>
      </c>
      <c r="T41" s="1561" t="s">
        <v>8</v>
      </c>
      <c r="U41" s="1562">
        <f t="shared" si="13"/>
        <v>100</v>
      </c>
      <c r="V41" s="1561" t="s">
        <v>8</v>
      </c>
      <c r="W41" s="1562">
        <f t="shared" si="14"/>
        <v>100</v>
      </c>
      <c r="X41" s="1563"/>
      <c r="Y41" s="3447"/>
      <c r="Z41" s="1564" t="str">
        <f t="shared" si="15"/>
        <v>进深比</v>
      </c>
      <c r="AA41" s="1560">
        <f t="shared" si="3"/>
        <v>1</v>
      </c>
      <c r="AB41" s="1560">
        <f t="shared" si="4"/>
        <v>1</v>
      </c>
      <c r="AC41" s="1560">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47"/>
      <c r="Q42" s="1556" t="str">
        <f t="shared" si="11"/>
        <v>内部装修</v>
      </c>
      <c r="R42" s="1557" t="s">
        <v>8</v>
      </c>
      <c r="S42" s="1558">
        <f t="shared" si="12"/>
        <v>100</v>
      </c>
      <c r="T42" s="1557" t="s">
        <v>8</v>
      </c>
      <c r="U42" s="1558">
        <f t="shared" si="13"/>
        <v>100</v>
      </c>
      <c r="V42" s="1557" t="s">
        <v>8</v>
      </c>
      <c r="W42" s="1558">
        <f t="shared" si="14"/>
        <v>100</v>
      </c>
      <c r="X42" s="1551"/>
      <c r="Y42" s="3447"/>
      <c r="Z42" s="1559" t="str">
        <f t="shared" si="15"/>
        <v>内部装修</v>
      </c>
      <c r="AA42" s="1560">
        <f t="shared" si="3"/>
        <v>1</v>
      </c>
      <c r="AB42" s="1560">
        <f t="shared" si="4"/>
        <v>1</v>
      </c>
      <c r="AC42" s="1560">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47"/>
      <c r="Q43" s="1556" t="str">
        <f t="shared" si="11"/>
        <v>内部装修维护情况</v>
      </c>
      <c r="R43" s="1557" t="s">
        <v>8</v>
      </c>
      <c r="S43" s="1558">
        <f t="shared" si="12"/>
        <v>100</v>
      </c>
      <c r="T43" s="1557" t="s">
        <v>8</v>
      </c>
      <c r="U43" s="1558">
        <f t="shared" si="13"/>
        <v>100</v>
      </c>
      <c r="V43" s="1557" t="s">
        <v>8</v>
      </c>
      <c r="W43" s="1558">
        <f t="shared" si="14"/>
        <v>100</v>
      </c>
      <c r="X43" s="1551"/>
      <c r="Y43" s="3447"/>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47"/>
      <c r="Q44" s="1145">
        <f t="shared" si="11"/>
        <v>111</v>
      </c>
      <c r="R44" s="1552" t="s">
        <v>8</v>
      </c>
      <c r="S44" s="1553">
        <f t="shared" si="12"/>
        <v>100</v>
      </c>
      <c r="T44" s="1552" t="s">
        <v>8</v>
      </c>
      <c r="U44" s="1553">
        <f t="shared" si="13"/>
        <v>100</v>
      </c>
      <c r="V44" s="1552" t="s">
        <v>8</v>
      </c>
      <c r="W44" s="1553">
        <f t="shared" si="14"/>
        <v>100</v>
      </c>
      <c r="X44" s="1554"/>
      <c r="Y44" s="3447"/>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47"/>
      <c r="Q45" s="1556">
        <f t="shared" si="11"/>
        <v>111</v>
      </c>
      <c r="R45" s="1557" t="s">
        <v>8</v>
      </c>
      <c r="S45" s="1558">
        <f t="shared" si="12"/>
        <v>100</v>
      </c>
      <c r="T45" s="1557" t="s">
        <v>8</v>
      </c>
      <c r="U45" s="1558">
        <f t="shared" si="13"/>
        <v>100</v>
      </c>
      <c r="V45" s="1557" t="s">
        <v>8</v>
      </c>
      <c r="W45" s="1558">
        <f t="shared" si="14"/>
        <v>100</v>
      </c>
      <c r="X45" s="1551"/>
      <c r="Y45" s="3447"/>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529"/>
      <c r="Q46" s="1556">
        <f t="shared" si="11"/>
        <v>111</v>
      </c>
      <c r="R46" s="1557" t="s">
        <v>8</v>
      </c>
      <c r="S46" s="1558">
        <f t="shared" si="12"/>
        <v>100</v>
      </c>
      <c r="T46" s="1557" t="s">
        <v>8</v>
      </c>
      <c r="U46" s="1558">
        <f t="shared" si="13"/>
        <v>100</v>
      </c>
      <c r="V46" s="1557" t="s">
        <v>8</v>
      </c>
      <c r="W46" s="1558">
        <f t="shared" si="14"/>
        <v>100</v>
      </c>
      <c r="X46" s="1551"/>
      <c r="Y46" s="3529"/>
      <c r="Z46" s="1559">
        <f t="shared" si="15"/>
        <v>111</v>
      </c>
      <c r="AA46" s="1560">
        <f t="shared" si="3"/>
        <v>1</v>
      </c>
      <c r="AB46" s="1560">
        <f t="shared" si="4"/>
        <v>1</v>
      </c>
      <c r="AC46" s="1560">
        <f t="shared" si="5"/>
        <v>1</v>
      </c>
    </row>
    <row r="47" spans="1:29" ht="15">
      <c r="A47" s="605" t="s">
        <v>736</v>
      </c>
      <c r="B47" s="885"/>
      <c r="C47" s="2589" t="s">
        <v>1</v>
      </c>
      <c r="D47" s="2590"/>
      <c r="E47" s="2591"/>
      <c r="F47" s="2592"/>
      <c r="G47" s="2593"/>
      <c r="H47" s="2594"/>
      <c r="I47" s="2591"/>
      <c r="J47" s="2594"/>
      <c r="K47" s="1594"/>
      <c r="L47" s="2127"/>
      <c r="M47" s="2128"/>
      <c r="N47" s="2117"/>
      <c r="O47" s="2128"/>
      <c r="P47" s="3409" t="str">
        <f>A47</f>
        <v>成交单价（元/平方米）</v>
      </c>
      <c r="Q47" s="3409"/>
      <c r="R47" s="3528">
        <f>E47</f>
        <v>0</v>
      </c>
      <c r="S47" s="3528"/>
      <c r="T47" s="3528">
        <f>G47</f>
        <v>0</v>
      </c>
      <c r="U47" s="3528"/>
      <c r="V47" s="3528">
        <f>I47</f>
        <v>0</v>
      </c>
      <c r="W47" s="3528"/>
      <c r="X47" s="1543"/>
      <c r="Y47" s="1565"/>
      <c r="Z47" s="1543"/>
      <c r="AA47" s="1543"/>
      <c r="AB47" s="1543"/>
      <c r="AC47" s="1543"/>
    </row>
    <row r="48" spans="1:29" ht="15.75" thickBot="1">
      <c r="A48" s="613" t="s">
        <v>2758</v>
      </c>
      <c r="B48" s="886"/>
      <c r="C48" s="2595" t="e">
        <f>R49</f>
        <v>#DIV/0!</v>
      </c>
      <c r="D48" s="2596"/>
      <c r="E48" s="2597" t="e">
        <f>R48</f>
        <v>#DIV/0!</v>
      </c>
      <c r="F48" s="2597"/>
      <c r="G48" s="2595" t="e">
        <f>T48</f>
        <v>#DIV/0!</v>
      </c>
      <c r="H48" s="2596"/>
      <c r="I48" s="2597" t="e">
        <f>V48</f>
        <v>#DIV/0!</v>
      </c>
      <c r="J48" s="2596"/>
      <c r="K48" s="1595"/>
      <c r="L48" s="2127"/>
      <c r="M48" s="2128"/>
      <c r="N48" s="2117"/>
      <c r="O48" s="2128"/>
      <c r="P48" s="3409" t="str">
        <f>A48</f>
        <v>比较价格（元/平方米）</v>
      </c>
      <c r="Q48" s="3409"/>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1543"/>
      <c r="Y48" s="1543"/>
      <c r="Z48" s="1543"/>
      <c r="AA48" s="1543"/>
      <c r="AB48" s="1543"/>
      <c r="AC48" s="1543"/>
    </row>
    <row r="49" spans="1:29" ht="15.75" thickBot="1">
      <c r="A49" s="619" t="s">
        <v>2927</v>
      </c>
      <c r="B49" s="620"/>
      <c r="C49" s="2598" t="e">
        <f>R49</f>
        <v>#DIV/0!</v>
      </c>
      <c r="D49" s="2598"/>
      <c r="E49" s="2598"/>
      <c r="F49" s="2598"/>
      <c r="G49" s="2598"/>
      <c r="H49" s="2598"/>
      <c r="I49" s="2598"/>
      <c r="J49" s="2598"/>
      <c r="K49" s="1596"/>
      <c r="L49" s="2127"/>
      <c r="M49" s="2128"/>
      <c r="N49" s="2117"/>
      <c r="O49" s="2128"/>
      <c r="P49" s="3406" t="str">
        <f>A49</f>
        <v>估价对象XX用房的比较价格（楼面单价，元/平方米）</v>
      </c>
      <c r="Q49" s="3407"/>
      <c r="R49" s="3527" t="e">
        <f>IF(F1="售价",ROUND(AVERAGE(R48:V48),0),ROUND(AVERAGE(R48:V48),1))</f>
        <v>#DIV/0!</v>
      </c>
      <c r="S49" s="3527"/>
      <c r="T49" s="3527"/>
      <c r="U49" s="3527"/>
      <c r="V49" s="3527"/>
      <c r="W49" s="352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5" t="str">
        <f>YEAR(C7)&amp;"-"&amp;MONTH(C7)</f>
        <v>2019-12</v>
      </c>
      <c r="D58" s="2757">
        <f>EDATE(C58,-1)</f>
        <v>43770</v>
      </c>
      <c r="E58" s="2757">
        <f t="shared" ref="E58:O58" si="16">EDATE(D58,-1)</f>
        <v>43739</v>
      </c>
      <c r="F58" s="2757">
        <f t="shared" si="16"/>
        <v>43709</v>
      </c>
      <c r="G58" s="2757">
        <f t="shared" si="16"/>
        <v>43678</v>
      </c>
      <c r="H58" s="2757">
        <f t="shared" si="16"/>
        <v>43647</v>
      </c>
      <c r="I58" s="2757">
        <f t="shared" si="16"/>
        <v>43617</v>
      </c>
      <c r="J58" s="2757">
        <f t="shared" si="16"/>
        <v>43586</v>
      </c>
      <c r="K58" s="2757">
        <f t="shared" si="16"/>
        <v>43556</v>
      </c>
      <c r="L58" s="2757">
        <f t="shared" si="16"/>
        <v>43525</v>
      </c>
      <c r="M58" s="2757">
        <f t="shared" si="16"/>
        <v>43497</v>
      </c>
      <c r="N58" s="2757">
        <f t="shared" si="16"/>
        <v>43466</v>
      </c>
      <c r="O58" s="2757">
        <f t="shared" si="16"/>
        <v>43435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9"/>
    </row>
    <row r="63" spans="1:29">
      <c r="A63" s="662" t="s">
        <v>577</v>
      </c>
      <c r="B63" s="663" t="s">
        <v>534</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671" t="s">
        <v>771</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tr">
        <f>B26</f>
        <v>平面位置/可视性</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772</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751</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6"/>
      <c r="B112" s="1879" t="s">
        <v>2555</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773</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774</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775</v>
      </c>
      <c r="C118" s="907"/>
      <c r="D118" s="907"/>
      <c r="E118" s="907"/>
      <c r="F118" s="907"/>
      <c r="G118" s="907"/>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6"/>
      <c r="B120" s="671" t="s">
        <v>776</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37" sqref="B37:I3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60"/>
      <c r="G1" s="1584" t="s">
        <v>721</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1" t="s">
        <v>467</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7" t="s">
        <v>519</v>
      </c>
      <c r="B3" s="508" t="e">
        <f>C50</f>
        <v>#DIV/0!</v>
      </c>
      <c r="C3" s="850" t="s">
        <v>722</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521</v>
      </c>
      <c r="B4" s="511"/>
      <c r="C4" s="3415" t="s">
        <v>522</v>
      </c>
      <c r="D4" s="3416"/>
      <c r="E4" s="3451" t="s">
        <v>523</v>
      </c>
      <c r="F4" s="3452"/>
      <c r="G4" s="3415" t="s">
        <v>524</v>
      </c>
      <c r="H4" s="3416"/>
      <c r="I4" s="3415" t="s">
        <v>525</v>
      </c>
      <c r="J4" s="3416"/>
      <c r="K4" s="512" t="s">
        <v>526</v>
      </c>
      <c r="L4" s="2116"/>
      <c r="M4" s="2117"/>
      <c r="N4" s="2117"/>
      <c r="O4" s="2117"/>
      <c r="P4" s="3534" t="s">
        <v>527</v>
      </c>
      <c r="Q4" s="3418"/>
      <c r="R4" s="3423" t="s">
        <v>523</v>
      </c>
      <c r="S4" s="3424"/>
      <c r="T4" s="3423" t="s">
        <v>524</v>
      </c>
      <c r="U4" s="3424"/>
      <c r="V4" s="3410" t="s">
        <v>525</v>
      </c>
      <c r="W4" s="3410"/>
      <c r="X4" s="1551"/>
      <c r="Y4" s="3423" t="s">
        <v>527</v>
      </c>
      <c r="Z4" s="3424"/>
      <c r="AA4" s="3412" t="s">
        <v>523</v>
      </c>
      <c r="AB4" s="3412" t="s">
        <v>524</v>
      </c>
      <c r="AC4" s="3412" t="s">
        <v>525</v>
      </c>
    </row>
    <row r="5" spans="1:29" ht="15">
      <c r="A5" s="513"/>
      <c r="B5" s="514"/>
      <c r="C5" s="3431" t="s">
        <v>2921</v>
      </c>
      <c r="D5" s="3432"/>
      <c r="E5" s="3453" t="s">
        <v>2922</v>
      </c>
      <c r="F5" s="3454"/>
      <c r="G5" s="3431" t="s">
        <v>2923</v>
      </c>
      <c r="H5" s="3432"/>
      <c r="I5" s="3431" t="s">
        <v>2924</v>
      </c>
      <c r="J5" s="3432"/>
      <c r="K5" s="512"/>
      <c r="L5" s="2116"/>
      <c r="M5" s="2117"/>
      <c r="N5" s="2117"/>
      <c r="O5" s="2117"/>
      <c r="P5" s="3535"/>
      <c r="Q5" s="3420"/>
      <c r="R5" s="3425"/>
      <c r="S5" s="3426"/>
      <c r="T5" s="3425"/>
      <c r="U5" s="3426"/>
      <c r="V5" s="3410"/>
      <c r="W5" s="3410"/>
      <c r="X5" s="1551"/>
      <c r="Y5" s="3425"/>
      <c r="Z5" s="3426"/>
      <c r="AA5" s="3413"/>
      <c r="AB5" s="3413"/>
      <c r="AC5" s="3413"/>
    </row>
    <row r="6" spans="1:29" ht="15.75" thickBot="1">
      <c r="A6" s="515"/>
      <c r="B6" s="516"/>
      <c r="C6" s="3448" t="s">
        <v>2925</v>
      </c>
      <c r="D6" s="3430"/>
      <c r="E6" s="3449" t="s">
        <v>2925</v>
      </c>
      <c r="F6" s="3450"/>
      <c r="G6" s="3448" t="s">
        <v>2925</v>
      </c>
      <c r="H6" s="3430"/>
      <c r="I6" s="3448" t="s">
        <v>2925</v>
      </c>
      <c r="J6" s="3430"/>
      <c r="K6" s="512" t="s">
        <v>528</v>
      </c>
      <c r="L6" s="2116"/>
      <c r="M6" s="2117"/>
      <c r="N6" s="2117"/>
      <c r="O6" s="2117"/>
      <c r="P6" s="3536"/>
      <c r="Q6" s="3422"/>
      <c r="R6" s="3425"/>
      <c r="S6" s="3426"/>
      <c r="T6" s="3427"/>
      <c r="U6" s="3428"/>
      <c r="V6" s="3410"/>
      <c r="W6" s="3410"/>
      <c r="X6" s="1551"/>
      <c r="Y6" s="3427"/>
      <c r="Z6" s="3428"/>
      <c r="AA6" s="3414"/>
      <c r="AB6" s="3414"/>
      <c r="AC6" s="3414"/>
    </row>
    <row r="7" spans="1:29" s="1214" customFormat="1" ht="15.75" thickBot="1">
      <c r="A7" s="2865"/>
      <c r="B7" s="2872" t="s">
        <v>529</v>
      </c>
      <c r="C7" s="517">
        <f>'数据-取费表'!B2</f>
        <v>43830</v>
      </c>
      <c r="D7" s="518">
        <v>100</v>
      </c>
      <c r="E7" s="519"/>
      <c r="F7" s="520">
        <f>SUMIF(59:59,YEAR(E7)&amp;"-"&amp;MONTH(E7),60:60)</f>
        <v>0</v>
      </c>
      <c r="G7" s="519"/>
      <c r="H7" s="518">
        <f>SUMIF(59:59,YEAR(G7)&amp;"-"&amp;MONTH(G7),60:60)</f>
        <v>0</v>
      </c>
      <c r="I7" s="519"/>
      <c r="J7" s="518">
        <f>SUMIF(59:59,YEAR(I7)&amp;"-"&amp;MONTH(I7),60:60)</f>
        <v>0</v>
      </c>
      <c r="K7" s="522"/>
      <c r="L7" s="2118"/>
      <c r="M7" s="2119"/>
      <c r="N7" s="2119"/>
      <c r="O7" s="2119"/>
      <c r="P7" s="3443" t="s">
        <v>530</v>
      </c>
      <c r="Q7" s="3443"/>
      <c r="R7" s="1552" t="s">
        <v>8</v>
      </c>
      <c r="S7" s="1553">
        <f t="shared" ref="S7:S15" si="0">F7</f>
        <v>0</v>
      </c>
      <c r="T7" s="1552" t="s">
        <v>8</v>
      </c>
      <c r="U7" s="1553">
        <f t="shared" ref="U7:U15" si="1">H7</f>
        <v>0</v>
      </c>
      <c r="V7" s="1552" t="s">
        <v>8</v>
      </c>
      <c r="W7" s="1553">
        <f t="shared" ref="W7:W15"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SUMIF(62:62,E8,63:63)-SUMIF(62:62,C8,63:63)+100</f>
        <v>0</v>
      </c>
      <c r="G8" s="523"/>
      <c r="H8" s="518">
        <f>SUMIF(62:62,G8,63:63)-SUMIF(62:62,C8,63:63)+100</f>
        <v>0</v>
      </c>
      <c r="I8" s="523"/>
      <c r="J8" s="518">
        <f>SUMIF(62:62,I8,63:63)-SUMIF(62:62,C8,63:63)+100</f>
        <v>0</v>
      </c>
      <c r="K8" s="522"/>
      <c r="L8" s="2118"/>
      <c r="M8" s="2119"/>
      <c r="N8" s="2119"/>
      <c r="O8" s="2119"/>
      <c r="P8" s="3443" t="s">
        <v>533</v>
      </c>
      <c r="Q8" s="3442"/>
      <c r="R8" s="1552" t="s">
        <v>8</v>
      </c>
      <c r="S8" s="1553">
        <f t="shared" si="0"/>
        <v>0</v>
      </c>
      <c r="T8" s="1552" t="s">
        <v>8</v>
      </c>
      <c r="U8" s="1553">
        <f t="shared" si="1"/>
        <v>0</v>
      </c>
      <c r="V8" s="1552" t="s">
        <v>8</v>
      </c>
      <c r="W8" s="1553">
        <f t="shared" si="2"/>
        <v>0</v>
      </c>
      <c r="X8" s="1554"/>
      <c r="Y8" s="3441" t="s">
        <v>533</v>
      </c>
      <c r="Z8" s="3442"/>
      <c r="AA8" s="1555" t="e">
        <f t="shared" ref="AA8:AA47" si="3">D8/F8</f>
        <v>#DIV/0!</v>
      </c>
      <c r="AB8" s="1555" t="e">
        <f t="shared" ref="AB8:AB47" si="4">D8/H8</f>
        <v>#DIV/0!</v>
      </c>
      <c r="AC8" s="1555" t="e">
        <f t="shared" ref="AC8:AC47" si="5">D8/J8</f>
        <v>#DIV/0!</v>
      </c>
    </row>
    <row r="9" spans="1:29" s="1214" customFormat="1" ht="15">
      <c r="A9" s="2867"/>
      <c r="B9" s="2874" t="s">
        <v>2754</v>
      </c>
      <c r="C9" s="855"/>
      <c r="D9" s="252">
        <v>100</v>
      </c>
      <c r="E9" s="858"/>
      <c r="F9" s="252">
        <f>SUMIF(64:64,E9,65:65)-SUMIF(64:64,C9,65:65)+100</f>
        <v>100</v>
      </c>
      <c r="G9" s="856"/>
      <c r="H9" s="252">
        <f>SUMIF(64:64,G9,65:65)-SUMIF(64:64,C9,65:65)+100</f>
        <v>100</v>
      </c>
      <c r="I9" s="856"/>
      <c r="J9" s="252">
        <f>SUMIF(64:64,I9,65:65)-SUMIF(64:64,C9,65:65)+100</f>
        <v>100</v>
      </c>
      <c r="K9" s="522"/>
      <c r="L9" s="2118"/>
      <c r="M9" s="2119"/>
      <c r="N9" s="2119"/>
      <c r="O9" s="2119"/>
      <c r="P9" s="3409" t="s">
        <v>535</v>
      </c>
      <c r="Q9" s="1145" t="str">
        <f t="shared" ref="Q9:Q15" si="6">B9</f>
        <v>用途</v>
      </c>
      <c r="R9" s="1552" t="s">
        <v>8</v>
      </c>
      <c r="S9" s="1553">
        <f t="shared" si="0"/>
        <v>100</v>
      </c>
      <c r="T9" s="1552" t="s">
        <v>8</v>
      </c>
      <c r="U9" s="1553">
        <f t="shared" si="1"/>
        <v>100</v>
      </c>
      <c r="V9" s="1552" t="s">
        <v>8</v>
      </c>
      <c r="W9" s="1553">
        <f t="shared" si="2"/>
        <v>100</v>
      </c>
      <c r="X9" s="1554"/>
      <c r="Y9" s="3355" t="s">
        <v>536</v>
      </c>
      <c r="Z9" s="1144" t="str">
        <f t="shared" ref="Z9:Z15" si="7">Q9</f>
        <v>用途</v>
      </c>
      <c r="AA9" s="1555">
        <f t="shared" si="3"/>
        <v>1</v>
      </c>
      <c r="AB9" s="1555">
        <f t="shared" si="4"/>
        <v>1</v>
      </c>
      <c r="AC9" s="1555">
        <f t="shared" si="5"/>
        <v>1</v>
      </c>
    </row>
    <row r="10" spans="1:29" s="1332" customFormat="1" ht="27">
      <c r="A10" s="2868"/>
      <c r="B10" s="2873" t="s">
        <v>2755</v>
      </c>
      <c r="C10" s="859"/>
      <c r="D10" s="253">
        <v>100</v>
      </c>
      <c r="E10" s="859"/>
      <c r="F10" s="253">
        <f>SUMIF(66:66,E10,67:67)-SUMIF(66:66,C10,67:67)+100</f>
        <v>100</v>
      </c>
      <c r="G10" s="860"/>
      <c r="H10" s="253">
        <f>SUMIF(66:66,G10,67:67)-SUMIF(66:66,C10,67:67)+100</f>
        <v>100</v>
      </c>
      <c r="I10" s="859"/>
      <c r="J10" s="253">
        <f>SUMIF(66:66,I10,67:67)-SUMIF(66:66,C10,67:67)+100</f>
        <v>100</v>
      </c>
      <c r="K10" s="582"/>
      <c r="L10" s="2121"/>
      <c r="M10" s="2161"/>
      <c r="N10" s="2161"/>
      <c r="O10" s="2161"/>
      <c r="P10" s="3409"/>
      <c r="Q10" s="1145" t="str">
        <f t="shared" si="6"/>
        <v>土地使用年限（年）</v>
      </c>
      <c r="R10" s="1552" t="s">
        <v>8</v>
      </c>
      <c r="S10" s="1553">
        <f t="shared" si="0"/>
        <v>100</v>
      </c>
      <c r="T10" s="1552" t="s">
        <v>8</v>
      </c>
      <c r="U10" s="1553">
        <f t="shared" si="1"/>
        <v>100</v>
      </c>
      <c r="V10" s="1552" t="s">
        <v>8</v>
      </c>
      <c r="W10" s="1553">
        <f t="shared" si="2"/>
        <v>100</v>
      </c>
      <c r="X10" s="1554"/>
      <c r="Y10" s="3355"/>
      <c r="Z10" s="1144"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3"/>
      <c r="M11" s="2117"/>
      <c r="N11" s="2117"/>
      <c r="O11" s="2117"/>
      <c r="P11" s="3409"/>
      <c r="Q11" s="1145" t="str">
        <f t="shared" si="6"/>
        <v>容积率</v>
      </c>
      <c r="R11" s="1552" t="s">
        <v>8</v>
      </c>
      <c r="S11" s="1553" t="e">
        <f t="shared" si="0"/>
        <v>#N/A</v>
      </c>
      <c r="T11" s="1552" t="s">
        <v>8</v>
      </c>
      <c r="U11" s="1553" t="e">
        <f t="shared" si="1"/>
        <v>#N/A</v>
      </c>
      <c r="V11" s="1552" t="s">
        <v>8</v>
      </c>
      <c r="W11" s="1553" t="e">
        <f t="shared" si="2"/>
        <v>#N/A</v>
      </c>
      <c r="X11" s="1554"/>
      <c r="Y11" s="3355"/>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26"/>
      <c r="F12" s="253">
        <f>SUMIF(71:71,E12,72:72)-SUMIF(71:71,C12,72:72)+100</f>
        <v>100</v>
      </c>
      <c r="G12" s="908"/>
      <c r="H12" s="253">
        <f>SUMIF(71:71,G12,72:72)-SUMIF(71:71,C12,72:72)+100</f>
        <v>100</v>
      </c>
      <c r="I12" s="526"/>
      <c r="J12" s="253">
        <f>SUMIF(71:71,I12,72:72)-SUMIF(71:71,C12,72:72)+100</f>
        <v>100</v>
      </c>
      <c r="K12" s="579"/>
      <c r="L12" s="2118"/>
      <c r="M12" s="2119"/>
      <c r="N12" s="2119"/>
      <c r="O12" s="2119"/>
      <c r="P12" s="3409"/>
      <c r="Q12" s="1145">
        <f t="shared" si="6"/>
        <v>111</v>
      </c>
      <c r="R12" s="1552" t="s">
        <v>8</v>
      </c>
      <c r="S12" s="1553">
        <f t="shared" si="0"/>
        <v>100</v>
      </c>
      <c r="T12" s="1552" t="s">
        <v>8</v>
      </c>
      <c r="U12" s="1553">
        <f t="shared" si="1"/>
        <v>100</v>
      </c>
      <c r="V12" s="1552" t="s">
        <v>8</v>
      </c>
      <c r="W12" s="1553">
        <f t="shared" si="2"/>
        <v>100</v>
      </c>
      <c r="X12" s="1554"/>
      <c r="Y12" s="3355"/>
      <c r="Z12" s="1144">
        <f t="shared" si="7"/>
        <v>111</v>
      </c>
      <c r="AA12" s="1555">
        <f>D12/F12</f>
        <v>1</v>
      </c>
      <c r="AB12" s="1555">
        <f>D12/H12</f>
        <v>1</v>
      </c>
      <c r="AC12" s="1555">
        <f>D12/J12</f>
        <v>1</v>
      </c>
    </row>
    <row r="13" spans="1:29" ht="15">
      <c r="A13" s="2870"/>
      <c r="B13" s="2876">
        <v>111</v>
      </c>
      <c r="C13" s="537"/>
      <c r="D13" s="538">
        <v>100</v>
      </c>
      <c r="E13" s="526"/>
      <c r="F13" s="253">
        <f>SUMIF(73:73,E13,74:74)-SUMIF(73:73,C13,74:74)+100</f>
        <v>100</v>
      </c>
      <c r="G13" s="908"/>
      <c r="H13" s="538">
        <f>SUMIF(73:73,G13,74:74)-SUMIF(73:73,C13,74:74)+100</f>
        <v>100</v>
      </c>
      <c r="I13" s="526"/>
      <c r="J13" s="538">
        <f>SUMIF(73:73,I13,74:74)-SUMIF(73:73,C13,74:74)+100</f>
        <v>100</v>
      </c>
      <c r="K13" s="579"/>
      <c r="L13" s="2125"/>
      <c r="M13" s="2117"/>
      <c r="N13" s="2117"/>
      <c r="O13" s="2117"/>
      <c r="P13" s="3409"/>
      <c r="Q13" s="1145">
        <f t="shared" si="6"/>
        <v>111</v>
      </c>
      <c r="R13" s="1552" t="s">
        <v>8</v>
      </c>
      <c r="S13" s="1553">
        <f t="shared" si="0"/>
        <v>100</v>
      </c>
      <c r="T13" s="1552" t="s">
        <v>8</v>
      </c>
      <c r="U13" s="1553">
        <f t="shared" si="1"/>
        <v>100</v>
      </c>
      <c r="V13" s="1552" t="s">
        <v>8</v>
      </c>
      <c r="W13" s="1553">
        <f t="shared" si="2"/>
        <v>100</v>
      </c>
      <c r="X13" s="1554"/>
      <c r="Y13" s="3355"/>
      <c r="Z13" s="1144">
        <f t="shared" si="7"/>
        <v>111</v>
      </c>
      <c r="AA13" s="1555">
        <f t="shared" si="3"/>
        <v>1</v>
      </c>
      <c r="AB13" s="1555">
        <f t="shared" si="4"/>
        <v>1</v>
      </c>
      <c r="AC13" s="1555">
        <f t="shared" si="5"/>
        <v>1</v>
      </c>
    </row>
    <row r="14" spans="1:29" ht="15.75" thickBot="1">
      <c r="A14" s="2871"/>
      <c r="B14" s="2877">
        <v>111</v>
      </c>
      <c r="C14" s="543"/>
      <c r="D14" s="544">
        <v>100</v>
      </c>
      <c r="E14" s="909"/>
      <c r="F14" s="544">
        <f>SUMIF(75:75,E14,76:76)-SUMIF(75:75,C14,76:76)+100</f>
        <v>100</v>
      </c>
      <c r="G14" s="908"/>
      <c r="H14" s="544">
        <f>SUMIF(75:75,G14,76:76)-SUMIF(75:75,C14,76:76)+100</f>
        <v>100</v>
      </c>
      <c r="I14" s="526"/>
      <c r="J14" s="544">
        <f>SUMIF(75:75,I14,76:76)-SUMIF(75:75,C14,76:76)+100</f>
        <v>100</v>
      </c>
      <c r="K14" s="579"/>
      <c r="L14" s="2125"/>
      <c r="M14" s="2117"/>
      <c r="N14" s="2117"/>
      <c r="O14" s="2117"/>
      <c r="P14" s="3409"/>
      <c r="Q14" s="1145">
        <f t="shared" si="6"/>
        <v>111</v>
      </c>
      <c r="R14" s="1552" t="s">
        <v>8</v>
      </c>
      <c r="S14" s="1553">
        <f t="shared" si="0"/>
        <v>100</v>
      </c>
      <c r="T14" s="1552" t="s">
        <v>8</v>
      </c>
      <c r="U14" s="1553">
        <f t="shared" si="1"/>
        <v>100</v>
      </c>
      <c r="V14" s="1552" t="s">
        <v>8</v>
      </c>
      <c r="W14" s="1553">
        <f t="shared" si="2"/>
        <v>100</v>
      </c>
      <c r="X14" s="1554"/>
      <c r="Y14" s="3355"/>
      <c r="Z14" s="1144">
        <f t="shared" si="7"/>
        <v>111</v>
      </c>
      <c r="AA14" s="1555">
        <f t="shared" si="3"/>
        <v>1</v>
      </c>
      <c r="AB14" s="1555">
        <f t="shared" si="4"/>
        <v>1</v>
      </c>
      <c r="AC14" s="1555">
        <f t="shared" si="5"/>
        <v>1</v>
      </c>
    </row>
    <row r="15" spans="1:29" ht="15">
      <c r="A15" s="2863" t="s">
        <v>2752</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5"/>
      <c r="M15" s="2117"/>
      <c r="N15" s="2117"/>
      <c r="O15" s="2117"/>
      <c r="P15" s="3444" t="s">
        <v>540</v>
      </c>
      <c r="Q15" s="1556" t="str">
        <f t="shared" si="6"/>
        <v>办公集聚程度</v>
      </c>
      <c r="R15" s="1557" t="s">
        <v>8</v>
      </c>
      <c r="S15" s="1558">
        <f t="shared" si="0"/>
        <v>100</v>
      </c>
      <c r="T15" s="1557" t="s">
        <v>8</v>
      </c>
      <c r="U15" s="1558">
        <f t="shared" si="1"/>
        <v>100</v>
      </c>
      <c r="V15" s="1557" t="s">
        <v>8</v>
      </c>
      <c r="W15" s="1558">
        <f t="shared" si="2"/>
        <v>100</v>
      </c>
      <c r="X15" s="1551"/>
      <c r="Y15" s="3444" t="s">
        <v>540</v>
      </c>
      <c r="Z15" s="1559" t="str">
        <f t="shared" si="7"/>
        <v>办公集聚程度</v>
      </c>
      <c r="AA15" s="1560">
        <f t="shared" si="3"/>
        <v>1</v>
      </c>
      <c r="AB15" s="1560">
        <f t="shared" si="4"/>
        <v>1</v>
      </c>
      <c r="AC15" s="1560">
        <f t="shared" si="5"/>
        <v>1</v>
      </c>
    </row>
    <row r="16" spans="1:29" ht="15">
      <c r="A16" s="530"/>
      <c r="B16" s="551"/>
      <c r="C16" s="552"/>
      <c r="D16" s="553"/>
      <c r="E16" s="574"/>
      <c r="F16" s="553"/>
      <c r="G16" s="552"/>
      <c r="H16" s="557"/>
      <c r="I16" s="574"/>
      <c r="J16" s="553"/>
      <c r="K16" s="897"/>
      <c r="L16" s="2125"/>
      <c r="M16" s="2117"/>
      <c r="N16" s="2117"/>
      <c r="O16" s="2117"/>
      <c r="P16" s="3445"/>
      <c r="Q16" s="1556"/>
      <c r="R16" s="1557"/>
      <c r="S16" s="1558"/>
      <c r="T16" s="1557"/>
      <c r="U16" s="1558"/>
      <c r="V16" s="1557"/>
      <c r="W16" s="1558"/>
      <c r="X16" s="1551"/>
      <c r="Y16" s="3445"/>
      <c r="Z16" s="1559"/>
      <c r="AA16" s="1560">
        <v>1</v>
      </c>
      <c r="AB16" s="1560">
        <v>1</v>
      </c>
      <c r="AC16" s="1560">
        <v>1</v>
      </c>
    </row>
    <row r="17" spans="1:29" ht="185.25">
      <c r="A17" s="530"/>
      <c r="B17" s="558" t="s">
        <v>296</v>
      </c>
      <c r="C17" s="571" t="str">
        <f>估价对象房地状况!C6</f>
        <v>估价对象紧邻城市主干道——昌金路，临近城市主干道——顺密路。估价对象周边有顺16路、顺27路、顺32路、顺37路等多条公交线路通过，距离地铁15号线（俸伯站）约9公里，综合评价交通便捷度一般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25"/>
      <c r="M17" s="2117"/>
      <c r="N17" s="2117"/>
      <c r="O17" s="2117"/>
      <c r="P17" s="3445"/>
      <c r="Q17" s="1556" t="str">
        <f>B17</f>
        <v>交通便捷度</v>
      </c>
      <c r="R17" s="1557" t="s">
        <v>8</v>
      </c>
      <c r="S17" s="1558">
        <f>F17</f>
        <v>100</v>
      </c>
      <c r="T17" s="1557" t="s">
        <v>8</v>
      </c>
      <c r="U17" s="1558">
        <f>H17</f>
        <v>100</v>
      </c>
      <c r="V17" s="1557" t="s">
        <v>8</v>
      </c>
      <c r="W17" s="1558">
        <f>J17</f>
        <v>100</v>
      </c>
      <c r="X17" s="1551"/>
      <c r="Y17" s="3445"/>
      <c r="Z17" s="1559" t="str">
        <f>Q17</f>
        <v>交通便捷度</v>
      </c>
      <c r="AA17" s="1560">
        <f t="shared" si="3"/>
        <v>1</v>
      </c>
      <c r="AB17" s="1560">
        <f t="shared" si="4"/>
        <v>1</v>
      </c>
      <c r="AC17" s="1560">
        <f t="shared" si="5"/>
        <v>1</v>
      </c>
    </row>
    <row r="18" spans="1:29" ht="15">
      <c r="A18" s="530"/>
      <c r="B18" s="564"/>
      <c r="C18" s="565"/>
      <c r="D18" s="557"/>
      <c r="E18" s="567"/>
      <c r="F18" s="557"/>
      <c r="G18" s="566"/>
      <c r="H18" s="553"/>
      <c r="I18" s="566"/>
      <c r="J18" s="553"/>
      <c r="K18" s="897"/>
      <c r="L18" s="2125"/>
      <c r="M18" s="2117"/>
      <c r="N18" s="2117"/>
      <c r="O18" s="2117"/>
      <c r="P18" s="3445"/>
      <c r="Q18" s="1556"/>
      <c r="R18" s="1557"/>
      <c r="S18" s="1558"/>
      <c r="T18" s="1557"/>
      <c r="U18" s="1558"/>
      <c r="V18" s="1557"/>
      <c r="W18" s="1558"/>
      <c r="X18" s="1551"/>
      <c r="Y18" s="3445"/>
      <c r="Z18" s="1559"/>
      <c r="AA18" s="1560">
        <v>1</v>
      </c>
      <c r="AB18" s="1560">
        <v>1</v>
      </c>
      <c r="AC18" s="1560">
        <v>1</v>
      </c>
    </row>
    <row r="19" spans="1:29" ht="171">
      <c r="A19" s="530"/>
      <c r="B19" s="2565" t="s">
        <v>2545</v>
      </c>
      <c r="C19" s="571" t="str">
        <f>估价对象房地状况!C7</f>
        <v>估价对象所在区域有银行（北京顺义银座村镇银行(北小营支行)等），学校（北京顺义第十三中学等），无大型购物场所、医院、餐饮等公共配套设施，综合确定公共配套设施齐备度一般</v>
      </c>
      <c r="D19" s="563">
        <v>100</v>
      </c>
      <c r="E19" s="570"/>
      <c r="F19" s="563">
        <f>SUMIF(81:81,E20,82:82)-SUMIF(81:81,C20,82:82)+100</f>
        <v>100</v>
      </c>
      <c r="G19" s="568"/>
      <c r="H19" s="557">
        <f>SUMIF(81:81,G20,82:82)-SUMIF(81:81,C20,82:82)+100</f>
        <v>100</v>
      </c>
      <c r="I19" s="568"/>
      <c r="J19" s="557">
        <f>SUMIF(81:81,I20,82:82)-SUMIF(81:81,C20,82:82)+100</f>
        <v>100</v>
      </c>
      <c r="K19" s="896"/>
      <c r="L19" s="2125"/>
      <c r="M19" s="2117"/>
      <c r="N19" s="2117"/>
      <c r="O19" s="2117"/>
      <c r="P19" s="3445"/>
      <c r="Q19" s="1556" t="str">
        <f>B19</f>
        <v>公共配套设施</v>
      </c>
      <c r="R19" s="1557" t="s">
        <v>8</v>
      </c>
      <c r="S19" s="1558">
        <f>F19</f>
        <v>100</v>
      </c>
      <c r="T19" s="1557" t="s">
        <v>8</v>
      </c>
      <c r="U19" s="1558">
        <f>H19</f>
        <v>100</v>
      </c>
      <c r="V19" s="1557" t="s">
        <v>8</v>
      </c>
      <c r="W19" s="1558">
        <f>J19</f>
        <v>100</v>
      </c>
      <c r="X19" s="1551"/>
      <c r="Y19" s="3445"/>
      <c r="Z19" s="1559" t="str">
        <f>Q19</f>
        <v>公共配套设施</v>
      </c>
      <c r="AA19" s="1560">
        <f t="shared" si="3"/>
        <v>1</v>
      </c>
      <c r="AB19" s="1560">
        <f t="shared" si="4"/>
        <v>1</v>
      </c>
      <c r="AC19" s="1560">
        <f t="shared" si="5"/>
        <v>1</v>
      </c>
    </row>
    <row r="20" spans="1:29" ht="15">
      <c r="A20" s="530"/>
      <c r="B20" s="564"/>
      <c r="C20" s="552"/>
      <c r="D20" s="553"/>
      <c r="E20" s="556"/>
      <c r="F20" s="553"/>
      <c r="G20" s="554"/>
      <c r="H20" s="553"/>
      <c r="I20" s="554"/>
      <c r="J20" s="553"/>
      <c r="K20" s="897"/>
      <c r="L20" s="2125"/>
      <c r="M20" s="2117"/>
      <c r="N20" s="2117"/>
      <c r="O20" s="2117"/>
      <c r="P20" s="3445"/>
      <c r="Q20" s="1556"/>
      <c r="R20" s="1557"/>
      <c r="S20" s="1558"/>
      <c r="T20" s="1557"/>
      <c r="U20" s="1558"/>
      <c r="V20" s="1557"/>
      <c r="W20" s="1558"/>
      <c r="X20" s="1551"/>
      <c r="Y20" s="3445"/>
      <c r="Z20" s="1559"/>
      <c r="AA20" s="1560">
        <v>1</v>
      </c>
      <c r="AB20" s="1560">
        <v>1</v>
      </c>
      <c r="AC20" s="1560">
        <v>1</v>
      </c>
    </row>
    <row r="21" spans="1:29" ht="42.75">
      <c r="A21" s="530"/>
      <c r="B21" s="2553" t="s">
        <v>2557</v>
      </c>
      <c r="C21" s="571" t="str">
        <f>估价对象房地状况!C8</f>
        <v>估价对象所在区域基础设施水平为六通</v>
      </c>
      <c r="D21" s="563">
        <v>100</v>
      </c>
      <c r="E21" s="570"/>
      <c r="F21" s="563">
        <f>SUMIF(83:83,E22,84:84)-SUMIF(83:83,C22,84:84)+100</f>
        <v>100</v>
      </c>
      <c r="G21" s="568"/>
      <c r="H21" s="563">
        <f>SUMIF(83:83,G22,84:84)-SUMIF(83:83,C22,84:84)+100</f>
        <v>100</v>
      </c>
      <c r="I21" s="568"/>
      <c r="J21" s="563">
        <f>SUMIF(83:83,I22,84:84)-SUMIF(83:83,C22,84:84)+100</f>
        <v>100</v>
      </c>
      <c r="K21" s="896"/>
      <c r="L21" s="2125"/>
      <c r="M21" s="2117"/>
      <c r="N21" s="2117"/>
      <c r="O21" s="2117"/>
      <c r="P21" s="3445"/>
      <c r="Q21" s="2541" t="str">
        <f>B21</f>
        <v>基础设施水平</v>
      </c>
      <c r="R21" s="1557" t="s">
        <v>8</v>
      </c>
      <c r="S21" s="1558">
        <f>F21</f>
        <v>100</v>
      </c>
      <c r="T21" s="1557" t="s">
        <v>8</v>
      </c>
      <c r="U21" s="1558">
        <f>H21</f>
        <v>100</v>
      </c>
      <c r="V21" s="1557" t="s">
        <v>8</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576"/>
      <c r="C22" s="565"/>
      <c r="D22" s="553"/>
      <c r="E22" s="574"/>
      <c r="F22" s="553"/>
      <c r="G22" s="552"/>
      <c r="H22" s="553"/>
      <c r="I22" s="552"/>
      <c r="J22" s="553"/>
      <c r="K22" s="2564"/>
      <c r="L22" s="2125"/>
      <c r="M22" s="2117"/>
      <c r="N22" s="2117"/>
      <c r="O22" s="2117"/>
      <c r="P22" s="3445"/>
      <c r="Q22" s="2541"/>
      <c r="R22" s="1557"/>
      <c r="S22" s="1558"/>
      <c r="T22" s="1557"/>
      <c r="U22" s="1558"/>
      <c r="V22" s="1557"/>
      <c r="W22" s="1558"/>
      <c r="X22" s="2543"/>
      <c r="Y22" s="3445"/>
      <c r="Z22" s="2542"/>
      <c r="AA22" s="1560">
        <v>1</v>
      </c>
      <c r="AB22" s="1560">
        <v>1</v>
      </c>
      <c r="AC22" s="1560">
        <v>1</v>
      </c>
    </row>
    <row r="23" spans="1:29" ht="142.5">
      <c r="A23" s="530"/>
      <c r="B23" s="558" t="s">
        <v>778</v>
      </c>
      <c r="C23" s="571" t="str">
        <f>估价对象房地状况!C9</f>
        <v>估价对象周边有箭杆河、民悦广场、凤阳广场、顺义奥林匹克水上公园等自然景观；有北小营镇政府等人文设施，综合考虑自然环境与人文环境一般</v>
      </c>
      <c r="D23" s="557">
        <v>100</v>
      </c>
      <c r="E23" s="562"/>
      <c r="F23" s="557">
        <f>SUMIF(85:85,E24,86:86)-SUMIF(85:85,C24,86:86)+100</f>
        <v>100</v>
      </c>
      <c r="G23" s="560"/>
      <c r="H23" s="557">
        <f>SUMIF(85:85,G24,86:86)-SUMIF(85:85,C24,86:86)+100</f>
        <v>100</v>
      </c>
      <c r="I23" s="560"/>
      <c r="J23" s="557">
        <f>SUMIF(85:85,I24,86:86)-SUMIF(85:85,C24,86:86)+100</f>
        <v>100</v>
      </c>
      <c r="K23" s="896"/>
      <c r="L23" s="2125"/>
      <c r="M23" s="2117"/>
      <c r="N23" s="2117"/>
      <c r="O23" s="2117"/>
      <c r="P23" s="3445"/>
      <c r="Q23" s="1556" t="str">
        <f>B23</f>
        <v>环境质量</v>
      </c>
      <c r="R23" s="1557" t="s">
        <v>8</v>
      </c>
      <c r="S23" s="1558">
        <f>F23</f>
        <v>100</v>
      </c>
      <c r="T23" s="1557" t="s">
        <v>8</v>
      </c>
      <c r="U23" s="1558">
        <f>H23</f>
        <v>100</v>
      </c>
      <c r="V23" s="1557" t="s">
        <v>8</v>
      </c>
      <c r="W23" s="1558">
        <f>J23</f>
        <v>100</v>
      </c>
      <c r="X23" s="1551"/>
      <c r="Y23" s="3445"/>
      <c r="Z23" s="1559" t="str">
        <f>Q23</f>
        <v>环境质量</v>
      </c>
      <c r="AA23" s="1560">
        <f t="shared" si="3"/>
        <v>1</v>
      </c>
      <c r="AB23" s="1560">
        <f t="shared" si="4"/>
        <v>1</v>
      </c>
      <c r="AC23" s="1560">
        <f t="shared" si="5"/>
        <v>1</v>
      </c>
    </row>
    <row r="24" spans="1:29" ht="15">
      <c r="A24" s="530"/>
      <c r="B24" s="576"/>
      <c r="C24" s="552"/>
      <c r="D24" s="553"/>
      <c r="E24" s="556"/>
      <c r="F24" s="553"/>
      <c r="G24" s="554"/>
      <c r="H24" s="553"/>
      <c r="I24" s="554"/>
      <c r="J24" s="553"/>
      <c r="K24" s="897"/>
      <c r="L24" s="2125"/>
      <c r="M24" s="2117"/>
      <c r="N24" s="2117"/>
      <c r="O24" s="2117"/>
      <c r="P24" s="3445"/>
      <c r="Q24" s="1556"/>
      <c r="R24" s="1557"/>
      <c r="S24" s="1558"/>
      <c r="T24" s="1557"/>
      <c r="U24" s="1558"/>
      <c r="V24" s="1557"/>
      <c r="W24" s="1558"/>
      <c r="X24" s="1551"/>
      <c r="Y24" s="3445"/>
      <c r="Z24" s="1559"/>
      <c r="AA24" s="1560">
        <v>1</v>
      </c>
      <c r="AB24" s="1560">
        <v>1</v>
      </c>
      <c r="AC24" s="1560">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5"/>
      <c r="M25" s="2117"/>
      <c r="N25" s="2117"/>
      <c r="O25" s="2117"/>
      <c r="P25" s="3445"/>
      <c r="Q25" s="1556" t="str">
        <f>B25</f>
        <v>毗邻道路的类型与等级</v>
      </c>
      <c r="R25" s="1557" t="s">
        <v>8</v>
      </c>
      <c r="S25" s="1558">
        <f>F25</f>
        <v>100</v>
      </c>
      <c r="T25" s="1557" t="s">
        <v>8</v>
      </c>
      <c r="U25" s="1558">
        <f>H25</f>
        <v>100</v>
      </c>
      <c r="V25" s="1557" t="s">
        <v>8</v>
      </c>
      <c r="W25" s="1558">
        <f>J25</f>
        <v>100</v>
      </c>
      <c r="X25" s="1551"/>
      <c r="Y25" s="3445"/>
      <c r="Z25" s="1559" t="str">
        <f>Q25</f>
        <v>毗邻道路的类型与等级</v>
      </c>
      <c r="AA25" s="1560">
        <f t="shared" si="3"/>
        <v>1</v>
      </c>
      <c r="AB25" s="1560">
        <f t="shared" si="4"/>
        <v>1</v>
      </c>
      <c r="AC25" s="1560">
        <f t="shared" si="5"/>
        <v>1</v>
      </c>
    </row>
    <row r="26" spans="1:29" ht="15">
      <c r="A26" s="513"/>
      <c r="B26" s="564"/>
      <c r="C26" s="578"/>
      <c r="D26" s="538"/>
      <c r="E26" s="581"/>
      <c r="F26" s="538"/>
      <c r="G26" s="578"/>
      <c r="H26" s="538"/>
      <c r="I26" s="581"/>
      <c r="J26" s="538"/>
      <c r="K26" s="897"/>
      <c r="L26" s="2125"/>
      <c r="M26" s="2117"/>
      <c r="N26" s="2117"/>
      <c r="O26" s="2117"/>
      <c r="P26" s="3445"/>
      <c r="Q26" s="1556"/>
      <c r="R26" s="1557"/>
      <c r="S26" s="1558"/>
      <c r="T26" s="1557"/>
      <c r="U26" s="1558"/>
      <c r="V26" s="1557"/>
      <c r="W26" s="1558"/>
      <c r="X26" s="1551"/>
      <c r="Y26" s="3445"/>
      <c r="Z26" s="1559"/>
      <c r="AA26" s="1560">
        <v>1</v>
      </c>
      <c r="AB26" s="1560">
        <v>1</v>
      </c>
      <c r="AC26" s="1560">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5"/>
      <c r="M27" s="2117"/>
      <c r="N27" s="2117"/>
      <c r="O27" s="2117"/>
      <c r="P27" s="3445"/>
      <c r="Q27" s="1556" t="str">
        <f t="shared" ref="Q27:Q47" si="11">B27</f>
        <v>楼层</v>
      </c>
      <c r="R27" s="1557" t="s">
        <v>8</v>
      </c>
      <c r="S27" s="1558">
        <f>F27</f>
        <v>100</v>
      </c>
      <c r="T27" s="1557" t="s">
        <v>8</v>
      </c>
      <c r="U27" s="1558">
        <f>H27</f>
        <v>100</v>
      </c>
      <c r="V27" s="1557" t="s">
        <v>8</v>
      </c>
      <c r="W27" s="1558">
        <f>J27</f>
        <v>100</v>
      </c>
      <c r="X27" s="1551"/>
      <c r="Y27" s="3445"/>
      <c r="Z27" s="1559" t="str">
        <f>Q27</f>
        <v>楼层</v>
      </c>
      <c r="AA27" s="1560">
        <f t="shared" si="3"/>
        <v>1</v>
      </c>
      <c r="AB27" s="1560">
        <f t="shared" si="4"/>
        <v>1</v>
      </c>
      <c r="AC27" s="1560">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8"/>
      <c r="M28" s="2119"/>
      <c r="N28" s="2119"/>
      <c r="O28" s="2119"/>
      <c r="P28" s="3445"/>
      <c r="Q28" s="1145" t="str">
        <f t="shared" si="11"/>
        <v>朝向</v>
      </c>
      <c r="R28" s="1552" t="s">
        <v>8</v>
      </c>
      <c r="S28" s="1553">
        <f>F28</f>
        <v>100</v>
      </c>
      <c r="T28" s="1552" t="s">
        <v>8</v>
      </c>
      <c r="U28" s="1553">
        <f>H28</f>
        <v>100</v>
      </c>
      <c r="V28" s="1552" t="s">
        <v>8</v>
      </c>
      <c r="W28" s="1553">
        <f>J28</f>
        <v>100</v>
      </c>
      <c r="X28" s="1554"/>
      <c r="Y28" s="3445"/>
      <c r="Z28" s="1144" t="str">
        <f>Q28</f>
        <v>朝向</v>
      </c>
      <c r="AA28" s="1560">
        <f>D28/F28</f>
        <v>1</v>
      </c>
      <c r="AB28" s="1560">
        <f>D28/H28</f>
        <v>1</v>
      </c>
      <c r="AC28" s="1560">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5"/>
      <c r="M29" s="2117"/>
      <c r="N29" s="2117"/>
      <c r="O29" s="2117"/>
      <c r="P29" s="3445"/>
      <c r="Q29" s="1556">
        <f t="shared" si="11"/>
        <v>111</v>
      </c>
      <c r="R29" s="1557" t="s">
        <v>8</v>
      </c>
      <c r="S29" s="1558">
        <f t="shared" ref="S29:S47" si="12">F29</f>
        <v>100</v>
      </c>
      <c r="T29" s="1557" t="s">
        <v>8</v>
      </c>
      <c r="U29" s="1558">
        <f t="shared" ref="U29:U47" si="13">H29</f>
        <v>100</v>
      </c>
      <c r="V29" s="1557" t="s">
        <v>8</v>
      </c>
      <c r="W29" s="1558">
        <f t="shared" ref="W29:W47" si="14">J29</f>
        <v>100</v>
      </c>
      <c r="X29" s="1551"/>
      <c r="Y29" s="3445"/>
      <c r="Z29" s="1559">
        <f t="shared" ref="Z29:Z47" si="15">Q29</f>
        <v>111</v>
      </c>
      <c r="AA29" s="1560">
        <f t="shared" si="3"/>
        <v>1</v>
      </c>
      <c r="AB29" s="1560">
        <f t="shared" si="4"/>
        <v>1</v>
      </c>
      <c r="AC29" s="1560">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5"/>
      <c r="M30" s="2117"/>
      <c r="N30" s="2117"/>
      <c r="O30" s="2117"/>
      <c r="P30" s="3445"/>
      <c r="Q30" s="1556">
        <f t="shared" si="11"/>
        <v>111</v>
      </c>
      <c r="R30" s="1557" t="s">
        <v>8</v>
      </c>
      <c r="S30" s="1558">
        <f t="shared" si="12"/>
        <v>100</v>
      </c>
      <c r="T30" s="1557" t="s">
        <v>8</v>
      </c>
      <c r="U30" s="1558">
        <f t="shared" si="13"/>
        <v>100</v>
      </c>
      <c r="V30" s="1557" t="s">
        <v>8</v>
      </c>
      <c r="W30" s="1558">
        <f t="shared" si="14"/>
        <v>100</v>
      </c>
      <c r="X30" s="1551"/>
      <c r="Y30" s="3445"/>
      <c r="Z30" s="1559">
        <f t="shared" si="15"/>
        <v>111</v>
      </c>
      <c r="AA30" s="1560">
        <f t="shared" si="3"/>
        <v>1</v>
      </c>
      <c r="AB30" s="1560">
        <f t="shared" si="4"/>
        <v>1</v>
      </c>
      <c r="AC30" s="1560">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5"/>
      <c r="M31" s="2117"/>
      <c r="N31" s="2117"/>
      <c r="O31" s="2117"/>
      <c r="P31" s="3445"/>
      <c r="Q31" s="1556">
        <f t="shared" si="11"/>
        <v>111</v>
      </c>
      <c r="R31" s="1557" t="s">
        <v>8</v>
      </c>
      <c r="S31" s="1558">
        <f t="shared" si="12"/>
        <v>100</v>
      </c>
      <c r="T31" s="1557" t="s">
        <v>8</v>
      </c>
      <c r="U31" s="1558">
        <f t="shared" si="13"/>
        <v>100</v>
      </c>
      <c r="V31" s="1557" t="s">
        <v>8</v>
      </c>
      <c r="W31" s="1558">
        <f t="shared" si="14"/>
        <v>100</v>
      </c>
      <c r="X31" s="1551"/>
      <c r="Y31" s="3445"/>
      <c r="Z31" s="1559">
        <f t="shared" si="15"/>
        <v>111</v>
      </c>
      <c r="AA31" s="1560">
        <f t="shared" si="3"/>
        <v>1</v>
      </c>
      <c r="AB31" s="1560">
        <f t="shared" si="4"/>
        <v>1</v>
      </c>
      <c r="AC31" s="1560">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5"/>
      <c r="M32" s="2117"/>
      <c r="N32" s="2117"/>
      <c r="O32" s="2117"/>
      <c r="P32" s="3445"/>
      <c r="Q32" s="1556">
        <f t="shared" si="11"/>
        <v>111</v>
      </c>
      <c r="R32" s="1557" t="s">
        <v>8</v>
      </c>
      <c r="S32" s="1558">
        <f t="shared" si="12"/>
        <v>100</v>
      </c>
      <c r="T32" s="1557" t="s">
        <v>8</v>
      </c>
      <c r="U32" s="1558">
        <f t="shared" si="13"/>
        <v>100</v>
      </c>
      <c r="V32" s="1557" t="s">
        <v>8</v>
      </c>
      <c r="W32" s="1558">
        <f t="shared" si="14"/>
        <v>100</v>
      </c>
      <c r="X32" s="1551"/>
      <c r="Y32" s="3445"/>
      <c r="Z32" s="1559">
        <f t="shared" si="15"/>
        <v>111</v>
      </c>
      <c r="AA32" s="1560">
        <f t="shared" si="3"/>
        <v>1</v>
      </c>
      <c r="AB32" s="1560">
        <f t="shared" si="4"/>
        <v>1</v>
      </c>
      <c r="AC32" s="1560">
        <f t="shared" si="5"/>
        <v>1</v>
      </c>
    </row>
    <row r="33" spans="1:29" ht="15">
      <c r="A33" s="2860" t="s">
        <v>2753</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5"/>
      <c r="M33" s="2117"/>
      <c r="N33" s="2117"/>
      <c r="O33" s="2117"/>
      <c r="P33" s="3446" t="s">
        <v>550</v>
      </c>
      <c r="Q33" s="1556" t="str">
        <f t="shared" si="11"/>
        <v>建筑类型</v>
      </c>
      <c r="R33" s="1557" t="s">
        <v>8</v>
      </c>
      <c r="S33" s="1558">
        <f t="shared" si="12"/>
        <v>100</v>
      </c>
      <c r="T33" s="1557" t="s">
        <v>8</v>
      </c>
      <c r="U33" s="1558">
        <f t="shared" si="13"/>
        <v>100</v>
      </c>
      <c r="V33" s="1557" t="s">
        <v>8</v>
      </c>
      <c r="W33" s="1558">
        <f t="shared" si="14"/>
        <v>100</v>
      </c>
      <c r="X33" s="1551"/>
      <c r="Y33" s="3447" t="s">
        <v>550</v>
      </c>
      <c r="Z33" s="1559" t="str">
        <f t="shared" si="15"/>
        <v>建筑类型</v>
      </c>
      <c r="AA33" s="1560">
        <f t="shared" si="3"/>
        <v>1</v>
      </c>
      <c r="AB33" s="1560">
        <f t="shared" si="4"/>
        <v>1</v>
      </c>
      <c r="AC33" s="1560">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3"/>
      <c r="M34" s="2154"/>
      <c r="N34" s="2154"/>
      <c r="O34" s="2154"/>
      <c r="P34" s="3447"/>
      <c r="Q34" s="1588" t="str">
        <f t="shared" si="11"/>
        <v>项目建筑规模</v>
      </c>
      <c r="R34" s="1561" t="s">
        <v>8</v>
      </c>
      <c r="S34" s="1562" t="e">
        <f t="shared" si="12"/>
        <v>#N/A</v>
      </c>
      <c r="T34" s="1561" t="s">
        <v>8</v>
      </c>
      <c r="U34" s="1562" t="e">
        <f t="shared" si="13"/>
        <v>#N/A</v>
      </c>
      <c r="V34" s="1561" t="s">
        <v>8</v>
      </c>
      <c r="W34" s="1562" t="e">
        <f t="shared" si="14"/>
        <v>#N/A</v>
      </c>
      <c r="X34" s="1563"/>
      <c r="Y34" s="3447"/>
      <c r="Z34" s="1564" t="str">
        <f t="shared" si="15"/>
        <v>项目建筑规模</v>
      </c>
      <c r="AA34" s="1560" t="e">
        <f t="shared" si="3"/>
        <v>#N/A</v>
      </c>
      <c r="AB34" s="1560" t="e">
        <f t="shared" si="4"/>
        <v>#N/A</v>
      </c>
      <c r="AC34" s="1560"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5"/>
      <c r="M35" s="2117"/>
      <c r="N35" s="2117"/>
      <c r="O35" s="2117"/>
      <c r="P35" s="3447"/>
      <c r="Q35" s="1556" t="str">
        <f t="shared" si="11"/>
        <v>建筑结构</v>
      </c>
      <c r="R35" s="1557" t="s">
        <v>8</v>
      </c>
      <c r="S35" s="1558">
        <f t="shared" si="12"/>
        <v>100</v>
      </c>
      <c r="T35" s="1557" t="s">
        <v>8</v>
      </c>
      <c r="U35" s="1558">
        <f t="shared" si="13"/>
        <v>100</v>
      </c>
      <c r="V35" s="1557" t="s">
        <v>8</v>
      </c>
      <c r="W35" s="1558">
        <f t="shared" si="14"/>
        <v>100</v>
      </c>
      <c r="X35" s="1551"/>
      <c r="Y35" s="3447"/>
      <c r="Z35" s="1559" t="str">
        <f t="shared" si="15"/>
        <v>建筑结构</v>
      </c>
      <c r="AA35" s="1560">
        <f t="shared" si="3"/>
        <v>1</v>
      </c>
      <c r="AB35" s="1560">
        <f t="shared" si="4"/>
        <v>1</v>
      </c>
      <c r="AC35" s="1560">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5"/>
      <c r="M36" s="2117"/>
      <c r="N36" s="2117"/>
      <c r="O36" s="2117"/>
      <c r="P36" s="3447"/>
      <c r="Q36" s="1556" t="str">
        <f t="shared" si="11"/>
        <v>公共部分装修</v>
      </c>
      <c r="R36" s="1557" t="s">
        <v>8</v>
      </c>
      <c r="S36" s="1558">
        <f t="shared" si="12"/>
        <v>100</v>
      </c>
      <c r="T36" s="1557" t="s">
        <v>8</v>
      </c>
      <c r="U36" s="1558">
        <f t="shared" si="13"/>
        <v>100</v>
      </c>
      <c r="V36" s="1557" t="s">
        <v>8</v>
      </c>
      <c r="W36" s="1558">
        <f t="shared" si="14"/>
        <v>100</v>
      </c>
      <c r="X36" s="1551"/>
      <c r="Y36" s="3447"/>
      <c r="Z36" s="1559" t="str">
        <f t="shared" si="15"/>
        <v>公共部分装修</v>
      </c>
      <c r="AA36" s="1560">
        <f t="shared" si="3"/>
        <v>1</v>
      </c>
      <c r="AB36" s="1560">
        <f t="shared" si="4"/>
        <v>1</v>
      </c>
      <c r="AC36" s="1560">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5"/>
      <c r="M37" s="2117"/>
      <c r="N37" s="2117"/>
      <c r="O37" s="2117"/>
      <c r="P37" s="3447"/>
      <c r="Q37" s="1556" t="str">
        <f t="shared" si="11"/>
        <v>成新度</v>
      </c>
      <c r="R37" s="1557" t="s">
        <v>8</v>
      </c>
      <c r="S37" s="1558" t="e">
        <f t="shared" si="12"/>
        <v>#N/A</v>
      </c>
      <c r="T37" s="1557" t="s">
        <v>8</v>
      </c>
      <c r="U37" s="1558" t="e">
        <f t="shared" si="13"/>
        <v>#N/A</v>
      </c>
      <c r="V37" s="1557" t="s">
        <v>8</v>
      </c>
      <c r="W37" s="1558" t="e">
        <f t="shared" si="14"/>
        <v>#N/A</v>
      </c>
      <c r="X37" s="1551"/>
      <c r="Y37" s="3447"/>
      <c r="Z37" s="1559" t="str">
        <f t="shared" si="15"/>
        <v>成新度</v>
      </c>
      <c r="AA37" s="1560" t="e">
        <f t="shared" si="3"/>
        <v>#N/A</v>
      </c>
      <c r="AB37" s="1560" t="e">
        <f t="shared" si="4"/>
        <v>#N/A</v>
      </c>
      <c r="AC37" s="1560"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8"/>
      <c r="M38" s="2119"/>
      <c r="N38" s="2119"/>
      <c r="O38" s="2119"/>
      <c r="P38" s="3447"/>
      <c r="Q38" s="1145" t="str">
        <f t="shared" si="11"/>
        <v>写字楼等级</v>
      </c>
      <c r="R38" s="1552" t="s">
        <v>8</v>
      </c>
      <c r="S38" s="1553">
        <f t="shared" si="12"/>
        <v>100</v>
      </c>
      <c r="T38" s="1552" t="s">
        <v>8</v>
      </c>
      <c r="U38" s="1553">
        <f t="shared" si="13"/>
        <v>100</v>
      </c>
      <c r="V38" s="1552" t="s">
        <v>8</v>
      </c>
      <c r="W38" s="1553">
        <f t="shared" si="14"/>
        <v>100</v>
      </c>
      <c r="X38" s="1554"/>
      <c r="Y38" s="3447"/>
      <c r="Z38" s="1144" t="str">
        <f t="shared" si="15"/>
        <v>写字楼等级</v>
      </c>
      <c r="AA38" s="1555">
        <f t="shared" si="3"/>
        <v>1</v>
      </c>
      <c r="AB38" s="1555">
        <f t="shared" si="4"/>
        <v>1</v>
      </c>
      <c r="AC38" s="1555">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5"/>
      <c r="M39" s="2117"/>
      <c r="N39" s="2117"/>
      <c r="O39" s="2117"/>
      <c r="P39" s="3447" t="s">
        <v>550</v>
      </c>
      <c r="Q39" s="1556" t="str">
        <f t="shared" si="11"/>
        <v>物业管理</v>
      </c>
      <c r="R39" s="1557" t="s">
        <v>8</v>
      </c>
      <c r="S39" s="1558">
        <f t="shared" si="12"/>
        <v>100</v>
      </c>
      <c r="T39" s="1557" t="s">
        <v>8</v>
      </c>
      <c r="U39" s="1558">
        <f t="shared" si="13"/>
        <v>100</v>
      </c>
      <c r="V39" s="1557" t="s">
        <v>8</v>
      </c>
      <c r="W39" s="1558">
        <f t="shared" si="14"/>
        <v>100</v>
      </c>
      <c r="X39" s="1551"/>
      <c r="Y39" s="3447" t="s">
        <v>550</v>
      </c>
      <c r="Z39" s="1559" t="str">
        <f t="shared" si="15"/>
        <v>物业管理</v>
      </c>
      <c r="AA39" s="1560">
        <f t="shared" si="3"/>
        <v>1</v>
      </c>
      <c r="AB39" s="1560">
        <f t="shared" si="4"/>
        <v>1</v>
      </c>
      <c r="AC39" s="1560">
        <f t="shared" si="5"/>
        <v>1</v>
      </c>
    </row>
    <row r="40" spans="1:29" ht="15">
      <c r="A40" s="592"/>
      <c r="B40" s="1878"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47"/>
      <c r="Q40" s="1556" t="str">
        <f t="shared" si="11"/>
        <v>市政基础设施</v>
      </c>
      <c r="R40" s="1557" t="s">
        <v>8</v>
      </c>
      <c r="S40" s="1558">
        <f t="shared" si="12"/>
        <v>100</v>
      </c>
      <c r="T40" s="1557" t="s">
        <v>8</v>
      </c>
      <c r="U40" s="1558">
        <f t="shared" si="13"/>
        <v>100</v>
      </c>
      <c r="V40" s="1557" t="s">
        <v>8</v>
      </c>
      <c r="W40" s="1558">
        <f t="shared" si="14"/>
        <v>100</v>
      </c>
      <c r="X40" s="1551"/>
      <c r="Y40" s="3447"/>
      <c r="Z40" s="1559" t="str">
        <f t="shared" si="15"/>
        <v>市政基础设施</v>
      </c>
      <c r="AA40" s="1560">
        <f t="shared" si="3"/>
        <v>1</v>
      </c>
      <c r="AB40" s="1560">
        <f t="shared" si="4"/>
        <v>1</v>
      </c>
      <c r="AC40" s="1560">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5"/>
      <c r="M41" s="2117"/>
      <c r="N41" s="2117"/>
      <c r="O41" s="2117"/>
      <c r="P41" s="3447"/>
      <c r="Q41" s="1556" t="str">
        <f t="shared" si="11"/>
        <v>层高</v>
      </c>
      <c r="R41" s="1557" t="s">
        <v>8</v>
      </c>
      <c r="S41" s="1558">
        <f t="shared" si="12"/>
        <v>100</v>
      </c>
      <c r="T41" s="1557" t="s">
        <v>8</v>
      </c>
      <c r="U41" s="1558">
        <f t="shared" si="13"/>
        <v>100</v>
      </c>
      <c r="V41" s="1557" t="s">
        <v>8</v>
      </c>
      <c r="W41" s="1558">
        <f t="shared" si="14"/>
        <v>100</v>
      </c>
      <c r="X41" s="1551"/>
      <c r="Y41" s="3447"/>
      <c r="Z41" s="1559" t="str">
        <f t="shared" si="15"/>
        <v>层高</v>
      </c>
      <c r="AA41" s="1560">
        <f t="shared" si="3"/>
        <v>1</v>
      </c>
      <c r="AB41" s="1560">
        <f t="shared" si="4"/>
        <v>1</v>
      </c>
      <c r="AC41" s="1560">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47"/>
      <c r="Q42" s="1588" t="str">
        <f t="shared" si="11"/>
        <v>单套建筑面积</v>
      </c>
      <c r="R42" s="1561" t="s">
        <v>8</v>
      </c>
      <c r="S42" s="1562">
        <f t="shared" si="12"/>
        <v>100</v>
      </c>
      <c r="T42" s="1561" t="s">
        <v>8</v>
      </c>
      <c r="U42" s="1562">
        <f t="shared" si="13"/>
        <v>100</v>
      </c>
      <c r="V42" s="1561" t="s">
        <v>8</v>
      </c>
      <c r="W42" s="1562">
        <f t="shared" si="14"/>
        <v>100</v>
      </c>
      <c r="X42" s="1563"/>
      <c r="Y42" s="3447"/>
      <c r="Z42" s="1564" t="str">
        <f t="shared" si="15"/>
        <v>单套建筑面积</v>
      </c>
      <c r="AA42" s="1560">
        <f t="shared" si="3"/>
        <v>1</v>
      </c>
      <c r="AB42" s="1560">
        <f t="shared" si="4"/>
        <v>1</v>
      </c>
      <c r="AC42" s="1560">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5"/>
      <c r="M43" s="2117"/>
      <c r="N43" s="2117"/>
      <c r="O43" s="2117"/>
      <c r="P43" s="3447"/>
      <c r="Q43" s="1556" t="str">
        <f t="shared" si="11"/>
        <v>内部装修</v>
      </c>
      <c r="R43" s="1557" t="s">
        <v>8</v>
      </c>
      <c r="S43" s="1558">
        <f t="shared" si="12"/>
        <v>100</v>
      </c>
      <c r="T43" s="1557" t="s">
        <v>8</v>
      </c>
      <c r="U43" s="1558">
        <f t="shared" si="13"/>
        <v>100</v>
      </c>
      <c r="V43" s="1557" t="s">
        <v>8</v>
      </c>
      <c r="W43" s="1558">
        <f t="shared" si="14"/>
        <v>100</v>
      </c>
      <c r="X43" s="1551"/>
      <c r="Y43" s="3447"/>
      <c r="Z43" s="1559" t="str">
        <f t="shared" si="15"/>
        <v>内部装修</v>
      </c>
      <c r="AA43" s="1560">
        <f t="shared" si="3"/>
        <v>1</v>
      </c>
      <c r="AB43" s="1560">
        <f t="shared" si="4"/>
        <v>1</v>
      </c>
      <c r="AC43" s="1560">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5"/>
      <c r="M44" s="2117"/>
      <c r="N44" s="2117"/>
      <c r="O44" s="2117"/>
      <c r="P44" s="3447"/>
      <c r="Q44" s="1556" t="str">
        <f t="shared" si="11"/>
        <v>内部装修维护情况</v>
      </c>
      <c r="R44" s="1557" t="s">
        <v>8</v>
      </c>
      <c r="S44" s="1558">
        <f t="shared" si="12"/>
        <v>100</v>
      </c>
      <c r="T44" s="1557" t="s">
        <v>8</v>
      </c>
      <c r="U44" s="1558">
        <f t="shared" si="13"/>
        <v>100</v>
      </c>
      <c r="V44" s="1557" t="s">
        <v>8</v>
      </c>
      <c r="W44" s="1558">
        <f t="shared" si="14"/>
        <v>100</v>
      </c>
      <c r="X44" s="1551"/>
      <c r="Y44" s="3447"/>
      <c r="Z44" s="1559" t="str">
        <f t="shared" si="15"/>
        <v>内部装修维护情况</v>
      </c>
      <c r="AA44" s="1560">
        <f t="shared" si="3"/>
        <v>1</v>
      </c>
      <c r="AB44" s="1560">
        <f t="shared" si="4"/>
        <v>1</v>
      </c>
      <c r="AC44" s="1560">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8"/>
      <c r="M45" s="2119"/>
      <c r="N45" s="2119"/>
      <c r="O45" s="2119"/>
      <c r="P45" s="3447"/>
      <c r="Q45" s="1145">
        <f t="shared" si="11"/>
        <v>111</v>
      </c>
      <c r="R45" s="1552" t="s">
        <v>8</v>
      </c>
      <c r="S45" s="1553">
        <f t="shared" si="12"/>
        <v>100</v>
      </c>
      <c r="T45" s="1552" t="s">
        <v>8</v>
      </c>
      <c r="U45" s="1553">
        <f t="shared" si="13"/>
        <v>100</v>
      </c>
      <c r="V45" s="1552" t="s">
        <v>8</v>
      </c>
      <c r="W45" s="1553">
        <f t="shared" si="14"/>
        <v>100</v>
      </c>
      <c r="X45" s="1554"/>
      <c r="Y45" s="3447"/>
      <c r="Z45" s="1144">
        <f t="shared" si="15"/>
        <v>111</v>
      </c>
      <c r="AA45" s="1555">
        <f t="shared" si="3"/>
        <v>1</v>
      </c>
      <c r="AB45" s="1555">
        <f t="shared" si="4"/>
        <v>1</v>
      </c>
      <c r="AC45" s="1555">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47"/>
      <c r="Q46" s="1556">
        <f t="shared" si="11"/>
        <v>111</v>
      </c>
      <c r="R46" s="1557" t="s">
        <v>8</v>
      </c>
      <c r="S46" s="1558">
        <f t="shared" si="12"/>
        <v>100</v>
      </c>
      <c r="T46" s="1557" t="s">
        <v>8</v>
      </c>
      <c r="U46" s="1558">
        <f t="shared" si="13"/>
        <v>100</v>
      </c>
      <c r="V46" s="1557" t="s">
        <v>8</v>
      </c>
      <c r="W46" s="1558">
        <f t="shared" si="14"/>
        <v>100</v>
      </c>
      <c r="X46" s="1551"/>
      <c r="Y46" s="3447"/>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529"/>
      <c r="Q47" s="1556">
        <f t="shared" si="11"/>
        <v>111</v>
      </c>
      <c r="R47" s="1557" t="s">
        <v>8</v>
      </c>
      <c r="S47" s="1558">
        <f t="shared" si="12"/>
        <v>100</v>
      </c>
      <c r="T47" s="1557" t="s">
        <v>8</v>
      </c>
      <c r="U47" s="1558">
        <f t="shared" si="13"/>
        <v>100</v>
      </c>
      <c r="V47" s="1557" t="s">
        <v>8</v>
      </c>
      <c r="W47" s="1558">
        <f t="shared" si="14"/>
        <v>100</v>
      </c>
      <c r="X47" s="1551"/>
      <c r="Y47" s="3529"/>
      <c r="Z47" s="1559">
        <f t="shared" si="15"/>
        <v>111</v>
      </c>
      <c r="AA47" s="1560">
        <f t="shared" si="3"/>
        <v>1</v>
      </c>
      <c r="AB47" s="1560">
        <f t="shared" si="4"/>
        <v>1</v>
      </c>
      <c r="AC47" s="1560">
        <f t="shared" si="5"/>
        <v>1</v>
      </c>
    </row>
    <row r="48" spans="1:29" ht="15">
      <c r="A48" s="605" t="s">
        <v>736</v>
      </c>
      <c r="B48" s="885"/>
      <c r="C48" s="2589" t="s">
        <v>1</v>
      </c>
      <c r="D48" s="2590"/>
      <c r="E48" s="2591"/>
      <c r="F48" s="2592"/>
      <c r="G48" s="2593"/>
      <c r="H48" s="2594"/>
      <c r="I48" s="2591"/>
      <c r="J48" s="2594"/>
      <c r="K48" s="1594"/>
      <c r="L48" s="2127"/>
      <c r="M48" s="2117"/>
      <c r="N48" s="2117"/>
      <c r="O48" s="2117"/>
      <c r="P48" s="3407" t="str">
        <f>A48</f>
        <v>成交单价（元/平方米）</v>
      </c>
      <c r="Q48" s="3409"/>
      <c r="R48" s="3528">
        <f>E48</f>
        <v>0</v>
      </c>
      <c r="S48" s="3528"/>
      <c r="T48" s="3528">
        <f>G48</f>
        <v>0</v>
      </c>
      <c r="U48" s="3528"/>
      <c r="V48" s="3528">
        <f>I48</f>
        <v>0</v>
      </c>
      <c r="W48" s="3528"/>
      <c r="X48" s="1543"/>
      <c r="Y48" s="1565"/>
      <c r="Z48" s="1543"/>
      <c r="AA48" s="1543"/>
      <c r="AB48" s="1543"/>
      <c r="AC48" s="1543"/>
    </row>
    <row r="49" spans="1:29" ht="15.75" thickBot="1">
      <c r="A49" s="613" t="s">
        <v>2758</v>
      </c>
      <c r="B49" s="886"/>
      <c r="C49" s="2595" t="e">
        <f>R50</f>
        <v>#DIV/0!</v>
      </c>
      <c r="D49" s="2596"/>
      <c r="E49" s="2597" t="e">
        <f>R49</f>
        <v>#DIV/0!</v>
      </c>
      <c r="F49" s="2597"/>
      <c r="G49" s="2595" t="e">
        <f>T49</f>
        <v>#DIV/0!</v>
      </c>
      <c r="H49" s="2596"/>
      <c r="I49" s="2597" t="e">
        <f>V49</f>
        <v>#DIV/0!</v>
      </c>
      <c r="J49" s="2596"/>
      <c r="K49" s="1595"/>
      <c r="L49" s="2127"/>
      <c r="M49" s="2117"/>
      <c r="N49" s="2117"/>
      <c r="O49" s="2117"/>
      <c r="P49" s="3407" t="str">
        <f>A49</f>
        <v>比较价格（元/平方米）</v>
      </c>
      <c r="Q49" s="3409"/>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1543"/>
      <c r="Y49" s="1543"/>
      <c r="Z49" s="1543"/>
      <c r="AA49" s="1543"/>
      <c r="AB49" s="1543"/>
      <c r="AC49" s="1543"/>
    </row>
    <row r="50" spans="1:29" ht="15.75" thickBot="1">
      <c r="A50" s="619" t="s">
        <v>2927</v>
      </c>
      <c r="B50" s="620"/>
      <c r="C50" s="2598" t="e">
        <f>R50</f>
        <v>#DIV/0!</v>
      </c>
      <c r="D50" s="2598"/>
      <c r="E50" s="2598"/>
      <c r="F50" s="2598"/>
      <c r="G50" s="2598"/>
      <c r="H50" s="2598"/>
      <c r="I50" s="2598"/>
      <c r="J50" s="2598"/>
      <c r="K50" s="1596"/>
      <c r="L50" s="2127"/>
      <c r="M50" s="2117"/>
      <c r="N50" s="2117"/>
      <c r="O50" s="2117"/>
      <c r="P50" s="3533" t="str">
        <f>A50</f>
        <v>估价对象XX用房的比较价格（楼面单价，元/平方米）</v>
      </c>
      <c r="Q50" s="3407"/>
      <c r="R50" s="3527" t="e">
        <f>IF(F1="售价",ROUND(AVERAGE(R49:V49),0),ROUND(AVERAGE(R49:V49),1))</f>
        <v>#DIV/0!</v>
      </c>
      <c r="S50" s="3527"/>
      <c r="T50" s="3527"/>
      <c r="U50" s="3527"/>
      <c r="V50" s="3527"/>
      <c r="W50" s="3527"/>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3" t="s">
        <v>529</v>
      </c>
      <c r="B59" s="644"/>
      <c r="C59" s="2755" t="str">
        <f>YEAR(C7)&amp;"-"&amp;MONTH(C7)</f>
        <v>2019-12</v>
      </c>
      <c r="D59" s="2757">
        <f>EDATE(C59,-1)</f>
        <v>43770</v>
      </c>
      <c r="E59" s="2757">
        <f t="shared" ref="E59:O59" si="16">EDATE(D59,-1)</f>
        <v>43739</v>
      </c>
      <c r="F59" s="2757">
        <f t="shared" si="16"/>
        <v>43709</v>
      </c>
      <c r="G59" s="2757">
        <f t="shared" si="16"/>
        <v>43678</v>
      </c>
      <c r="H59" s="2757">
        <f t="shared" si="16"/>
        <v>43647</v>
      </c>
      <c r="I59" s="2757">
        <f t="shared" si="16"/>
        <v>43617</v>
      </c>
      <c r="J59" s="2757">
        <f t="shared" si="16"/>
        <v>43586</v>
      </c>
      <c r="K59" s="2757">
        <f t="shared" si="16"/>
        <v>43556</v>
      </c>
      <c r="L59" s="2757">
        <f t="shared" si="16"/>
        <v>43525</v>
      </c>
      <c r="M59" s="2757">
        <f t="shared" si="16"/>
        <v>43497</v>
      </c>
      <c r="N59" s="2757">
        <f t="shared" si="16"/>
        <v>43466</v>
      </c>
      <c r="O59" s="2757">
        <f t="shared" si="16"/>
        <v>43435</v>
      </c>
      <c r="P59" s="2194"/>
      <c r="Q59" s="2144"/>
      <c r="R59" s="2144"/>
      <c r="S59" s="2144"/>
      <c r="T59" s="2144"/>
      <c r="U59" s="2144"/>
      <c r="V59" s="2144"/>
      <c r="W59" s="2144"/>
      <c r="X59" s="2144"/>
      <c r="Y59" s="2144"/>
      <c r="Z59" s="2144"/>
      <c r="AA59" s="2144"/>
      <c r="AB59" s="2144"/>
      <c r="AC59" s="2144"/>
    </row>
    <row r="60" spans="1:29" s="1214"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4" customFormat="1" ht="15.75" thickBot="1">
      <c r="A61" s="651" t="s">
        <v>575</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4" customFormat="1" ht="15">
      <c r="A62" s="657" t="s">
        <v>531</v>
      </c>
      <c r="B62" s="646"/>
      <c r="C62" s="658" t="s">
        <v>576</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7"/>
      <c r="B63" s="646"/>
      <c r="C63" s="887">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577</v>
      </c>
      <c r="B64" s="663" t="s">
        <v>534</v>
      </c>
      <c r="C64" s="702">
        <f>C9</f>
        <v>0</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c r="D69" s="539"/>
      <c r="E69" s="539"/>
      <c r="F69" s="539"/>
      <c r="G69" s="539"/>
      <c r="H69" s="539"/>
      <c r="I69" s="539"/>
      <c r="J69" s="539"/>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539</v>
      </c>
      <c r="B77" s="663" t="s">
        <v>585</v>
      </c>
      <c r="C77" s="701" t="s">
        <v>579</v>
      </c>
      <c r="D77" s="701" t="s">
        <v>580</v>
      </c>
      <c r="E77" s="701" t="s">
        <v>581</v>
      </c>
      <c r="F77" s="701" t="s">
        <v>582</v>
      </c>
      <c r="G77" s="701" t="s">
        <v>583</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586</v>
      </c>
      <c r="C79" s="706" t="s">
        <v>579</v>
      </c>
      <c r="D79" s="706" t="s">
        <v>580</v>
      </c>
      <c r="E79" s="706" t="s">
        <v>581</v>
      </c>
      <c r="F79" s="706" t="s">
        <v>582</v>
      </c>
      <c r="G79" s="706" t="s">
        <v>583</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2556</v>
      </c>
      <c r="C81" s="706" t="s">
        <v>579</v>
      </c>
      <c r="D81" s="706" t="s">
        <v>580</v>
      </c>
      <c r="E81" s="706" t="s">
        <v>581</v>
      </c>
      <c r="F81" s="706" t="s">
        <v>582</v>
      </c>
      <c r="G81" s="706" t="s">
        <v>583</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2557</v>
      </c>
      <c r="C83" s="2560" t="s">
        <v>2558</v>
      </c>
      <c r="D83" s="2560" t="s">
        <v>2559</v>
      </c>
      <c r="E83" s="2560" t="s">
        <v>2560</v>
      </c>
      <c r="F83" s="2560" t="s">
        <v>2561</v>
      </c>
      <c r="G83" s="2560" t="s">
        <v>2562</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784</v>
      </c>
      <c r="C85" s="706" t="s">
        <v>579</v>
      </c>
      <c r="D85" s="706" t="s">
        <v>580</v>
      </c>
      <c r="E85" s="706" t="s">
        <v>581</v>
      </c>
      <c r="F85" s="706" t="s">
        <v>582</v>
      </c>
      <c r="G85" s="706" t="s">
        <v>583</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7"/>
      <c r="B87" s="671" t="s">
        <v>785</v>
      </c>
      <c r="C87" s="686"/>
      <c r="D87" s="686"/>
      <c r="E87" s="686"/>
      <c r="F87" s="686"/>
      <c r="G87" s="686"/>
      <c r="H87" s="686"/>
      <c r="I87" s="686"/>
      <c r="J87" s="686"/>
      <c r="K87" s="686"/>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7"/>
      <c r="B89" s="671" t="str">
        <f>B27</f>
        <v>楼层</v>
      </c>
      <c r="C89" s="686"/>
      <c r="D89" s="686"/>
      <c r="E89" s="686"/>
      <c r="F89" s="890"/>
      <c r="G89" s="686"/>
      <c r="H89" s="686"/>
      <c r="I89" s="686"/>
      <c r="J89" s="686"/>
      <c r="K89" s="686"/>
      <c r="L89" s="686"/>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1"/>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551</v>
      </c>
      <c r="B101" s="663" t="s">
        <v>747</v>
      </c>
      <c r="C101" s="596"/>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749</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751</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6"/>
      <c r="B113" s="671" t="s">
        <v>786</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753</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2555</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5" t="s">
        <v>787</v>
      </c>
      <c r="C119" s="716"/>
      <c r="D119" s="716"/>
      <c r="E119" s="716"/>
      <c r="F119" s="716"/>
      <c r="G119" s="716"/>
      <c r="H119" s="716"/>
      <c r="I119" s="716"/>
      <c r="J119" s="716"/>
      <c r="K119" s="716"/>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6"/>
      <c r="B121" s="671" t="s">
        <v>775</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755</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37" sqref="B37:I3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467</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30" customFormat="1" ht="28.5" customHeight="1" thickBot="1">
      <c r="A3" s="507" t="s">
        <v>519</v>
      </c>
      <c r="B3" s="508" t="e">
        <f>C43</f>
        <v>#DIV/0!</v>
      </c>
      <c r="C3" s="850" t="s">
        <v>722</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521</v>
      </c>
      <c r="B4" s="511"/>
      <c r="C4" s="3415" t="s">
        <v>522</v>
      </c>
      <c r="D4" s="3416"/>
      <c r="E4" s="3451" t="s">
        <v>523</v>
      </c>
      <c r="F4" s="3452"/>
      <c r="G4" s="3415" t="s">
        <v>524</v>
      </c>
      <c r="H4" s="3416"/>
      <c r="I4" s="3415" t="s">
        <v>525</v>
      </c>
      <c r="J4" s="3416"/>
      <c r="K4" s="512" t="s">
        <v>526</v>
      </c>
      <c r="L4" s="2116"/>
      <c r="M4" s="2117"/>
      <c r="N4" s="2117"/>
      <c r="O4" s="2117"/>
      <c r="P4" s="3417" t="s">
        <v>527</v>
      </c>
      <c r="Q4" s="3418"/>
      <c r="R4" s="3423" t="s">
        <v>523</v>
      </c>
      <c r="S4" s="3424"/>
      <c r="T4" s="3423" t="s">
        <v>524</v>
      </c>
      <c r="U4" s="3424"/>
      <c r="V4" s="3410" t="s">
        <v>525</v>
      </c>
      <c r="W4" s="3410"/>
      <c r="X4" s="1551"/>
      <c r="Y4" s="3423" t="s">
        <v>527</v>
      </c>
      <c r="Z4" s="3424"/>
      <c r="AA4" s="3412" t="s">
        <v>523</v>
      </c>
      <c r="AB4" s="3413" t="s">
        <v>524</v>
      </c>
      <c r="AC4" s="3412" t="s">
        <v>525</v>
      </c>
    </row>
    <row r="5" spans="1:29" ht="15">
      <c r="A5" s="513"/>
      <c r="B5" s="514"/>
      <c r="C5" s="3431" t="s">
        <v>2921</v>
      </c>
      <c r="D5" s="3432"/>
      <c r="E5" s="3453" t="s">
        <v>2922</v>
      </c>
      <c r="F5" s="3454"/>
      <c r="G5" s="3431" t="s">
        <v>2923</v>
      </c>
      <c r="H5" s="3432"/>
      <c r="I5" s="3431" t="s">
        <v>2924</v>
      </c>
      <c r="J5" s="3432"/>
      <c r="K5" s="512"/>
      <c r="L5" s="2116"/>
      <c r="M5" s="2117"/>
      <c r="N5" s="2117"/>
      <c r="O5" s="2117"/>
      <c r="P5" s="3419"/>
      <c r="Q5" s="3420"/>
      <c r="R5" s="3425"/>
      <c r="S5" s="3426"/>
      <c r="T5" s="3425"/>
      <c r="U5" s="3426"/>
      <c r="V5" s="3410"/>
      <c r="W5" s="3410"/>
      <c r="X5" s="1551"/>
      <c r="Y5" s="3425"/>
      <c r="Z5" s="3426"/>
      <c r="AA5" s="3413"/>
      <c r="AB5" s="3413"/>
      <c r="AC5" s="3413"/>
    </row>
    <row r="6" spans="1:29" ht="15.75" thickBot="1">
      <c r="A6" s="515"/>
      <c r="B6" s="516"/>
      <c r="C6" s="3448" t="s">
        <v>2925</v>
      </c>
      <c r="D6" s="3430"/>
      <c r="E6" s="3449" t="s">
        <v>2925</v>
      </c>
      <c r="F6" s="3450"/>
      <c r="G6" s="3448" t="s">
        <v>2925</v>
      </c>
      <c r="H6" s="3430"/>
      <c r="I6" s="3448" t="s">
        <v>2925</v>
      </c>
      <c r="J6" s="3430"/>
      <c r="K6" s="512" t="s">
        <v>528</v>
      </c>
      <c r="L6" s="2116"/>
      <c r="M6" s="2117"/>
      <c r="N6" s="2117"/>
      <c r="O6" s="2117"/>
      <c r="P6" s="3421"/>
      <c r="Q6" s="3422"/>
      <c r="R6" s="3425"/>
      <c r="S6" s="3426"/>
      <c r="T6" s="3427"/>
      <c r="U6" s="3428"/>
      <c r="V6" s="3410"/>
      <c r="W6" s="3410"/>
      <c r="X6" s="1551"/>
      <c r="Y6" s="3427"/>
      <c r="Z6" s="3428"/>
      <c r="AA6" s="3414"/>
      <c r="AB6" s="3414"/>
      <c r="AC6" s="3414"/>
    </row>
    <row r="7" spans="1:29" s="1214" customFormat="1" ht="15.75" thickBot="1">
      <c r="A7" s="2865"/>
      <c r="B7" s="2872" t="s">
        <v>529</v>
      </c>
      <c r="C7" s="517">
        <f>'数据-取费表'!B2</f>
        <v>43830</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41" t="s">
        <v>530</v>
      </c>
      <c r="Q7" s="3443"/>
      <c r="R7" s="1552" t="s">
        <v>8</v>
      </c>
      <c r="S7" s="1553">
        <f t="shared" ref="S7:S15" si="0">F7</f>
        <v>0</v>
      </c>
      <c r="T7" s="1552" t="s">
        <v>8</v>
      </c>
      <c r="U7" s="1553">
        <f t="shared" ref="U7:U15" si="1">H7</f>
        <v>0</v>
      </c>
      <c r="V7" s="1552" t="s">
        <v>8</v>
      </c>
      <c r="W7" s="1553">
        <f t="shared" ref="W7:W15"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40" si="3">D8/F8</f>
        <v>#DIV/0!</v>
      </c>
      <c r="AB8" s="1555" t="e">
        <f t="shared" ref="AB8:AB40" si="4">D8/H8</f>
        <v>#DIV/0!</v>
      </c>
      <c r="AC8" s="1555" t="e">
        <f t="shared" ref="AC8:AC40" si="5">D8/J8</f>
        <v>#DIV/0!</v>
      </c>
    </row>
    <row r="9" spans="1:29" s="1214" customFormat="1" ht="15">
      <c r="A9" s="2867"/>
      <c r="B9" s="2874" t="s">
        <v>2754</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409" t="s">
        <v>535</v>
      </c>
      <c r="Q9" s="1145" t="str">
        <f t="shared" ref="Q9:Q15" si="6">B9</f>
        <v>用途</v>
      </c>
      <c r="R9" s="1552" t="s">
        <v>8</v>
      </c>
      <c r="S9" s="1553">
        <f t="shared" si="0"/>
        <v>100</v>
      </c>
      <c r="T9" s="1552" t="s">
        <v>8</v>
      </c>
      <c r="U9" s="1553">
        <f t="shared" si="1"/>
        <v>100</v>
      </c>
      <c r="V9" s="1552" t="s">
        <v>8</v>
      </c>
      <c r="W9" s="1553">
        <f t="shared" si="2"/>
        <v>100</v>
      </c>
      <c r="X9" s="1554"/>
      <c r="Y9" s="3355" t="s">
        <v>536</v>
      </c>
      <c r="Z9" s="1144" t="str">
        <f t="shared" ref="Z9:Z15" si="7">Q9</f>
        <v>用途</v>
      </c>
      <c r="AA9" s="1555">
        <f t="shared" si="3"/>
        <v>1</v>
      </c>
      <c r="AB9" s="1555">
        <f t="shared" si="4"/>
        <v>1</v>
      </c>
      <c r="AC9" s="1555">
        <f t="shared" si="5"/>
        <v>1</v>
      </c>
    </row>
    <row r="10" spans="1:29" s="1332" customFormat="1" ht="27">
      <c r="A10" s="2868"/>
      <c r="B10" s="2873" t="s">
        <v>2755</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409"/>
      <c r="Q10" s="1145" t="str">
        <f t="shared" si="6"/>
        <v>土地使用年限（年）</v>
      </c>
      <c r="R10" s="1552" t="s">
        <v>8</v>
      </c>
      <c r="S10" s="1553">
        <f t="shared" si="0"/>
        <v>100</v>
      </c>
      <c r="T10" s="1552" t="s">
        <v>8</v>
      </c>
      <c r="U10" s="1553">
        <f t="shared" si="1"/>
        <v>100</v>
      </c>
      <c r="V10" s="1552" t="s">
        <v>8</v>
      </c>
      <c r="W10" s="1553">
        <f t="shared" si="2"/>
        <v>100</v>
      </c>
      <c r="X10" s="1554"/>
      <c r="Y10" s="3355"/>
      <c r="Z10" s="1144"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409"/>
      <c r="Q11" s="1145" t="str">
        <f t="shared" si="6"/>
        <v>容积率</v>
      </c>
      <c r="R11" s="1552" t="s">
        <v>8</v>
      </c>
      <c r="S11" s="1553" t="e">
        <f t="shared" si="0"/>
        <v>#N/A</v>
      </c>
      <c r="T11" s="1552" t="s">
        <v>8</v>
      </c>
      <c r="U11" s="1553" t="e">
        <f t="shared" si="1"/>
        <v>#N/A</v>
      </c>
      <c r="V11" s="1552" t="s">
        <v>8</v>
      </c>
      <c r="W11" s="1553" t="e">
        <f t="shared" si="2"/>
        <v>#N/A</v>
      </c>
      <c r="X11" s="1554"/>
      <c r="Y11" s="3355"/>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SUMIF(64:64,E12,65:65)-SUMIF(64:64,C12,65:65)+100</f>
        <v>100</v>
      </c>
      <c r="G12" s="918"/>
      <c r="H12" s="253">
        <f>SUMIF(64:64,G12,65:65)-SUMIF(64:64,C12,65:65)+100</f>
        <v>100</v>
      </c>
      <c r="I12" s="878"/>
      <c r="J12" s="253">
        <f>SUMIF(64:64,I12,65:65)-SUMIF(64:64,C12,65:65)+100</f>
        <v>100</v>
      </c>
      <c r="K12" s="579"/>
      <c r="L12" s="2118"/>
      <c r="M12" s="2119"/>
      <c r="N12" s="2119"/>
      <c r="O12" s="2120"/>
      <c r="P12" s="3409"/>
      <c r="Q12" s="1145">
        <f t="shared" si="6"/>
        <v>111</v>
      </c>
      <c r="R12" s="1552" t="s">
        <v>8</v>
      </c>
      <c r="S12" s="1553">
        <f t="shared" si="0"/>
        <v>100</v>
      </c>
      <c r="T12" s="1552" t="s">
        <v>8</v>
      </c>
      <c r="U12" s="1553">
        <f t="shared" si="1"/>
        <v>100</v>
      </c>
      <c r="V12" s="1552" t="s">
        <v>8</v>
      </c>
      <c r="W12" s="1553">
        <f t="shared" si="2"/>
        <v>100</v>
      </c>
      <c r="X12" s="1554"/>
      <c r="Y12" s="3355"/>
      <c r="Z12" s="1144">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8"/>
      <c r="H13" s="538">
        <f>SUMIF(66:66,G13,67:67)-SUMIF(66:66,C13,67:67)+100</f>
        <v>100</v>
      </c>
      <c r="I13" s="878"/>
      <c r="J13" s="538">
        <f>SUMIF(66:66,I13,67:67)-SUMIF(66:66,C13,67:67)+100</f>
        <v>100</v>
      </c>
      <c r="K13" s="579"/>
      <c r="L13" s="2125"/>
      <c r="M13" s="2117"/>
      <c r="N13" s="2117"/>
      <c r="O13" s="2124"/>
      <c r="P13" s="3409"/>
      <c r="Q13" s="1145">
        <f t="shared" si="6"/>
        <v>111</v>
      </c>
      <c r="R13" s="1552" t="s">
        <v>8</v>
      </c>
      <c r="S13" s="1553">
        <f t="shared" si="0"/>
        <v>100</v>
      </c>
      <c r="T13" s="1552" t="s">
        <v>8</v>
      </c>
      <c r="U13" s="1553">
        <f t="shared" si="1"/>
        <v>100</v>
      </c>
      <c r="V13" s="1552" t="s">
        <v>8</v>
      </c>
      <c r="W13" s="1553">
        <f t="shared" si="2"/>
        <v>100</v>
      </c>
      <c r="X13" s="1554"/>
      <c r="Y13" s="3355"/>
      <c r="Z13" s="1144">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8"/>
      <c r="H14" s="544">
        <f>SUMIF(68:68,G14,69:69)-SUMIF(68:68,C14,69:69)+100</f>
        <v>100</v>
      </c>
      <c r="I14" s="878"/>
      <c r="J14" s="544">
        <f>SUMIF(68:68,I14,69:69)-SUMIF(68:68,C14,69:69)+100</f>
        <v>100</v>
      </c>
      <c r="K14" s="579"/>
      <c r="L14" s="2125"/>
      <c r="M14" s="2117"/>
      <c r="N14" s="2117"/>
      <c r="O14" s="2124"/>
      <c r="P14" s="3409"/>
      <c r="Q14" s="1145">
        <f t="shared" si="6"/>
        <v>111</v>
      </c>
      <c r="R14" s="1552" t="s">
        <v>8</v>
      </c>
      <c r="S14" s="1553">
        <f t="shared" si="0"/>
        <v>100</v>
      </c>
      <c r="T14" s="1552" t="s">
        <v>8</v>
      </c>
      <c r="U14" s="1553">
        <f t="shared" si="1"/>
        <v>100</v>
      </c>
      <c r="V14" s="1552" t="s">
        <v>8</v>
      </c>
      <c r="W14" s="1553">
        <f t="shared" si="2"/>
        <v>100</v>
      </c>
      <c r="X14" s="1554"/>
      <c r="Y14" s="3355"/>
      <c r="Z14" s="1144">
        <f t="shared" si="7"/>
        <v>111</v>
      </c>
      <c r="AA14" s="1555">
        <f t="shared" si="3"/>
        <v>1</v>
      </c>
      <c r="AB14" s="1555">
        <f t="shared" si="4"/>
        <v>1</v>
      </c>
      <c r="AC14" s="1555">
        <f t="shared" si="5"/>
        <v>1</v>
      </c>
    </row>
    <row r="15" spans="1:29" ht="57">
      <c r="A15" s="2863" t="s">
        <v>2752</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5"/>
      <c r="M15" s="2117"/>
      <c r="N15" s="2117"/>
      <c r="O15" s="2124"/>
      <c r="P15" s="3444" t="s">
        <v>540</v>
      </c>
      <c r="Q15" s="1556" t="str">
        <f t="shared" si="6"/>
        <v>产业集聚程度</v>
      </c>
      <c r="R15" s="1557" t="s">
        <v>8</v>
      </c>
      <c r="S15" s="1558">
        <f t="shared" si="0"/>
        <v>100</v>
      </c>
      <c r="T15" s="1557" t="s">
        <v>8</v>
      </c>
      <c r="U15" s="1558">
        <f t="shared" si="1"/>
        <v>100</v>
      </c>
      <c r="V15" s="1557" t="s">
        <v>8</v>
      </c>
      <c r="W15" s="1558">
        <f t="shared" si="2"/>
        <v>100</v>
      </c>
      <c r="X15" s="1551"/>
      <c r="Y15" s="3444" t="s">
        <v>540</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45"/>
      <c r="Q16" s="1556"/>
      <c r="R16" s="1557"/>
      <c r="S16" s="1558"/>
      <c r="T16" s="1557"/>
      <c r="U16" s="1558"/>
      <c r="V16" s="1557"/>
      <c r="W16" s="1558"/>
      <c r="X16" s="1551"/>
      <c r="Y16" s="3445"/>
      <c r="Z16" s="1559"/>
      <c r="AA16" s="1560">
        <v>1</v>
      </c>
      <c r="AB16" s="1560">
        <v>1</v>
      </c>
      <c r="AC16" s="1560">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5"/>
      <c r="M17" s="2117"/>
      <c r="N17" s="2117"/>
      <c r="O17" s="2124"/>
      <c r="P17" s="3445"/>
      <c r="Q17" s="1556" t="str">
        <f>B17</f>
        <v>交通便捷度</v>
      </c>
      <c r="R17" s="1557" t="s">
        <v>8</v>
      </c>
      <c r="S17" s="1558">
        <f>F17</f>
        <v>100</v>
      </c>
      <c r="T17" s="1557" t="s">
        <v>8</v>
      </c>
      <c r="U17" s="1558">
        <f>H17</f>
        <v>100</v>
      </c>
      <c r="V17" s="1557" t="s">
        <v>8</v>
      </c>
      <c r="W17" s="1558">
        <f>J17</f>
        <v>100</v>
      </c>
      <c r="X17" s="1551"/>
      <c r="Y17" s="3445"/>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45"/>
      <c r="Q18" s="1556"/>
      <c r="R18" s="1557"/>
      <c r="S18" s="1558"/>
      <c r="T18" s="1557"/>
      <c r="U18" s="1558"/>
      <c r="V18" s="1557"/>
      <c r="W18" s="1558"/>
      <c r="X18" s="1551"/>
      <c r="Y18" s="3445"/>
      <c r="Z18" s="1559"/>
      <c r="AA18" s="1560">
        <v>1</v>
      </c>
      <c r="AB18" s="1560">
        <v>1</v>
      </c>
      <c r="AC18" s="1560">
        <v>1</v>
      </c>
    </row>
    <row r="19" spans="1:29" ht="42.75">
      <c r="A19" s="530"/>
      <c r="B19" s="2565"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5"/>
      <c r="M19" s="2117"/>
      <c r="N19" s="2117"/>
      <c r="O19" s="2124"/>
      <c r="P19" s="3445"/>
      <c r="Q19" s="1556" t="str">
        <f>B19</f>
        <v>公共配套设施</v>
      </c>
      <c r="R19" s="1557" t="s">
        <v>8</v>
      </c>
      <c r="S19" s="1558">
        <f>F19</f>
        <v>100</v>
      </c>
      <c r="T19" s="1557" t="s">
        <v>8</v>
      </c>
      <c r="U19" s="1558">
        <f>H19</f>
        <v>100</v>
      </c>
      <c r="V19" s="1557" t="s">
        <v>8</v>
      </c>
      <c r="W19" s="1558">
        <f>J19</f>
        <v>100</v>
      </c>
      <c r="X19" s="1551"/>
      <c r="Y19" s="3445"/>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5"/>
      <c r="M20" s="2117"/>
      <c r="N20" s="2117"/>
      <c r="O20" s="2124"/>
      <c r="P20" s="3445"/>
      <c r="Q20" s="1556"/>
      <c r="R20" s="1557"/>
      <c r="S20" s="1558"/>
      <c r="T20" s="1557"/>
      <c r="U20" s="1558"/>
      <c r="V20" s="1557"/>
      <c r="W20" s="1558"/>
      <c r="X20" s="1551"/>
      <c r="Y20" s="3445"/>
      <c r="Z20" s="1559"/>
      <c r="AA20" s="1560">
        <v>1</v>
      </c>
      <c r="AB20" s="1560">
        <v>1</v>
      </c>
      <c r="AC20" s="1560">
        <v>1</v>
      </c>
    </row>
    <row r="21" spans="1:29" ht="28.5">
      <c r="A21" s="530"/>
      <c r="B21" s="2553"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5"/>
      <c r="M21" s="2117"/>
      <c r="N21" s="2117"/>
      <c r="O21" s="2124"/>
      <c r="P21" s="3445"/>
      <c r="Q21" s="2541" t="str">
        <f>B21</f>
        <v>基础设施水平</v>
      </c>
      <c r="R21" s="1557" t="s">
        <v>8</v>
      </c>
      <c r="S21" s="1558">
        <f>F21</f>
        <v>100</v>
      </c>
      <c r="T21" s="1557" t="s">
        <v>8</v>
      </c>
      <c r="U21" s="1558">
        <f>H21</f>
        <v>100</v>
      </c>
      <c r="V21" s="1557" t="s">
        <v>8</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45"/>
      <c r="Q22" s="2541"/>
      <c r="R22" s="1557"/>
      <c r="S22" s="1558"/>
      <c r="T22" s="1557"/>
      <c r="U22" s="1558"/>
      <c r="V22" s="1557"/>
      <c r="W22" s="1558"/>
      <c r="X22" s="2543"/>
      <c r="Y22" s="3445"/>
      <c r="Z22" s="2542"/>
      <c r="AA22" s="1560">
        <v>1</v>
      </c>
      <c r="AB22" s="1560">
        <v>1</v>
      </c>
      <c r="AC22" s="1560">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5"/>
      <c r="M23" s="2117"/>
      <c r="N23" s="2117"/>
      <c r="O23" s="2124"/>
      <c r="P23" s="3445"/>
      <c r="Q23" s="1556" t="str">
        <f>B23</f>
        <v>环境质量</v>
      </c>
      <c r="R23" s="1557" t="s">
        <v>8</v>
      </c>
      <c r="S23" s="1558">
        <f>F23</f>
        <v>100</v>
      </c>
      <c r="T23" s="1557" t="s">
        <v>8</v>
      </c>
      <c r="U23" s="1558">
        <f>H23</f>
        <v>100</v>
      </c>
      <c r="V23" s="1557" t="s">
        <v>8</v>
      </c>
      <c r="W23" s="1558">
        <f>J23</f>
        <v>100</v>
      </c>
      <c r="X23" s="1551"/>
      <c r="Y23" s="3445"/>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5"/>
      <c r="M24" s="2117"/>
      <c r="N24" s="2117"/>
      <c r="O24" s="2124"/>
      <c r="P24" s="3445"/>
      <c r="Q24" s="1556"/>
      <c r="R24" s="1557"/>
      <c r="S24" s="1558"/>
      <c r="T24" s="1557"/>
      <c r="U24" s="1558"/>
      <c r="V24" s="1557"/>
      <c r="W24" s="1558"/>
      <c r="X24" s="1551"/>
      <c r="Y24" s="3445"/>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45"/>
      <c r="Q25" s="1556">
        <f>B25</f>
        <v>111</v>
      </c>
      <c r="R25" s="1557" t="s">
        <v>8</v>
      </c>
      <c r="S25" s="1558">
        <f>F25</f>
        <v>100</v>
      </c>
      <c r="T25" s="1557" t="s">
        <v>8</v>
      </c>
      <c r="U25" s="1558">
        <f>H25</f>
        <v>100</v>
      </c>
      <c r="V25" s="1557" t="s">
        <v>8</v>
      </c>
      <c r="W25" s="1558">
        <f>J25</f>
        <v>100</v>
      </c>
      <c r="X25" s="1551"/>
      <c r="Y25" s="3445"/>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45"/>
      <c r="Q26" s="1556">
        <f t="shared" ref="Q26:Q40" si="11">B26</f>
        <v>111</v>
      </c>
      <c r="R26" s="1557" t="s">
        <v>8</v>
      </c>
      <c r="S26" s="1558">
        <f>F26</f>
        <v>100</v>
      </c>
      <c r="T26" s="1557" t="s">
        <v>8</v>
      </c>
      <c r="U26" s="1558">
        <f>H26</f>
        <v>100</v>
      </c>
      <c r="V26" s="1557" t="s">
        <v>8</v>
      </c>
      <c r="W26" s="1558">
        <f>J26</f>
        <v>100</v>
      </c>
      <c r="X26" s="1551"/>
      <c r="Y26" s="3445"/>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45"/>
      <c r="Q27" s="1145">
        <f t="shared" si="11"/>
        <v>111</v>
      </c>
      <c r="R27" s="1552" t="s">
        <v>8</v>
      </c>
      <c r="S27" s="1553">
        <f>F27</f>
        <v>100</v>
      </c>
      <c r="T27" s="1552" t="s">
        <v>8</v>
      </c>
      <c r="U27" s="1553">
        <f>H27</f>
        <v>100</v>
      </c>
      <c r="V27" s="1552" t="s">
        <v>8</v>
      </c>
      <c r="W27" s="1553">
        <f>J27</f>
        <v>100</v>
      </c>
      <c r="X27" s="1554"/>
      <c r="Y27" s="3445"/>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5"/>
      <c r="M28" s="2117"/>
      <c r="N28" s="2117"/>
      <c r="O28" s="2124"/>
      <c r="P28" s="3445"/>
      <c r="Q28" s="1556">
        <f t="shared" si="11"/>
        <v>111</v>
      </c>
      <c r="R28" s="1557" t="s">
        <v>8</v>
      </c>
      <c r="S28" s="1558">
        <f t="shared" ref="S28:S40" si="12">F28</f>
        <v>100</v>
      </c>
      <c r="T28" s="1557" t="s">
        <v>8</v>
      </c>
      <c r="U28" s="1558">
        <f t="shared" ref="U28:U40" si="13">H28</f>
        <v>100</v>
      </c>
      <c r="V28" s="1557" t="s">
        <v>8</v>
      </c>
      <c r="W28" s="1558">
        <f t="shared" ref="W28:W40" si="14">J28</f>
        <v>100</v>
      </c>
      <c r="X28" s="1551"/>
      <c r="Y28" s="3445"/>
      <c r="Z28" s="1559">
        <f t="shared" ref="Z28:Z40" si="15">Q28</f>
        <v>111</v>
      </c>
      <c r="AA28" s="1560">
        <f t="shared" si="3"/>
        <v>1</v>
      </c>
      <c r="AB28" s="1560">
        <f t="shared" si="4"/>
        <v>1</v>
      </c>
      <c r="AC28" s="1560">
        <f t="shared" si="5"/>
        <v>1</v>
      </c>
    </row>
    <row r="29" spans="1:29" ht="15">
      <c r="A29" s="2860" t="s">
        <v>2753</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5"/>
      <c r="M29" s="2117"/>
      <c r="N29" s="2117"/>
      <c r="O29" s="2124"/>
      <c r="P29" s="3446" t="s">
        <v>550</v>
      </c>
      <c r="Q29" s="1556" t="str">
        <f t="shared" si="11"/>
        <v>建筑类型</v>
      </c>
      <c r="R29" s="1557" t="s">
        <v>8</v>
      </c>
      <c r="S29" s="1558">
        <f t="shared" si="12"/>
        <v>100</v>
      </c>
      <c r="T29" s="1557" t="s">
        <v>8</v>
      </c>
      <c r="U29" s="1558">
        <f t="shared" si="13"/>
        <v>100</v>
      </c>
      <c r="V29" s="1557" t="s">
        <v>8</v>
      </c>
      <c r="W29" s="1558">
        <f t="shared" si="14"/>
        <v>100</v>
      </c>
      <c r="X29" s="1551"/>
      <c r="Y29" s="3447" t="s">
        <v>550</v>
      </c>
      <c r="Z29" s="1559" t="str">
        <f t="shared" si="15"/>
        <v>建筑类型</v>
      </c>
      <c r="AA29" s="1560">
        <f t="shared" si="3"/>
        <v>1</v>
      </c>
      <c r="AB29" s="1560">
        <f t="shared" si="4"/>
        <v>1</v>
      </c>
      <c r="AC29" s="1560">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47"/>
      <c r="Q30" s="1588" t="str">
        <f t="shared" si="11"/>
        <v>项目建筑规模</v>
      </c>
      <c r="R30" s="1561" t="s">
        <v>8</v>
      </c>
      <c r="S30" s="1562" t="e">
        <f t="shared" si="12"/>
        <v>#N/A</v>
      </c>
      <c r="T30" s="1561" t="s">
        <v>8</v>
      </c>
      <c r="U30" s="1562" t="e">
        <f t="shared" si="13"/>
        <v>#N/A</v>
      </c>
      <c r="V30" s="1561" t="s">
        <v>8</v>
      </c>
      <c r="W30" s="1562" t="e">
        <f t="shared" si="14"/>
        <v>#N/A</v>
      </c>
      <c r="X30" s="1563"/>
      <c r="Y30" s="3447"/>
      <c r="Z30" s="1564" t="str">
        <f t="shared" si="15"/>
        <v>项目建筑规模</v>
      </c>
      <c r="AA30" s="1560" t="e">
        <f t="shared" si="3"/>
        <v>#N/A</v>
      </c>
      <c r="AB30" s="1560" t="e">
        <f t="shared" si="4"/>
        <v>#N/A</v>
      </c>
      <c r="AC30" s="1560"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47"/>
      <c r="Q31" s="1556" t="str">
        <f t="shared" si="11"/>
        <v>建筑结构</v>
      </c>
      <c r="R31" s="1557" t="s">
        <v>8</v>
      </c>
      <c r="S31" s="1558">
        <f t="shared" si="12"/>
        <v>100</v>
      </c>
      <c r="T31" s="1557" t="s">
        <v>8</v>
      </c>
      <c r="U31" s="1558">
        <f t="shared" si="13"/>
        <v>100</v>
      </c>
      <c r="V31" s="1557" t="s">
        <v>8</v>
      </c>
      <c r="W31" s="1558">
        <f t="shared" si="14"/>
        <v>100</v>
      </c>
      <c r="X31" s="1551"/>
      <c r="Y31" s="3447"/>
      <c r="Z31" s="1559" t="str">
        <f t="shared" si="15"/>
        <v>建筑结构</v>
      </c>
      <c r="AA31" s="1560">
        <f t="shared" si="3"/>
        <v>1</v>
      </c>
      <c r="AB31" s="1560">
        <f t="shared" si="4"/>
        <v>1</v>
      </c>
      <c r="AC31" s="1560">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47"/>
      <c r="Q32" s="1556" t="str">
        <f t="shared" si="11"/>
        <v>公共部分装修</v>
      </c>
      <c r="R32" s="1557" t="s">
        <v>8</v>
      </c>
      <c r="S32" s="1558">
        <f t="shared" si="12"/>
        <v>100</v>
      </c>
      <c r="T32" s="1557" t="s">
        <v>8</v>
      </c>
      <c r="U32" s="1558">
        <f t="shared" si="13"/>
        <v>100</v>
      </c>
      <c r="V32" s="1557" t="s">
        <v>8</v>
      </c>
      <c r="W32" s="1558">
        <f t="shared" si="14"/>
        <v>100</v>
      </c>
      <c r="X32" s="1551"/>
      <c r="Y32" s="3447"/>
      <c r="Z32" s="1559" t="str">
        <f t="shared" si="15"/>
        <v>公共部分装修</v>
      </c>
      <c r="AA32" s="1560">
        <f t="shared" si="3"/>
        <v>1</v>
      </c>
      <c r="AB32" s="1560">
        <f t="shared" si="4"/>
        <v>1</v>
      </c>
      <c r="AC32" s="1560">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5"/>
      <c r="M33" s="2117"/>
      <c r="N33" s="2117"/>
      <c r="O33" s="2124"/>
      <c r="P33" s="3447"/>
      <c r="Q33" s="1556" t="str">
        <f t="shared" si="11"/>
        <v>成新度</v>
      </c>
      <c r="R33" s="1557" t="s">
        <v>8</v>
      </c>
      <c r="S33" s="1558" t="e">
        <f t="shared" si="12"/>
        <v>#N/A</v>
      </c>
      <c r="T33" s="1557" t="s">
        <v>8</v>
      </c>
      <c r="U33" s="1558" t="e">
        <f t="shared" si="13"/>
        <v>#N/A</v>
      </c>
      <c r="V33" s="1557" t="s">
        <v>8</v>
      </c>
      <c r="W33" s="1558" t="e">
        <f t="shared" si="14"/>
        <v>#N/A</v>
      </c>
      <c r="X33" s="1551"/>
      <c r="Y33" s="3447"/>
      <c r="Z33" s="1559" t="str">
        <f t="shared" si="15"/>
        <v>成新度</v>
      </c>
      <c r="AA33" s="1560" t="e">
        <f t="shared" si="3"/>
        <v>#N/A</v>
      </c>
      <c r="AB33" s="1560" t="e">
        <f t="shared" si="4"/>
        <v>#N/A</v>
      </c>
      <c r="AC33" s="1560"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47"/>
      <c r="Q34" s="1145" t="str">
        <f t="shared" si="11"/>
        <v>物业管理</v>
      </c>
      <c r="R34" s="1552" t="s">
        <v>8</v>
      </c>
      <c r="S34" s="1553">
        <f t="shared" si="12"/>
        <v>100</v>
      </c>
      <c r="T34" s="1552" t="s">
        <v>8</v>
      </c>
      <c r="U34" s="1553">
        <f t="shared" si="13"/>
        <v>100</v>
      </c>
      <c r="V34" s="1552" t="s">
        <v>8</v>
      </c>
      <c r="W34" s="1553">
        <f t="shared" si="14"/>
        <v>100</v>
      </c>
      <c r="X34" s="1554"/>
      <c r="Y34" s="3447"/>
      <c r="Z34" s="1144" t="str">
        <f t="shared" si="15"/>
        <v>物业管理</v>
      </c>
      <c r="AA34" s="1555">
        <f t="shared" si="3"/>
        <v>1</v>
      </c>
      <c r="AB34" s="1555">
        <f t="shared" si="4"/>
        <v>1</v>
      </c>
      <c r="AC34" s="1555">
        <f t="shared" si="5"/>
        <v>1</v>
      </c>
    </row>
    <row r="35" spans="1:29" ht="15">
      <c r="A35" s="592"/>
      <c r="B35" s="1878"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47" t="s">
        <v>550</v>
      </c>
      <c r="Q35" s="1556" t="str">
        <f t="shared" si="11"/>
        <v>市政基础设施</v>
      </c>
      <c r="R35" s="1557" t="s">
        <v>8</v>
      </c>
      <c r="S35" s="1558">
        <f t="shared" si="12"/>
        <v>100</v>
      </c>
      <c r="T35" s="1557" t="s">
        <v>8</v>
      </c>
      <c r="U35" s="1558">
        <f t="shared" si="13"/>
        <v>100</v>
      </c>
      <c r="V35" s="1557" t="s">
        <v>8</v>
      </c>
      <c r="W35" s="1558">
        <f t="shared" si="14"/>
        <v>100</v>
      </c>
      <c r="X35" s="1551"/>
      <c r="Y35" s="3447" t="s">
        <v>550</v>
      </c>
      <c r="Z35" s="1559" t="str">
        <f t="shared" si="15"/>
        <v>市政基础设施</v>
      </c>
      <c r="AA35" s="1560">
        <f t="shared" si="3"/>
        <v>1</v>
      </c>
      <c r="AB35" s="1560">
        <f t="shared" si="4"/>
        <v>1</v>
      </c>
      <c r="AC35" s="1560">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47"/>
      <c r="Q36" s="1556" t="str">
        <f t="shared" si="11"/>
        <v>内部装修</v>
      </c>
      <c r="R36" s="1557" t="s">
        <v>8</v>
      </c>
      <c r="S36" s="1558">
        <f t="shared" si="12"/>
        <v>100</v>
      </c>
      <c r="T36" s="1557" t="s">
        <v>8</v>
      </c>
      <c r="U36" s="1558">
        <f t="shared" si="13"/>
        <v>100</v>
      </c>
      <c r="V36" s="1557" t="s">
        <v>8</v>
      </c>
      <c r="W36" s="1558">
        <f t="shared" si="14"/>
        <v>100</v>
      </c>
      <c r="X36" s="1551"/>
      <c r="Y36" s="3447"/>
      <c r="Z36" s="1559" t="str">
        <f t="shared" si="15"/>
        <v>内部装修</v>
      </c>
      <c r="AA36" s="1560">
        <f t="shared" si="3"/>
        <v>1</v>
      </c>
      <c r="AB36" s="1560">
        <f t="shared" si="4"/>
        <v>1</v>
      </c>
      <c r="AC36" s="1560">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47"/>
      <c r="Q37" s="1556" t="str">
        <f t="shared" si="11"/>
        <v>内部装修状况</v>
      </c>
      <c r="R37" s="1557" t="s">
        <v>8</v>
      </c>
      <c r="S37" s="1558">
        <f t="shared" si="12"/>
        <v>100</v>
      </c>
      <c r="T37" s="1557" t="s">
        <v>8</v>
      </c>
      <c r="U37" s="1558">
        <f t="shared" si="13"/>
        <v>100</v>
      </c>
      <c r="V37" s="1557" t="s">
        <v>8</v>
      </c>
      <c r="W37" s="1558">
        <f t="shared" si="14"/>
        <v>100</v>
      </c>
      <c r="X37" s="1551"/>
      <c r="Y37" s="3447"/>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3"/>
      <c r="M38" s="2154"/>
      <c r="N38" s="2154"/>
      <c r="O38" s="2126"/>
      <c r="P38" s="3447"/>
      <c r="Q38" s="1588">
        <f t="shared" si="11"/>
        <v>111</v>
      </c>
      <c r="R38" s="1561" t="s">
        <v>8</v>
      </c>
      <c r="S38" s="1562">
        <f t="shared" si="12"/>
        <v>100</v>
      </c>
      <c r="T38" s="1561" t="s">
        <v>8</v>
      </c>
      <c r="U38" s="1562">
        <f t="shared" si="13"/>
        <v>100</v>
      </c>
      <c r="V38" s="1561" t="s">
        <v>8</v>
      </c>
      <c r="W38" s="1562">
        <f t="shared" si="14"/>
        <v>100</v>
      </c>
      <c r="X38" s="1563"/>
      <c r="Y38" s="3447"/>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5"/>
      <c r="M39" s="2117"/>
      <c r="N39" s="2117"/>
      <c r="O39" s="2124"/>
      <c r="P39" s="3447"/>
      <c r="Q39" s="1556">
        <f t="shared" si="11"/>
        <v>111</v>
      </c>
      <c r="R39" s="1557" t="s">
        <v>8</v>
      </c>
      <c r="S39" s="1558">
        <f t="shared" si="12"/>
        <v>100</v>
      </c>
      <c r="T39" s="1557" t="s">
        <v>8</v>
      </c>
      <c r="U39" s="1558">
        <f t="shared" si="13"/>
        <v>100</v>
      </c>
      <c r="V39" s="1557" t="s">
        <v>8</v>
      </c>
      <c r="W39" s="1558">
        <f t="shared" si="14"/>
        <v>100</v>
      </c>
      <c r="X39" s="1551"/>
      <c r="Y39" s="3447"/>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5"/>
      <c r="M40" s="2117"/>
      <c r="N40" s="2117"/>
      <c r="O40" s="2124"/>
      <c r="P40" s="3529"/>
      <c r="Q40" s="1556">
        <f t="shared" si="11"/>
        <v>111</v>
      </c>
      <c r="R40" s="1557" t="s">
        <v>8</v>
      </c>
      <c r="S40" s="1558">
        <f t="shared" si="12"/>
        <v>100</v>
      </c>
      <c r="T40" s="1557" t="s">
        <v>8</v>
      </c>
      <c r="U40" s="1558">
        <f t="shared" si="13"/>
        <v>100</v>
      </c>
      <c r="V40" s="1557" t="s">
        <v>8</v>
      </c>
      <c r="W40" s="1558">
        <f t="shared" si="14"/>
        <v>100</v>
      </c>
      <c r="X40" s="1551"/>
      <c r="Y40" s="3529"/>
      <c r="Z40" s="1559">
        <f t="shared" si="15"/>
        <v>111</v>
      </c>
      <c r="AA40" s="1560">
        <f t="shared" si="3"/>
        <v>1</v>
      </c>
      <c r="AB40" s="1560">
        <f t="shared" si="4"/>
        <v>1</v>
      </c>
      <c r="AC40" s="1560">
        <f t="shared" si="5"/>
        <v>1</v>
      </c>
    </row>
    <row r="41" spans="1:29" ht="15">
      <c r="A41" s="605" t="s">
        <v>736</v>
      </c>
      <c r="B41" s="885"/>
      <c r="C41" s="2589" t="s">
        <v>1</v>
      </c>
      <c r="D41" s="2590"/>
      <c r="E41" s="2591"/>
      <c r="F41" s="2592"/>
      <c r="G41" s="2593"/>
      <c r="H41" s="2594"/>
      <c r="I41" s="2591"/>
      <c r="J41" s="2594"/>
      <c r="K41" s="1594"/>
      <c r="L41" s="2127"/>
      <c r="M41" s="2128"/>
      <c r="N41" s="2117"/>
      <c r="O41" s="2128"/>
      <c r="P41" s="3409" t="str">
        <f>A41</f>
        <v>成交单价（元/平方米）</v>
      </c>
      <c r="Q41" s="3409"/>
      <c r="R41" s="3528">
        <f>E41</f>
        <v>0</v>
      </c>
      <c r="S41" s="3528"/>
      <c r="T41" s="3528">
        <f>G41</f>
        <v>0</v>
      </c>
      <c r="U41" s="3528"/>
      <c r="V41" s="3528">
        <f>I41</f>
        <v>0</v>
      </c>
      <c r="W41" s="3528"/>
      <c r="X41" s="1543"/>
      <c r="Y41" s="1565"/>
      <c r="Z41" s="1543"/>
      <c r="AA41" s="1543"/>
      <c r="AB41" s="1543"/>
      <c r="AC41" s="1543"/>
    </row>
    <row r="42" spans="1:29" ht="15.75" thickBot="1">
      <c r="A42" s="613" t="s">
        <v>2758</v>
      </c>
      <c r="B42" s="886"/>
      <c r="C42" s="2595" t="e">
        <f>R43</f>
        <v>#DIV/0!</v>
      </c>
      <c r="D42" s="2596"/>
      <c r="E42" s="2597" t="e">
        <f>R42</f>
        <v>#DIV/0!</v>
      </c>
      <c r="F42" s="2597"/>
      <c r="G42" s="2595" t="e">
        <f>T42</f>
        <v>#DIV/0!</v>
      </c>
      <c r="H42" s="2596"/>
      <c r="I42" s="2597" t="e">
        <f>V42</f>
        <v>#DIV/0!</v>
      </c>
      <c r="J42" s="2596"/>
      <c r="K42" s="1595"/>
      <c r="L42" s="2127"/>
      <c r="M42" s="2128"/>
      <c r="N42" s="2117"/>
      <c r="O42" s="2128"/>
      <c r="P42" s="3409" t="str">
        <f>A42</f>
        <v>比较价格（元/平方米）</v>
      </c>
      <c r="Q42" s="3409"/>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543"/>
      <c r="Y42" s="1543"/>
      <c r="Z42" s="1543"/>
      <c r="AA42" s="1543"/>
      <c r="AB42" s="1543"/>
      <c r="AC42" s="1543"/>
    </row>
    <row r="43" spans="1:29" ht="15.75" thickBot="1">
      <c r="A43" s="619" t="s">
        <v>2927</v>
      </c>
      <c r="B43" s="620"/>
      <c r="C43" s="2598" t="e">
        <f>R43</f>
        <v>#DIV/0!</v>
      </c>
      <c r="D43" s="2598"/>
      <c r="E43" s="2598"/>
      <c r="F43" s="2598"/>
      <c r="G43" s="2598"/>
      <c r="H43" s="2598"/>
      <c r="I43" s="2598"/>
      <c r="J43" s="2598"/>
      <c r="K43" s="1596"/>
      <c r="L43" s="2127"/>
      <c r="M43" s="2128"/>
      <c r="N43" s="2128"/>
      <c r="O43" s="2128"/>
      <c r="P43" s="3406" t="str">
        <f>A43</f>
        <v>估价对象XX用房的比较价格（楼面单价，元/平方米）</v>
      </c>
      <c r="Q43" s="3407"/>
      <c r="R43" s="3527" t="e">
        <f>IF(F1="售价",ROUND(AVERAGE(R42:V42),0),ROUND(AVERAGE(R42:V42),1))</f>
        <v>#DIV/0!</v>
      </c>
      <c r="S43" s="3527"/>
      <c r="T43" s="3527"/>
      <c r="U43" s="3527"/>
      <c r="V43" s="3527"/>
      <c r="W43" s="3527"/>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3" t="s">
        <v>529</v>
      </c>
      <c r="B52" s="644"/>
      <c r="C52" s="2755" t="str">
        <f>YEAR(C7)&amp;"-"&amp;MONTH(C7)</f>
        <v>2019-12</v>
      </c>
      <c r="D52" s="2757">
        <f>EDATE(C52,-1)</f>
        <v>43770</v>
      </c>
      <c r="E52" s="2757">
        <f t="shared" ref="E52:O52" si="16">EDATE(D52,-1)</f>
        <v>43739</v>
      </c>
      <c r="F52" s="2757">
        <f t="shared" si="16"/>
        <v>43709</v>
      </c>
      <c r="G52" s="2757">
        <f t="shared" si="16"/>
        <v>43678</v>
      </c>
      <c r="H52" s="2757">
        <f t="shared" si="16"/>
        <v>43647</v>
      </c>
      <c r="I52" s="2757">
        <f t="shared" si="16"/>
        <v>43617</v>
      </c>
      <c r="J52" s="2757">
        <f t="shared" si="16"/>
        <v>43586</v>
      </c>
      <c r="K52" s="2757">
        <f t="shared" si="16"/>
        <v>43556</v>
      </c>
      <c r="L52" s="2757">
        <f t="shared" si="16"/>
        <v>43525</v>
      </c>
      <c r="M52" s="2757">
        <f t="shared" si="16"/>
        <v>43497</v>
      </c>
      <c r="N52" s="2757">
        <f t="shared" si="16"/>
        <v>43466</v>
      </c>
      <c r="O52" s="2757">
        <f t="shared" si="16"/>
        <v>43435</v>
      </c>
      <c r="P52" s="2143"/>
      <c r="Q52" s="2144"/>
      <c r="R52" s="2144"/>
      <c r="S52" s="2144"/>
      <c r="T52" s="2144"/>
      <c r="U52" s="2144"/>
      <c r="V52" s="2144"/>
      <c r="W52" s="2144"/>
      <c r="X52" s="2144"/>
      <c r="Y52" s="2144"/>
      <c r="Z52" s="2144"/>
      <c r="AA52" s="2144"/>
      <c r="AB52" s="2144"/>
      <c r="AC52" s="2144"/>
    </row>
    <row r="53" spans="1:29" s="1214"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4" customFormat="1" ht="15.75" thickBot="1">
      <c r="A54" s="651" t="s">
        <v>575</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4" customFormat="1" ht="15">
      <c r="A55" s="657" t="s">
        <v>531</v>
      </c>
      <c r="B55" s="646"/>
      <c r="C55" s="658" t="s">
        <v>576</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577</v>
      </c>
      <c r="B57" s="663" t="s">
        <v>534</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539</v>
      </c>
      <c r="B70" s="663" t="s">
        <v>585</v>
      </c>
      <c r="C70" s="701" t="s">
        <v>579</v>
      </c>
      <c r="D70" s="701" t="s">
        <v>580</v>
      </c>
      <c r="E70" s="701" t="s">
        <v>581</v>
      </c>
      <c r="F70" s="701" t="s">
        <v>582</v>
      </c>
      <c r="G70" s="701" t="s">
        <v>583</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586</v>
      </c>
      <c r="C72" s="706" t="s">
        <v>579</v>
      </c>
      <c r="D72" s="706" t="s">
        <v>580</v>
      </c>
      <c r="E72" s="706" t="s">
        <v>581</v>
      </c>
      <c r="F72" s="706" t="s">
        <v>582</v>
      </c>
      <c r="G72" s="706" t="s">
        <v>583</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2556</v>
      </c>
      <c r="C74" s="706" t="s">
        <v>579</v>
      </c>
      <c r="D74" s="706" t="s">
        <v>580</v>
      </c>
      <c r="E74" s="706" t="s">
        <v>581</v>
      </c>
      <c r="F74" s="706" t="s">
        <v>582</v>
      </c>
      <c r="G74" s="706" t="s">
        <v>583</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2557</v>
      </c>
      <c r="C76" s="2560" t="s">
        <v>2558</v>
      </c>
      <c r="D76" s="2560" t="s">
        <v>2559</v>
      </c>
      <c r="E76" s="2560" t="s">
        <v>2560</v>
      </c>
      <c r="F76" s="2560" t="s">
        <v>2561</v>
      </c>
      <c r="G76" s="2560" t="s">
        <v>2562</v>
      </c>
      <c r="H76" s="933"/>
      <c r="I76" s="933"/>
      <c r="J76" s="933"/>
      <c r="K76" s="933"/>
      <c r="L76" s="933"/>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784</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7"/>
      <c r="B80" s="671">
        <f>B25</f>
        <v>111</v>
      </c>
      <c r="C80" s="686"/>
      <c r="D80" s="686"/>
      <c r="E80" s="686"/>
      <c r="F80" s="686"/>
      <c r="G80" s="686"/>
      <c r="H80" s="686"/>
      <c r="I80" s="686"/>
      <c r="J80" s="686"/>
      <c r="K80" s="686"/>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7"/>
      <c r="B82" s="671">
        <f>B26</f>
        <v>111</v>
      </c>
      <c r="C82" s="686"/>
      <c r="D82" s="686"/>
      <c r="E82" s="686"/>
      <c r="F82" s="686"/>
      <c r="G82" s="686"/>
      <c r="H82" s="686"/>
      <c r="I82" s="686"/>
      <c r="J82" s="686"/>
      <c r="K82" s="686"/>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5"/>
      <c r="B84" s="671">
        <f>B27</f>
        <v>111</v>
      </c>
      <c r="C84" s="686"/>
      <c r="D84" s="686"/>
      <c r="E84" s="686"/>
      <c r="F84" s="686"/>
      <c r="G84" s="686"/>
      <c r="H84" s="686"/>
      <c r="I84" s="686"/>
      <c r="J84" s="686"/>
      <c r="K84" s="686"/>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1"/>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551</v>
      </c>
      <c r="B88" s="663" t="s">
        <v>747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751</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6"/>
      <c r="B100" s="671" t="s">
        <v>753</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2555</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755</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Y49" sqref="A47:Y4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6.25" style="1331" customWidth="1"/>
    <col min="8" max="8" width="12.25" style="1331" customWidth="1"/>
    <col min="9" max="9" width="16.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t="s">
        <v>923</v>
      </c>
      <c r="C1" s="502" t="s">
        <v>792</v>
      </c>
      <c r="D1" s="847" t="s">
        <v>3000</v>
      </c>
      <c r="E1" s="504"/>
      <c r="F1" s="2760" t="s">
        <v>3129</v>
      </c>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f>IF(B37="元/平方米",ROUND(B3*D3/10000,0),ROUND(F3*C39/10000,0))</f>
        <v>35901</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f>IF(B37="元/平方米",C39,ROUND(B2*10000/D3,0))</f>
        <v>4384</v>
      </c>
      <c r="C3" s="850" t="s">
        <v>796</v>
      </c>
      <c r="D3" s="849">
        <f>SUMIF('数据-汇总表'!$C19:$C33,D1,'数据-汇总表'!$E19:$E33)</f>
        <v>81890.259999999995</v>
      </c>
      <c r="E3" s="1831" t="s">
        <v>2075</v>
      </c>
      <c r="F3" s="849">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15" t="s">
        <v>798</v>
      </c>
      <c r="D4" s="3416"/>
      <c r="E4" s="3415" t="s">
        <v>799</v>
      </c>
      <c r="F4" s="3416"/>
      <c r="G4" s="3415" t="s">
        <v>800</v>
      </c>
      <c r="H4" s="3416"/>
      <c r="I4" s="3415" t="s">
        <v>801</v>
      </c>
      <c r="J4" s="3416"/>
      <c r="K4" s="512" t="s">
        <v>802</v>
      </c>
      <c r="L4" s="2116"/>
      <c r="M4" s="2117"/>
      <c r="N4" s="2117"/>
      <c r="O4" s="2117"/>
      <c r="P4" s="3417" t="s">
        <v>803</v>
      </c>
      <c r="Q4" s="3418"/>
      <c r="R4" s="3423" t="s">
        <v>799</v>
      </c>
      <c r="S4" s="3424"/>
      <c r="T4" s="3423" t="s">
        <v>800</v>
      </c>
      <c r="U4" s="3424"/>
      <c r="V4" s="3410" t="s">
        <v>801</v>
      </c>
      <c r="W4" s="3410"/>
      <c r="X4" s="1551"/>
      <c r="Y4" s="3423" t="s">
        <v>803</v>
      </c>
      <c r="Z4" s="3424"/>
      <c r="AA4" s="3412" t="s">
        <v>799</v>
      </c>
      <c r="AB4" s="3413" t="s">
        <v>800</v>
      </c>
      <c r="AC4" s="3412" t="s">
        <v>801</v>
      </c>
    </row>
    <row r="5" spans="1:29" ht="15">
      <c r="A5" s="513"/>
      <c r="B5" s="514"/>
      <c r="C5" s="3433" t="str">
        <f>项目基本情况!F10</f>
        <v>顺义区北小营镇顺义新城第30街区30-01-02地块R2二类居住用地</v>
      </c>
      <c r="D5" s="3432"/>
      <c r="E5" s="3530" t="s">
        <v>3132</v>
      </c>
      <c r="F5" s="3432"/>
      <c r="G5" s="3530" t="s">
        <v>3284</v>
      </c>
      <c r="H5" s="3432"/>
      <c r="I5" s="3530" t="s">
        <v>3128</v>
      </c>
      <c r="J5" s="3432"/>
      <c r="K5" s="512"/>
      <c r="L5" s="2116"/>
      <c r="M5" s="2117"/>
      <c r="N5" s="2117"/>
      <c r="O5" s="2117"/>
      <c r="P5" s="3419"/>
      <c r="Q5" s="3420"/>
      <c r="R5" s="3425"/>
      <c r="S5" s="3426"/>
      <c r="T5" s="3425"/>
      <c r="U5" s="3426"/>
      <c r="V5" s="3410"/>
      <c r="W5" s="3410"/>
      <c r="X5" s="1551"/>
      <c r="Y5" s="3425"/>
      <c r="Z5" s="3426"/>
      <c r="AA5" s="3413"/>
      <c r="AB5" s="3413"/>
      <c r="AC5" s="3413"/>
    </row>
    <row r="6" spans="1:29" ht="15.75" thickBot="1">
      <c r="A6" s="515"/>
      <c r="B6" s="516"/>
      <c r="C6" s="3429" t="s">
        <v>3283</v>
      </c>
      <c r="D6" s="3430"/>
      <c r="E6" s="3434" t="s">
        <v>3283</v>
      </c>
      <c r="F6" s="3435"/>
      <c r="G6" s="3429" t="s">
        <v>3283</v>
      </c>
      <c r="H6" s="3430"/>
      <c r="I6" s="3429" t="s">
        <v>3283</v>
      </c>
      <c r="J6" s="3430"/>
      <c r="K6" s="512" t="s">
        <v>528</v>
      </c>
      <c r="L6" s="2116"/>
      <c r="M6" s="2117"/>
      <c r="N6" s="2117"/>
      <c r="O6" s="2117"/>
      <c r="P6" s="3421"/>
      <c r="Q6" s="3422"/>
      <c r="R6" s="3425"/>
      <c r="S6" s="3426"/>
      <c r="T6" s="3427"/>
      <c r="U6" s="3428"/>
      <c r="V6" s="3410"/>
      <c r="W6" s="3410"/>
      <c r="X6" s="1551"/>
      <c r="Y6" s="3427"/>
      <c r="Z6" s="3428"/>
      <c r="AA6" s="3414"/>
      <c r="AB6" s="3414"/>
      <c r="AC6" s="3414"/>
    </row>
    <row r="7" spans="1:29" s="1214" customFormat="1" ht="15.75" thickBot="1">
      <c r="A7" s="2865"/>
      <c r="B7" s="2872" t="s">
        <v>529</v>
      </c>
      <c r="C7" s="517">
        <f>'数据-取费表'!B2</f>
        <v>43830</v>
      </c>
      <c r="D7" s="518">
        <v>100</v>
      </c>
      <c r="E7" s="519">
        <v>43709</v>
      </c>
      <c r="F7" s="520">
        <f>SUMIF(48:48,YEAR(E7)&amp;"-"&amp;MONTH(E7),49:49)</f>
        <v>100</v>
      </c>
      <c r="G7" s="521">
        <v>43770</v>
      </c>
      <c r="H7" s="518">
        <f>SUMIF(48:48,YEAR(G7)&amp;"-"&amp;MONTH(G7),49:49)</f>
        <v>100</v>
      </c>
      <c r="I7" s="521">
        <v>43770</v>
      </c>
      <c r="J7" s="518">
        <f>SUMIF(48:48,YEAR(I7)&amp;"-"&amp;MONTH(I7),49:49)</f>
        <v>100</v>
      </c>
      <c r="K7" s="522"/>
      <c r="L7" s="2118"/>
      <c r="M7" s="2119"/>
      <c r="N7" s="2119"/>
      <c r="O7" s="2119"/>
      <c r="P7" s="3441" t="s">
        <v>530</v>
      </c>
      <c r="Q7" s="3443"/>
      <c r="R7" s="1552" t="s">
        <v>8</v>
      </c>
      <c r="S7" s="1553">
        <f t="shared" ref="S7:S14" si="0">F7</f>
        <v>100</v>
      </c>
      <c r="T7" s="1552" t="s">
        <v>8</v>
      </c>
      <c r="U7" s="1553">
        <f t="shared" ref="U7:U14" si="1">H7</f>
        <v>100</v>
      </c>
      <c r="V7" s="1552" t="s">
        <v>8</v>
      </c>
      <c r="W7" s="1553">
        <f t="shared" ref="W7:W14" si="2">J7</f>
        <v>100</v>
      </c>
      <c r="X7" s="1554"/>
      <c r="Y7" s="3441" t="s">
        <v>530</v>
      </c>
      <c r="Z7" s="3442"/>
      <c r="AA7" s="1555">
        <f>D7/F7</f>
        <v>1</v>
      </c>
      <c r="AB7" s="1555">
        <f>D7/H7</f>
        <v>1</v>
      </c>
      <c r="AC7" s="1555">
        <f>D7/J7</f>
        <v>1</v>
      </c>
    </row>
    <row r="8" spans="1:29" s="1214" customFormat="1" ht="15.75" thickBot="1">
      <c r="A8" s="2866"/>
      <c r="B8" s="2873" t="s">
        <v>531</v>
      </c>
      <c r="C8" s="523" t="s">
        <v>576</v>
      </c>
      <c r="D8" s="518">
        <v>100</v>
      </c>
      <c r="E8" s="523" t="s">
        <v>3083</v>
      </c>
      <c r="F8" s="520">
        <f>SUMIF(51:51,E8,52:52)-SUMIF(51:51,C8,52:52)+100</f>
        <v>100</v>
      </c>
      <c r="G8" s="523" t="s">
        <v>3083</v>
      </c>
      <c r="H8" s="518">
        <f>SUMIF(51:51,G8,52:52)-SUMIF(51:51,C8,52:52)+100</f>
        <v>100</v>
      </c>
      <c r="I8" s="523" t="s">
        <v>3083</v>
      </c>
      <c r="J8" s="518">
        <f>SUMIF(51:51,I8,52:52)-SUMIF(51:51,C8,52:52)+100</f>
        <v>100</v>
      </c>
      <c r="K8" s="522"/>
      <c r="L8" s="2118"/>
      <c r="M8" s="2119"/>
      <c r="N8" s="2119"/>
      <c r="O8" s="2119"/>
      <c r="P8" s="3441" t="s">
        <v>533</v>
      </c>
      <c r="Q8" s="3442"/>
      <c r="R8" s="1552" t="s">
        <v>8</v>
      </c>
      <c r="S8" s="1553">
        <f t="shared" si="0"/>
        <v>100</v>
      </c>
      <c r="T8" s="1552" t="s">
        <v>8</v>
      </c>
      <c r="U8" s="1553">
        <f t="shared" si="1"/>
        <v>100</v>
      </c>
      <c r="V8" s="1552" t="s">
        <v>8</v>
      </c>
      <c r="W8" s="1553">
        <f t="shared" si="2"/>
        <v>100</v>
      </c>
      <c r="X8" s="1554"/>
      <c r="Y8" s="3441" t="s">
        <v>533</v>
      </c>
      <c r="Z8" s="3442"/>
      <c r="AA8" s="1555">
        <f t="shared" ref="AA8:AA36" si="3">D8/F8</f>
        <v>1</v>
      </c>
      <c r="AB8" s="1555">
        <f t="shared" ref="AB8:AB36" si="4">D8/H8</f>
        <v>1</v>
      </c>
      <c r="AC8" s="1555">
        <f t="shared" ref="AC8:AC36" si="5">D8/J8</f>
        <v>1</v>
      </c>
    </row>
    <row r="9" spans="1:29" s="1214" customFormat="1" ht="15">
      <c r="A9" s="2867"/>
      <c r="B9" s="2874" t="s">
        <v>2754</v>
      </c>
      <c r="C9" s="3182" t="s">
        <v>3130</v>
      </c>
      <c r="D9" s="252">
        <v>100</v>
      </c>
      <c r="E9" s="858" t="s">
        <v>3000</v>
      </c>
      <c r="F9" s="252">
        <f>SUMIF(53:53,E9,54:54)-SUMIF(53:53,C9,54:54)+100</f>
        <v>100</v>
      </c>
      <c r="G9" s="856" t="s">
        <v>3000</v>
      </c>
      <c r="H9" s="252">
        <f>SUMIF(53:53,G9,54:54)-SUMIF(53:53,C9,54:54)+100</f>
        <v>100</v>
      </c>
      <c r="I9" s="856" t="s">
        <v>3000</v>
      </c>
      <c r="J9" s="252">
        <f>SUMIF(53:53,I9,54:54)-SUMIF(53:53,C9,54:54)+100</f>
        <v>100</v>
      </c>
      <c r="K9" s="522"/>
      <c r="L9" s="2118"/>
      <c r="M9" s="2119"/>
      <c r="N9" s="2119"/>
      <c r="O9" s="2120"/>
      <c r="P9" s="3409" t="s">
        <v>535</v>
      </c>
      <c r="Q9" s="1145" t="str">
        <f t="shared" ref="Q9:Q14" si="6">B9</f>
        <v>用途</v>
      </c>
      <c r="R9" s="1552" t="s">
        <v>8</v>
      </c>
      <c r="S9" s="1553">
        <f t="shared" si="0"/>
        <v>100</v>
      </c>
      <c r="T9" s="1552" t="s">
        <v>8</v>
      </c>
      <c r="U9" s="1553">
        <f t="shared" si="1"/>
        <v>100</v>
      </c>
      <c r="V9" s="1552" t="s">
        <v>8</v>
      </c>
      <c r="W9" s="1553">
        <f t="shared" si="2"/>
        <v>100</v>
      </c>
      <c r="X9" s="1554"/>
      <c r="Y9" s="3355" t="s">
        <v>536</v>
      </c>
      <c r="Z9" s="1144" t="str">
        <f t="shared" ref="Z9:Z14" si="7">Q9</f>
        <v>用途</v>
      </c>
      <c r="AA9" s="1555">
        <f t="shared" si="3"/>
        <v>1</v>
      </c>
      <c r="AB9" s="1555">
        <f t="shared" si="4"/>
        <v>1</v>
      </c>
      <c r="AC9" s="1555">
        <f t="shared" si="5"/>
        <v>1</v>
      </c>
    </row>
    <row r="10" spans="1:29" s="1332" customFormat="1" ht="27.75" thickBot="1">
      <c r="A10" s="2868"/>
      <c r="B10" s="2873" t="s">
        <v>2755</v>
      </c>
      <c r="C10" s="859" t="s">
        <v>3131</v>
      </c>
      <c r="D10" s="253">
        <v>100</v>
      </c>
      <c r="E10" s="859" t="s">
        <v>3131</v>
      </c>
      <c r="F10" s="253">
        <f>SUMIF(55:55,E10,56:56)-SUMIF(55:55,C10,56:56)+100</f>
        <v>100</v>
      </c>
      <c r="G10" s="860" t="s">
        <v>3131</v>
      </c>
      <c r="H10" s="253">
        <f>SUMIF(55:55,G10,56:56)-SUMIF(55:55,C10,56:56)+100</f>
        <v>100</v>
      </c>
      <c r="I10" s="859" t="s">
        <v>3131</v>
      </c>
      <c r="J10" s="253">
        <f>SUMIF(55:55,I10,56:56)-SUMIF(55:55,C10,56:56)+100</f>
        <v>100</v>
      </c>
      <c r="K10" s="582">
        <v>2</v>
      </c>
      <c r="L10" s="2121"/>
      <c r="M10" s="2161"/>
      <c r="N10" s="2161"/>
      <c r="O10" s="2122"/>
      <c r="P10" s="3409"/>
      <c r="Q10" s="1145" t="str">
        <f t="shared" si="6"/>
        <v>土地使用年限（年）</v>
      </c>
      <c r="R10" s="1552" t="s">
        <v>8</v>
      </c>
      <c r="S10" s="1553">
        <f t="shared" si="0"/>
        <v>100</v>
      </c>
      <c r="T10" s="1552" t="s">
        <v>8</v>
      </c>
      <c r="U10" s="1553">
        <f t="shared" si="1"/>
        <v>100</v>
      </c>
      <c r="V10" s="1552" t="s">
        <v>8</v>
      </c>
      <c r="W10" s="1553">
        <f t="shared" si="2"/>
        <v>100</v>
      </c>
      <c r="X10" s="1554"/>
      <c r="Y10" s="3355"/>
      <c r="Z10" s="1144" t="str">
        <f t="shared" si="7"/>
        <v>土地使用年限（年）</v>
      </c>
      <c r="AA10" s="1555">
        <f t="shared" si="3"/>
        <v>1</v>
      </c>
      <c r="AB10" s="1555">
        <f t="shared" si="4"/>
        <v>1</v>
      </c>
      <c r="AC10" s="1555">
        <f t="shared" si="5"/>
        <v>1</v>
      </c>
    </row>
    <row r="11" spans="1:29" ht="15" hidden="1">
      <c r="A11" s="2870"/>
      <c r="B11" s="2876"/>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409"/>
      <c r="Q11" s="1145">
        <f t="shared" si="6"/>
        <v>0</v>
      </c>
      <c r="R11" s="1552" t="s">
        <v>8</v>
      </c>
      <c r="S11" s="1553">
        <f t="shared" si="0"/>
        <v>100</v>
      </c>
      <c r="T11" s="1552" t="s">
        <v>8</v>
      </c>
      <c r="U11" s="1553">
        <f t="shared" si="1"/>
        <v>100</v>
      </c>
      <c r="V11" s="1552" t="s">
        <v>8</v>
      </c>
      <c r="W11" s="1553">
        <f t="shared" si="2"/>
        <v>100</v>
      </c>
      <c r="X11" s="1554"/>
      <c r="Y11" s="3355"/>
      <c r="Z11" s="1144">
        <f t="shared" si="7"/>
        <v>0</v>
      </c>
      <c r="AA11" s="1555">
        <f t="shared" si="3"/>
        <v>1</v>
      </c>
      <c r="AB11" s="1555">
        <f t="shared" si="4"/>
        <v>1</v>
      </c>
      <c r="AC11" s="1555">
        <f t="shared" si="5"/>
        <v>1</v>
      </c>
    </row>
    <row r="12" spans="1:29" s="1214" customFormat="1" ht="15" hidden="1">
      <c r="A12" s="2870"/>
      <c r="B12" s="2876"/>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409"/>
      <c r="Q12" s="1145">
        <f t="shared" si="6"/>
        <v>0</v>
      </c>
      <c r="R12" s="1552" t="s">
        <v>8</v>
      </c>
      <c r="S12" s="1553">
        <f t="shared" si="0"/>
        <v>100</v>
      </c>
      <c r="T12" s="1552" t="s">
        <v>8</v>
      </c>
      <c r="U12" s="1553">
        <f t="shared" si="1"/>
        <v>100</v>
      </c>
      <c r="V12" s="1552" t="s">
        <v>8</v>
      </c>
      <c r="W12" s="1553">
        <f t="shared" si="2"/>
        <v>100</v>
      </c>
      <c r="X12" s="1554"/>
      <c r="Y12" s="3355"/>
      <c r="Z12" s="1144">
        <f t="shared" si="7"/>
        <v>0</v>
      </c>
      <c r="AA12" s="1555">
        <f>D12/F12</f>
        <v>1</v>
      </c>
      <c r="AB12" s="1555">
        <f>D12/H12</f>
        <v>1</v>
      </c>
      <c r="AC12" s="1555">
        <f>D12/J12</f>
        <v>1</v>
      </c>
    </row>
    <row r="13" spans="1:29" ht="15.75" hidden="1" thickBot="1">
      <c r="A13" s="2871"/>
      <c r="B13" s="2877"/>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409"/>
      <c r="Q13" s="1145">
        <f t="shared" si="6"/>
        <v>0</v>
      </c>
      <c r="R13" s="1552" t="s">
        <v>8</v>
      </c>
      <c r="S13" s="1553">
        <f t="shared" si="0"/>
        <v>100</v>
      </c>
      <c r="T13" s="1552" t="s">
        <v>8</v>
      </c>
      <c r="U13" s="1553">
        <f t="shared" si="1"/>
        <v>100</v>
      </c>
      <c r="V13" s="1552" t="s">
        <v>8</v>
      </c>
      <c r="W13" s="1553">
        <f t="shared" si="2"/>
        <v>100</v>
      </c>
      <c r="X13" s="1554"/>
      <c r="Y13" s="3355"/>
      <c r="Z13" s="1144">
        <f t="shared" si="7"/>
        <v>0</v>
      </c>
      <c r="AA13" s="1555">
        <f t="shared" si="3"/>
        <v>1</v>
      </c>
      <c r="AB13" s="1555">
        <f t="shared" si="4"/>
        <v>1</v>
      </c>
      <c r="AC13" s="1555">
        <f t="shared" si="5"/>
        <v>1</v>
      </c>
    </row>
    <row r="14" spans="1:29" ht="41.25" customHeight="1">
      <c r="A14" s="3186" t="s">
        <v>2752</v>
      </c>
      <c r="B14" s="545" t="s">
        <v>543</v>
      </c>
      <c r="C14" s="919" t="str">
        <f>IF(B1="工业",估价对象房地状况!G4,估价对象房地状况!C6)</f>
        <v>估价对象紧邻城市主干道——昌金路，临近城市主干道——顺密路。估价对象周边有顺16路、顺27路、顺32路、顺37路等多条公交线路通过，距离地铁15号线（俸伯站）约9公里，综合评价交通便捷度一般</v>
      </c>
      <c r="D14" s="547">
        <v>100</v>
      </c>
      <c r="E14" s="3236" t="s">
        <v>3281</v>
      </c>
      <c r="F14" s="549">
        <f>SUMIF(63:63,E15,64:64)-SUMIF(63:63,C15,64:64)+100</f>
        <v>102</v>
      </c>
      <c r="G14" s="3233" t="s">
        <v>3087</v>
      </c>
      <c r="H14" s="547">
        <f>SUMIF(63:63,G15,64:64)-SUMIF(63:63,C15,64:64)+100</f>
        <v>102</v>
      </c>
      <c r="I14" s="3236" t="s">
        <v>3087</v>
      </c>
      <c r="J14" s="547">
        <f>SUMIF(63:63,I15,64:64)-SUMIF(63:63,C15,64:64)+100</f>
        <v>102</v>
      </c>
      <c r="K14" s="896">
        <v>2</v>
      </c>
      <c r="L14" s="2125"/>
      <c r="M14" s="2117"/>
      <c r="N14" s="2117"/>
      <c r="O14" s="2124"/>
      <c r="P14" s="3444" t="s">
        <v>540</v>
      </c>
      <c r="Q14" s="1556" t="str">
        <f t="shared" si="6"/>
        <v>交通便捷度</v>
      </c>
      <c r="R14" s="1557" t="s">
        <v>8</v>
      </c>
      <c r="S14" s="1558">
        <f t="shared" si="0"/>
        <v>102</v>
      </c>
      <c r="T14" s="1557" t="s">
        <v>8</v>
      </c>
      <c r="U14" s="1558">
        <f t="shared" si="1"/>
        <v>102</v>
      </c>
      <c r="V14" s="1557" t="s">
        <v>8</v>
      </c>
      <c r="W14" s="1558">
        <f t="shared" si="2"/>
        <v>102</v>
      </c>
      <c r="X14" s="1551"/>
      <c r="Y14" s="3444" t="s">
        <v>540</v>
      </c>
      <c r="Z14" s="1559" t="str">
        <f t="shared" si="7"/>
        <v>交通便捷度</v>
      </c>
      <c r="AA14" s="1560">
        <f t="shared" si="3"/>
        <v>0.98039215686274506</v>
      </c>
      <c r="AB14" s="1560">
        <f t="shared" si="4"/>
        <v>0.98039215686274506</v>
      </c>
      <c r="AC14" s="1560">
        <f t="shared" si="5"/>
        <v>0.98039215686274506</v>
      </c>
    </row>
    <row r="15" spans="1:29" ht="15">
      <c r="A15" s="513"/>
      <c r="B15" s="922"/>
      <c r="C15" s="574" t="s">
        <v>3086</v>
      </c>
      <c r="D15" s="553"/>
      <c r="E15" s="574" t="s">
        <v>3087</v>
      </c>
      <c r="F15" s="555"/>
      <c r="G15" s="574" t="s">
        <v>3087</v>
      </c>
      <c r="H15" s="557"/>
      <c r="I15" s="574" t="s">
        <v>3087</v>
      </c>
      <c r="J15" s="553"/>
      <c r="K15" s="897"/>
      <c r="L15" s="2125"/>
      <c r="M15" s="2117"/>
      <c r="N15" s="2117"/>
      <c r="O15" s="2124"/>
      <c r="P15" s="3445"/>
      <c r="Q15" s="1556"/>
      <c r="R15" s="1557"/>
      <c r="S15" s="1558"/>
      <c r="T15" s="1557"/>
      <c r="U15" s="1558"/>
      <c r="V15" s="1557"/>
      <c r="W15" s="1558"/>
      <c r="X15" s="1551"/>
      <c r="Y15" s="3445"/>
      <c r="Z15" s="1559"/>
      <c r="AA15" s="1560">
        <v>1</v>
      </c>
      <c r="AB15" s="1560">
        <v>1</v>
      </c>
      <c r="AC15" s="1560">
        <v>1</v>
      </c>
    </row>
    <row r="16" spans="1:29" ht="171">
      <c r="A16" s="513"/>
      <c r="B16" s="2565" t="s">
        <v>2545</v>
      </c>
      <c r="C16" s="870" t="str">
        <f>IF(B1="工业",估价对象房地状况!G5,估价对象房地状况!C7)</f>
        <v>估价对象所在区域有银行（北京顺义银座村镇银行(北小营支行)等），学校（北京顺义第十三中学等），无大型购物场所、医院、餐饮等公共配套设施，综合确定公共配套设施齐备度一般</v>
      </c>
      <c r="D16" s="563">
        <v>100</v>
      </c>
      <c r="E16" s="3238" t="s">
        <v>3087</v>
      </c>
      <c r="F16" s="569">
        <f>SUMIF(65:65,E17,66:66)-SUMIF(65:65,C17,66:66)+100</f>
        <v>105</v>
      </c>
      <c r="G16" s="3238" t="s">
        <v>3087</v>
      </c>
      <c r="H16" s="563">
        <f>SUMIF(65:65,G17,66:66)-SUMIF(65:65,C17,66:66)+100</f>
        <v>105</v>
      </c>
      <c r="I16" s="3237" t="s">
        <v>3087</v>
      </c>
      <c r="J16" s="563">
        <f>SUMIF(65:65,I17,66:66)-SUMIF(65:65,C17,66:66)+100</f>
        <v>105</v>
      </c>
      <c r="K16" s="3185">
        <v>5</v>
      </c>
      <c r="L16" s="2125"/>
      <c r="M16" s="2117"/>
      <c r="N16" s="2117"/>
      <c r="O16" s="2124"/>
      <c r="P16" s="3445"/>
      <c r="Q16" s="1556" t="str">
        <f>B16</f>
        <v>公共配套设施</v>
      </c>
      <c r="R16" s="1557" t="s">
        <v>8</v>
      </c>
      <c r="S16" s="1558">
        <f>F16</f>
        <v>105</v>
      </c>
      <c r="T16" s="1557" t="s">
        <v>8</v>
      </c>
      <c r="U16" s="1558">
        <f>H16</f>
        <v>105</v>
      </c>
      <c r="V16" s="1557" t="s">
        <v>8</v>
      </c>
      <c r="W16" s="1558">
        <f>J16</f>
        <v>105</v>
      </c>
      <c r="X16" s="1551"/>
      <c r="Y16" s="3445"/>
      <c r="Z16" s="1559" t="str">
        <f>Q16</f>
        <v>公共配套设施</v>
      </c>
      <c r="AA16" s="1560">
        <f t="shared" si="3"/>
        <v>0.95238095238095233</v>
      </c>
      <c r="AB16" s="1560">
        <f t="shared" si="4"/>
        <v>0.95238095238095233</v>
      </c>
      <c r="AC16" s="1560">
        <f t="shared" si="5"/>
        <v>0.95238095238095233</v>
      </c>
    </row>
    <row r="17" spans="1:29" ht="15">
      <c r="A17" s="513"/>
      <c r="B17" s="564"/>
      <c r="C17" s="871" t="s">
        <v>3086</v>
      </c>
      <c r="D17" s="553"/>
      <c r="E17" s="574" t="s">
        <v>3087</v>
      </c>
      <c r="F17" s="555"/>
      <c r="G17" s="574" t="s">
        <v>3087</v>
      </c>
      <c r="H17" s="553"/>
      <c r="I17" s="574" t="s">
        <v>3087</v>
      </c>
      <c r="J17" s="553"/>
      <c r="K17" s="897"/>
      <c r="L17" s="2125"/>
      <c r="M17" s="2117"/>
      <c r="N17" s="2117"/>
      <c r="O17" s="2124"/>
      <c r="P17" s="3445"/>
      <c r="Q17" s="1556"/>
      <c r="R17" s="1557"/>
      <c r="S17" s="1558"/>
      <c r="T17" s="1557"/>
      <c r="U17" s="1558"/>
      <c r="V17" s="1557"/>
      <c r="W17" s="1558"/>
      <c r="X17" s="1551"/>
      <c r="Y17" s="3445"/>
      <c r="Z17" s="1559"/>
      <c r="AA17" s="1560">
        <v>1</v>
      </c>
      <c r="AB17" s="1560">
        <v>1</v>
      </c>
      <c r="AC17" s="1560">
        <v>1</v>
      </c>
    </row>
    <row r="18" spans="1:29" ht="42.75">
      <c r="A18" s="513"/>
      <c r="B18" s="2553" t="s">
        <v>2557</v>
      </c>
      <c r="C18" s="870" t="str">
        <f>IF(B1="工业",估价对象房地状况!G6,估价对象房地状况!C8)</f>
        <v>估价对象所在区域基础设施水平为六通</v>
      </c>
      <c r="D18" s="557">
        <v>100</v>
      </c>
      <c r="E18" s="3238" t="s">
        <v>3282</v>
      </c>
      <c r="F18" s="569">
        <f>SUMIF(67:67,E19,68:68)-SUMIF(67:67,C19,68:68)+100</f>
        <v>100</v>
      </c>
      <c r="G18" s="3238" t="s">
        <v>3282</v>
      </c>
      <c r="H18" s="563">
        <f>SUMIF(67:67,G19,68:68)-SUMIF(67:67,C19,68:68)+100</f>
        <v>100</v>
      </c>
      <c r="I18" s="3238" t="s">
        <v>3282</v>
      </c>
      <c r="J18" s="563">
        <f>SUMIF(67:67,I19,68:68)-SUMIF(67:67,C19,68:68)+100</f>
        <v>100</v>
      </c>
      <c r="K18" s="896">
        <v>2</v>
      </c>
      <c r="L18" s="2125"/>
      <c r="M18" s="2117"/>
      <c r="N18" s="2117"/>
      <c r="O18" s="2124"/>
      <c r="P18" s="3445"/>
      <c r="Q18" s="2541" t="str">
        <f>B18</f>
        <v>基础设施水平</v>
      </c>
      <c r="R18" s="1557" t="s">
        <v>8</v>
      </c>
      <c r="S18" s="1558">
        <f>F18</f>
        <v>100</v>
      </c>
      <c r="T18" s="1557" t="s">
        <v>8</v>
      </c>
      <c r="U18" s="1558">
        <f>H18</f>
        <v>100</v>
      </c>
      <c r="V18" s="1557" t="s">
        <v>8</v>
      </c>
      <c r="W18" s="1558">
        <f>J18</f>
        <v>100</v>
      </c>
      <c r="X18" s="2543"/>
      <c r="Y18" s="3445"/>
      <c r="Z18" s="2542" t="str">
        <f>Q18</f>
        <v>基础设施水平</v>
      </c>
      <c r="AA18" s="1560">
        <f t="shared" ref="AA18" si="8">D18/F18</f>
        <v>1</v>
      </c>
      <c r="AB18" s="1560">
        <f t="shared" ref="AB18" si="9">D18/H18</f>
        <v>1</v>
      </c>
      <c r="AC18" s="1560">
        <f t="shared" ref="AC18" si="10">D18/J18</f>
        <v>1</v>
      </c>
    </row>
    <row r="19" spans="1:29" ht="15">
      <c r="A19" s="513"/>
      <c r="B19" s="576"/>
      <c r="C19" s="871" t="s">
        <v>3091</v>
      </c>
      <c r="D19" s="557"/>
      <c r="E19" s="574" t="s">
        <v>3091</v>
      </c>
      <c r="F19" s="555"/>
      <c r="G19" s="574" t="s">
        <v>3091</v>
      </c>
      <c r="H19" s="553"/>
      <c r="I19" s="574" t="s">
        <v>3091</v>
      </c>
      <c r="J19" s="553"/>
      <c r="K19" s="2564"/>
      <c r="L19" s="2125"/>
      <c r="M19" s="2117"/>
      <c r="N19" s="2117"/>
      <c r="O19" s="2124"/>
      <c r="P19" s="3445"/>
      <c r="Q19" s="2541"/>
      <c r="R19" s="1557"/>
      <c r="S19" s="1558"/>
      <c r="T19" s="1557"/>
      <c r="U19" s="1558"/>
      <c r="V19" s="1557"/>
      <c r="W19" s="1558"/>
      <c r="X19" s="2543"/>
      <c r="Y19" s="3445"/>
      <c r="Z19" s="2542"/>
      <c r="AA19" s="1560">
        <v>1</v>
      </c>
      <c r="AB19" s="1560">
        <v>1</v>
      </c>
      <c r="AC19" s="1560">
        <v>1</v>
      </c>
    </row>
    <row r="20" spans="1:29" ht="142.5">
      <c r="A20" s="513"/>
      <c r="B20" s="558" t="s">
        <v>804</v>
      </c>
      <c r="C20" s="870" t="str">
        <f>IF(B1="工业",估价对象房地状况!G7,估价对象房地状况!C9)</f>
        <v>估价对象周边有箭杆河、民悦广场、凤阳广场、顺义奥林匹克水上公园等自然景观；有北小营镇政府等人文设施，综合考虑自然环境与人文环境一般</v>
      </c>
      <c r="D20" s="563">
        <v>100</v>
      </c>
      <c r="E20" s="3235" t="s">
        <v>3087</v>
      </c>
      <c r="F20" s="561">
        <f>SUMIF(69:69,E21,70:70)-SUMIF(69:69,C21,70:70)+100</f>
        <v>102</v>
      </c>
      <c r="G20" s="3234" t="s">
        <v>3087</v>
      </c>
      <c r="H20" s="557">
        <f>SUMIF(69:69,G21,70:70)-SUMIF(69:69,C21,70:70)+100</f>
        <v>102</v>
      </c>
      <c r="I20" s="3235" t="s">
        <v>3087</v>
      </c>
      <c r="J20" s="557">
        <f>SUMIF(69:69,I21,70:70)-SUMIF(69:69,C21,70:70)+100</f>
        <v>102</v>
      </c>
      <c r="K20" s="896">
        <v>2</v>
      </c>
      <c r="L20" s="2125"/>
      <c r="M20" s="2117"/>
      <c r="N20" s="2117"/>
      <c r="O20" s="2124"/>
      <c r="P20" s="3445"/>
      <c r="Q20" s="1556" t="str">
        <f>B20</f>
        <v>自然及人文环境</v>
      </c>
      <c r="R20" s="1557" t="s">
        <v>8</v>
      </c>
      <c r="S20" s="1558">
        <f>F20</f>
        <v>102</v>
      </c>
      <c r="T20" s="1557" t="s">
        <v>8</v>
      </c>
      <c r="U20" s="1558">
        <f>H20</f>
        <v>102</v>
      </c>
      <c r="V20" s="1557" t="s">
        <v>8</v>
      </c>
      <c r="W20" s="1558">
        <f>J20</f>
        <v>102</v>
      </c>
      <c r="X20" s="1551"/>
      <c r="Y20" s="3445"/>
      <c r="Z20" s="1559" t="str">
        <f>Q20</f>
        <v>自然及人文环境</v>
      </c>
      <c r="AA20" s="1560">
        <f t="shared" si="3"/>
        <v>0.98039215686274506</v>
      </c>
      <c r="AB20" s="1560">
        <f t="shared" si="4"/>
        <v>0.98039215686274506</v>
      </c>
      <c r="AC20" s="1560">
        <f t="shared" si="5"/>
        <v>0.98039215686274506</v>
      </c>
    </row>
    <row r="21" spans="1:29" ht="15.75" thickBot="1">
      <c r="A21" s="513"/>
      <c r="B21" s="564"/>
      <c r="C21" s="574" t="s">
        <v>3086</v>
      </c>
      <c r="D21" s="553"/>
      <c r="E21" s="574" t="s">
        <v>3087</v>
      </c>
      <c r="F21" s="555"/>
      <c r="G21" s="574" t="s">
        <v>3087</v>
      </c>
      <c r="H21" s="553"/>
      <c r="I21" s="574" t="s">
        <v>3087</v>
      </c>
      <c r="J21" s="553"/>
      <c r="K21" s="897"/>
      <c r="L21" s="2125"/>
      <c r="M21" s="2117"/>
      <c r="N21" s="2117"/>
      <c r="O21" s="2124"/>
      <c r="P21" s="3445"/>
      <c r="Q21" s="1556"/>
      <c r="R21" s="1557"/>
      <c r="S21" s="1558"/>
      <c r="T21" s="1557"/>
      <c r="U21" s="1558"/>
      <c r="V21" s="1557"/>
      <c r="W21" s="1558"/>
      <c r="X21" s="1551"/>
      <c r="Y21" s="3445"/>
      <c r="Z21" s="1559"/>
      <c r="AA21" s="1560">
        <v>1</v>
      </c>
      <c r="AB21" s="1560">
        <v>1</v>
      </c>
      <c r="AC21" s="1560">
        <v>1</v>
      </c>
    </row>
    <row r="22" spans="1:29" ht="15" hidden="1">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45"/>
      <c r="Q22" s="1556" t="str">
        <f>B22</f>
        <v>楼层</v>
      </c>
      <c r="R22" s="1557" t="s">
        <v>8</v>
      </c>
      <c r="S22" s="1558">
        <f>F22</f>
        <v>100</v>
      </c>
      <c r="T22" s="1557" t="s">
        <v>8</v>
      </c>
      <c r="U22" s="1558">
        <f>H22</f>
        <v>100</v>
      </c>
      <c r="V22" s="1557" t="s">
        <v>8</v>
      </c>
      <c r="W22" s="1558">
        <f>J22</f>
        <v>100</v>
      </c>
      <c r="X22" s="1551"/>
      <c r="Y22" s="3445"/>
      <c r="Z22" s="1559" t="str">
        <f>Q22</f>
        <v>楼层</v>
      </c>
      <c r="AA22" s="1560">
        <f t="shared" si="3"/>
        <v>1</v>
      </c>
      <c r="AB22" s="1560">
        <f t="shared" si="4"/>
        <v>1</v>
      </c>
      <c r="AC22" s="1560">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45"/>
      <c r="Q23" s="1556">
        <f>B23</f>
        <v>111</v>
      </c>
      <c r="R23" s="1557" t="s">
        <v>8</v>
      </c>
      <c r="S23" s="1558">
        <f>F23</f>
        <v>100</v>
      </c>
      <c r="T23" s="1557" t="s">
        <v>8</v>
      </c>
      <c r="U23" s="1558">
        <f>H23</f>
        <v>100</v>
      </c>
      <c r="V23" s="1557" t="s">
        <v>8</v>
      </c>
      <c r="W23" s="1558">
        <f>J23</f>
        <v>100</v>
      </c>
      <c r="X23" s="1551"/>
      <c r="Y23" s="3445"/>
      <c r="Z23" s="1559">
        <f>Q23</f>
        <v>111</v>
      </c>
      <c r="AA23" s="1560">
        <f t="shared" si="3"/>
        <v>1</v>
      </c>
      <c r="AB23" s="1560">
        <f t="shared" si="4"/>
        <v>1</v>
      </c>
      <c r="AC23" s="1560">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45"/>
      <c r="Q24" s="1556">
        <f t="shared" ref="Q24:Q36" si="11">B24</f>
        <v>111</v>
      </c>
      <c r="R24" s="1557" t="s">
        <v>8</v>
      </c>
      <c r="S24" s="1558">
        <f>F24</f>
        <v>100</v>
      </c>
      <c r="T24" s="1557" t="s">
        <v>8</v>
      </c>
      <c r="U24" s="1558">
        <f>H24</f>
        <v>100</v>
      </c>
      <c r="V24" s="1557" t="s">
        <v>8</v>
      </c>
      <c r="W24" s="1558">
        <f>J24</f>
        <v>100</v>
      </c>
      <c r="X24" s="1551"/>
      <c r="Y24" s="3445"/>
      <c r="Z24" s="1559">
        <f>Q24</f>
        <v>111</v>
      </c>
      <c r="AA24" s="1560">
        <f t="shared" si="3"/>
        <v>1</v>
      </c>
      <c r="AB24" s="1560">
        <f t="shared" si="4"/>
        <v>1</v>
      </c>
      <c r="AC24" s="1560">
        <f t="shared" si="5"/>
        <v>1</v>
      </c>
    </row>
    <row r="25" spans="1:29" s="1214"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8"/>
      <c r="M25" s="2119"/>
      <c r="N25" s="2119"/>
      <c r="O25" s="2120"/>
      <c r="P25" s="3445"/>
      <c r="Q25" s="1145">
        <f t="shared" si="11"/>
        <v>111</v>
      </c>
      <c r="R25" s="1552" t="s">
        <v>8</v>
      </c>
      <c r="S25" s="1553">
        <f>F25</f>
        <v>100</v>
      </c>
      <c r="T25" s="1552" t="s">
        <v>8</v>
      </c>
      <c r="U25" s="1553">
        <f>H25</f>
        <v>100</v>
      </c>
      <c r="V25" s="1552" t="s">
        <v>8</v>
      </c>
      <c r="W25" s="1553">
        <f>J25</f>
        <v>100</v>
      </c>
      <c r="X25" s="1554"/>
      <c r="Y25" s="3445"/>
      <c r="Z25" s="1144">
        <f>Q25</f>
        <v>111</v>
      </c>
      <c r="AA25" s="1560">
        <f>D25/F25</f>
        <v>1</v>
      </c>
      <c r="AB25" s="1560">
        <f>D25/H25</f>
        <v>1</v>
      </c>
      <c r="AC25" s="1560">
        <f>D25/J25</f>
        <v>1</v>
      </c>
    </row>
    <row r="26" spans="1:29" ht="15">
      <c r="A26" s="2860" t="s">
        <v>2753</v>
      </c>
      <c r="B26" s="170" t="s">
        <v>806</v>
      </c>
      <c r="C26" s="926" t="str">
        <f>B1</f>
        <v>住宅</v>
      </c>
      <c r="D26" s="553">
        <v>100</v>
      </c>
      <c r="E26" s="574" t="s">
        <v>923</v>
      </c>
      <c r="F26" s="555">
        <f>SUMIF(79:79,E26,80:80)-SUMIF(79:79,C26,80:80)+100</f>
        <v>100</v>
      </c>
      <c r="G26" s="574" t="s">
        <v>923</v>
      </c>
      <c r="H26" s="553">
        <f>SUMIF(79:79,G26,80:80)-SUMIF(79:79,C26,80:80)+100</f>
        <v>100</v>
      </c>
      <c r="I26" s="574" t="s">
        <v>923</v>
      </c>
      <c r="J26" s="553">
        <f>SUMIF(79:79,I26,80:80)-SUMIF(79:79,C26,80:80)+100</f>
        <v>100</v>
      </c>
      <c r="K26" s="582">
        <v>2</v>
      </c>
      <c r="L26" s="2125"/>
      <c r="M26" s="2117"/>
      <c r="N26" s="2117"/>
      <c r="O26" s="2124"/>
      <c r="P26" s="3446"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47" t="s">
        <v>550</v>
      </c>
      <c r="Z26" s="1559" t="str">
        <f t="shared" ref="Z26:Z36" si="15">Q26</f>
        <v>配套类型</v>
      </c>
      <c r="AA26" s="1560">
        <f t="shared" si="3"/>
        <v>1</v>
      </c>
      <c r="AB26" s="1560">
        <f t="shared" si="4"/>
        <v>1</v>
      </c>
      <c r="AC26" s="1560">
        <f t="shared" si="5"/>
        <v>1</v>
      </c>
    </row>
    <row r="27" spans="1:29" s="1333" customFormat="1" ht="15" hidden="1">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3"/>
      <c r="M27" s="2154"/>
      <c r="N27" s="2154"/>
      <c r="O27" s="2126"/>
      <c r="P27" s="3447"/>
      <c r="Q27" s="1588" t="str">
        <f t="shared" si="11"/>
        <v>项目停车位配比</v>
      </c>
      <c r="R27" s="1561" t="s">
        <v>8</v>
      </c>
      <c r="S27" s="1562">
        <f t="shared" si="12"/>
        <v>100</v>
      </c>
      <c r="T27" s="1561" t="s">
        <v>8</v>
      </c>
      <c r="U27" s="1562">
        <f t="shared" si="13"/>
        <v>100</v>
      </c>
      <c r="V27" s="1561" t="s">
        <v>8</v>
      </c>
      <c r="W27" s="1562">
        <f t="shared" si="14"/>
        <v>100</v>
      </c>
      <c r="X27" s="1563"/>
      <c r="Y27" s="3447"/>
      <c r="Z27" s="1564" t="str">
        <f t="shared" si="15"/>
        <v>项目停车位配比</v>
      </c>
      <c r="AA27" s="1560">
        <f t="shared" si="3"/>
        <v>1</v>
      </c>
      <c r="AB27" s="1560">
        <f t="shared" si="4"/>
        <v>1</v>
      </c>
      <c r="AC27" s="1560">
        <f t="shared" si="5"/>
        <v>1</v>
      </c>
    </row>
    <row r="28" spans="1:29" ht="15">
      <c r="A28" s="929"/>
      <c r="B28" s="580" t="s">
        <v>808</v>
      </c>
      <c r="C28" s="572" t="s">
        <v>3135</v>
      </c>
      <c r="D28" s="538">
        <v>100</v>
      </c>
      <c r="E28" s="572" t="s">
        <v>3135</v>
      </c>
      <c r="F28" s="573">
        <f>SUMIF(83:83,E28,84:84)-SUMIF(83:83,C28,84:84)+100</f>
        <v>100</v>
      </c>
      <c r="G28" s="572" t="s">
        <v>3135</v>
      </c>
      <c r="H28" s="538">
        <f>SUMIF(83:83,G28,84:84)-SUMIF(83:83,C28,84:84)+100</f>
        <v>100</v>
      </c>
      <c r="I28" s="572" t="s">
        <v>3135</v>
      </c>
      <c r="J28" s="538">
        <f>SUMIF(83:83,I28,84:84)-SUMIF(83:83,C28,84:84)+100</f>
        <v>100</v>
      </c>
      <c r="K28" s="582">
        <v>2</v>
      </c>
      <c r="L28" s="2125"/>
      <c r="M28" s="2117"/>
      <c r="N28" s="2117"/>
      <c r="O28" s="2124"/>
      <c r="P28" s="3447"/>
      <c r="Q28" s="1556" t="str">
        <f t="shared" si="11"/>
        <v>公共部分装修</v>
      </c>
      <c r="R28" s="1557" t="s">
        <v>8</v>
      </c>
      <c r="S28" s="1558">
        <f t="shared" si="12"/>
        <v>100</v>
      </c>
      <c r="T28" s="1557" t="s">
        <v>8</v>
      </c>
      <c r="U28" s="1558">
        <f t="shared" si="13"/>
        <v>100</v>
      </c>
      <c r="V28" s="1557" t="s">
        <v>8</v>
      </c>
      <c r="W28" s="1558">
        <f t="shared" si="14"/>
        <v>100</v>
      </c>
      <c r="X28" s="1551"/>
      <c r="Y28" s="3447"/>
      <c r="Z28" s="1559" t="str">
        <f t="shared" si="15"/>
        <v>公共部分装修</v>
      </c>
      <c r="AA28" s="1560">
        <f t="shared" si="3"/>
        <v>1</v>
      </c>
      <c r="AB28" s="1560">
        <f t="shared" si="4"/>
        <v>1</v>
      </c>
      <c r="AC28" s="1560">
        <f t="shared" si="5"/>
        <v>1</v>
      </c>
    </row>
    <row r="29" spans="1:29" ht="15">
      <c r="A29" s="929"/>
      <c r="B29" s="580" t="s">
        <v>809</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2</v>
      </c>
      <c r="L29" s="2125"/>
      <c r="M29" s="2117"/>
      <c r="N29" s="2117"/>
      <c r="O29" s="2124"/>
      <c r="P29" s="3447"/>
      <c r="Q29" s="1556" t="str">
        <f t="shared" si="11"/>
        <v>成新率</v>
      </c>
      <c r="R29" s="1557" t="s">
        <v>8</v>
      </c>
      <c r="S29" s="1558">
        <f t="shared" si="12"/>
        <v>100</v>
      </c>
      <c r="T29" s="1557" t="s">
        <v>8</v>
      </c>
      <c r="U29" s="1558">
        <f t="shared" si="13"/>
        <v>100</v>
      </c>
      <c r="V29" s="1557" t="s">
        <v>8</v>
      </c>
      <c r="W29" s="1558">
        <f t="shared" si="14"/>
        <v>100</v>
      </c>
      <c r="X29" s="1551"/>
      <c r="Y29" s="3447"/>
      <c r="Z29" s="1559" t="str">
        <f t="shared" si="15"/>
        <v>成新率</v>
      </c>
      <c r="AA29" s="1560">
        <f t="shared" si="3"/>
        <v>1</v>
      </c>
      <c r="AB29" s="1560">
        <f t="shared" si="4"/>
        <v>1</v>
      </c>
      <c r="AC29" s="1560">
        <f t="shared" si="5"/>
        <v>1</v>
      </c>
    </row>
    <row r="30" spans="1:29" ht="15">
      <c r="A30" s="929"/>
      <c r="B30" s="580" t="s">
        <v>810</v>
      </c>
      <c r="C30" s="930" t="s">
        <v>3138</v>
      </c>
      <c r="D30" s="538">
        <v>100</v>
      </c>
      <c r="E30" s="930" t="s">
        <v>3138</v>
      </c>
      <c r="F30" s="573">
        <f>SUMIF(88:88,E30,89:89)-SUMIF(88:88,C30,89:89)+100</f>
        <v>100</v>
      </c>
      <c r="G30" s="930" t="s">
        <v>3138</v>
      </c>
      <c r="H30" s="538">
        <f>SUMIF(88:88,E30,89:89)-SUMIF(88:88,C30,89:89)+100</f>
        <v>100</v>
      </c>
      <c r="I30" s="930" t="s">
        <v>3138</v>
      </c>
      <c r="J30" s="538">
        <f>SUMIF(88:88,E30,89:89)-SUMIF(88:88,C30,89:89)+100</f>
        <v>100</v>
      </c>
      <c r="K30" s="582">
        <v>2</v>
      </c>
      <c r="L30" s="2125"/>
      <c r="M30" s="2117"/>
      <c r="N30" s="2117"/>
      <c r="O30" s="2124"/>
      <c r="P30" s="3447"/>
      <c r="Q30" s="1556" t="str">
        <f t="shared" si="11"/>
        <v>物业等级</v>
      </c>
      <c r="R30" s="1557" t="s">
        <v>8</v>
      </c>
      <c r="S30" s="1558">
        <f t="shared" si="12"/>
        <v>100</v>
      </c>
      <c r="T30" s="1557" t="s">
        <v>8</v>
      </c>
      <c r="U30" s="1558">
        <f t="shared" si="13"/>
        <v>100</v>
      </c>
      <c r="V30" s="1557" t="s">
        <v>8</v>
      </c>
      <c r="W30" s="1558">
        <f t="shared" si="14"/>
        <v>100</v>
      </c>
      <c r="X30" s="1551"/>
      <c r="Y30" s="3447"/>
      <c r="Z30" s="1559" t="str">
        <f t="shared" si="15"/>
        <v>物业等级</v>
      </c>
      <c r="AA30" s="1560">
        <f t="shared" si="3"/>
        <v>1</v>
      </c>
      <c r="AB30" s="1560">
        <f t="shared" si="4"/>
        <v>1</v>
      </c>
      <c r="AC30" s="1560">
        <f t="shared" si="5"/>
        <v>1</v>
      </c>
    </row>
    <row r="31" spans="1:29" s="1214" customFormat="1" ht="15">
      <c r="A31" s="931"/>
      <c r="B31" s="580" t="s">
        <v>811</v>
      </c>
      <c r="C31" s="878">
        <v>35</v>
      </c>
      <c r="D31" s="253">
        <v>100</v>
      </c>
      <c r="E31" s="878">
        <v>36</v>
      </c>
      <c r="F31" s="573">
        <f>LOOKUP(E31,91:91,92:92)-LOOKUP(C31,91:91,92:92)+100</f>
        <v>100</v>
      </c>
      <c r="G31" s="878">
        <v>35</v>
      </c>
      <c r="H31" s="538">
        <f>LOOKUP(G31,91:91,92:92)-LOOKUP(C31,91:91,92:92)+100</f>
        <v>100</v>
      </c>
      <c r="I31" s="878">
        <v>32</v>
      </c>
      <c r="J31" s="538">
        <f>LOOKUP(I31,91:91,92:92)-LOOKUP(C31,91:91,92:92)+100</f>
        <v>100</v>
      </c>
      <c r="K31" s="582">
        <v>1</v>
      </c>
      <c r="L31" s="2118"/>
      <c r="M31" s="2119"/>
      <c r="N31" s="2119"/>
      <c r="O31" s="2120"/>
      <c r="P31" s="3447"/>
      <c r="Q31" s="1145" t="str">
        <f t="shared" si="11"/>
        <v>停车位面积</v>
      </c>
      <c r="R31" s="1552" t="s">
        <v>8</v>
      </c>
      <c r="S31" s="1553">
        <f t="shared" si="12"/>
        <v>100</v>
      </c>
      <c r="T31" s="1552" t="s">
        <v>8</v>
      </c>
      <c r="U31" s="1553">
        <f t="shared" si="13"/>
        <v>100</v>
      </c>
      <c r="V31" s="1552" t="s">
        <v>8</v>
      </c>
      <c r="W31" s="1553">
        <f t="shared" si="14"/>
        <v>100</v>
      </c>
      <c r="X31" s="1554"/>
      <c r="Y31" s="3447"/>
      <c r="Z31" s="1144" t="str">
        <f t="shared" si="15"/>
        <v>停车位面积</v>
      </c>
      <c r="AA31" s="1555">
        <f t="shared" si="3"/>
        <v>1</v>
      </c>
      <c r="AB31" s="1555">
        <f t="shared" si="4"/>
        <v>1</v>
      </c>
      <c r="AC31" s="1555">
        <f t="shared" si="5"/>
        <v>1</v>
      </c>
    </row>
    <row r="32" spans="1:29" ht="15">
      <c r="A32" s="929"/>
      <c r="B32" s="580" t="s">
        <v>812</v>
      </c>
      <c r="C32" s="572" t="s">
        <v>3142</v>
      </c>
      <c r="D32" s="538">
        <v>100</v>
      </c>
      <c r="E32" s="572" t="s">
        <v>3142</v>
      </c>
      <c r="F32" s="573">
        <f>SUMIF(93:93,E32,94:94)-SUMIF(93:93,C32,94:94)+100</f>
        <v>100</v>
      </c>
      <c r="G32" s="572" t="s">
        <v>3142</v>
      </c>
      <c r="H32" s="538">
        <f>SUMIF(93:93,G32,94:94)-SUMIF(93:93,C32,94:94)+100</f>
        <v>100</v>
      </c>
      <c r="I32" s="572" t="s">
        <v>3142</v>
      </c>
      <c r="J32" s="538">
        <f>SUMIF(93:93,I32,94:94)-SUMIF(93:93,C32,94:94)+100</f>
        <v>100</v>
      </c>
      <c r="K32" s="582">
        <v>2</v>
      </c>
      <c r="L32" s="2125"/>
      <c r="M32" s="2117"/>
      <c r="N32" s="2117"/>
      <c r="O32" s="2124"/>
      <c r="P32" s="3447" t="s">
        <v>550</v>
      </c>
      <c r="Q32" s="1556" t="str">
        <f t="shared" si="11"/>
        <v>车位类型</v>
      </c>
      <c r="R32" s="1557" t="s">
        <v>8</v>
      </c>
      <c r="S32" s="1558">
        <f t="shared" si="12"/>
        <v>100</v>
      </c>
      <c r="T32" s="1557" t="s">
        <v>8</v>
      </c>
      <c r="U32" s="1558">
        <f t="shared" si="13"/>
        <v>100</v>
      </c>
      <c r="V32" s="1557" t="s">
        <v>8</v>
      </c>
      <c r="W32" s="1558">
        <f t="shared" si="14"/>
        <v>100</v>
      </c>
      <c r="X32" s="1551"/>
      <c r="Y32" s="3447" t="s">
        <v>550</v>
      </c>
      <c r="Z32" s="1559" t="str">
        <f t="shared" si="15"/>
        <v>车位类型</v>
      </c>
      <c r="AA32" s="1560">
        <f t="shared" si="3"/>
        <v>1</v>
      </c>
      <c r="AB32" s="1560">
        <f t="shared" si="4"/>
        <v>1</v>
      </c>
      <c r="AC32" s="1560">
        <f t="shared" si="5"/>
        <v>1</v>
      </c>
    </row>
    <row r="33" spans="1:29" ht="15.75" thickBot="1">
      <c r="A33" s="929"/>
      <c r="B33" s="580" t="s">
        <v>813</v>
      </c>
      <c r="C33" s="572" t="s">
        <v>3003</v>
      </c>
      <c r="D33" s="538">
        <v>100</v>
      </c>
      <c r="E33" s="572" t="s">
        <v>3003</v>
      </c>
      <c r="F33" s="573">
        <f>SUMIF(95:95,E33,96:96)-SUMIF(95:95,C33,96:96)+100</f>
        <v>100</v>
      </c>
      <c r="G33" s="572" t="s">
        <v>3003</v>
      </c>
      <c r="H33" s="538">
        <f>SUMIF(95:95,G33,96:96)-SUMIF(95:95,C33,96:96)+100</f>
        <v>100</v>
      </c>
      <c r="I33" s="572" t="s">
        <v>3003</v>
      </c>
      <c r="J33" s="538">
        <f>SUMIF(95:95,I33,96:96)-SUMIF(95:95,C33,96:96)+100</f>
        <v>100</v>
      </c>
      <c r="K33" s="582">
        <v>2</v>
      </c>
      <c r="L33" s="2125"/>
      <c r="M33" s="2117"/>
      <c r="N33" s="2117"/>
      <c r="O33" s="2124"/>
      <c r="P33" s="3447"/>
      <c r="Q33" s="1556" t="str">
        <f t="shared" si="11"/>
        <v>是否直接入户</v>
      </c>
      <c r="R33" s="1557" t="s">
        <v>8</v>
      </c>
      <c r="S33" s="1558">
        <f t="shared" si="12"/>
        <v>100</v>
      </c>
      <c r="T33" s="1557" t="s">
        <v>8</v>
      </c>
      <c r="U33" s="1558">
        <f t="shared" si="13"/>
        <v>100</v>
      </c>
      <c r="V33" s="1557" t="s">
        <v>8</v>
      </c>
      <c r="W33" s="1558">
        <f t="shared" si="14"/>
        <v>100</v>
      </c>
      <c r="X33" s="1551"/>
      <c r="Y33" s="3447"/>
      <c r="Z33" s="1559" t="str">
        <f t="shared" si="15"/>
        <v>是否直接入户</v>
      </c>
      <c r="AA33" s="1560">
        <f t="shared" si="3"/>
        <v>1</v>
      </c>
      <c r="AB33" s="1560">
        <f t="shared" si="4"/>
        <v>1</v>
      </c>
      <c r="AC33" s="1560">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47"/>
      <c r="Q34" s="1556">
        <f t="shared" si="11"/>
        <v>111</v>
      </c>
      <c r="R34" s="1557" t="s">
        <v>8</v>
      </c>
      <c r="S34" s="1558">
        <f t="shared" si="12"/>
        <v>100</v>
      </c>
      <c r="T34" s="1557" t="s">
        <v>8</v>
      </c>
      <c r="U34" s="1558">
        <f t="shared" si="13"/>
        <v>100</v>
      </c>
      <c r="V34" s="1557" t="s">
        <v>8</v>
      </c>
      <c r="W34" s="1558">
        <f t="shared" si="14"/>
        <v>100</v>
      </c>
      <c r="X34" s="1551"/>
      <c r="Y34" s="3447"/>
      <c r="Z34" s="1559">
        <f t="shared" si="15"/>
        <v>111</v>
      </c>
      <c r="AA34" s="1560">
        <f t="shared" si="3"/>
        <v>1</v>
      </c>
      <c r="AB34" s="1560">
        <f t="shared" si="4"/>
        <v>1</v>
      </c>
      <c r="AC34" s="1560">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47"/>
      <c r="Q35" s="1588">
        <f t="shared" si="11"/>
        <v>111</v>
      </c>
      <c r="R35" s="1561" t="s">
        <v>8</v>
      </c>
      <c r="S35" s="1562">
        <f t="shared" si="12"/>
        <v>100</v>
      </c>
      <c r="T35" s="1561" t="s">
        <v>8</v>
      </c>
      <c r="U35" s="1562">
        <f t="shared" si="13"/>
        <v>100</v>
      </c>
      <c r="V35" s="1561" t="s">
        <v>8</v>
      </c>
      <c r="W35" s="1562">
        <f t="shared" si="14"/>
        <v>100</v>
      </c>
      <c r="X35" s="1563"/>
      <c r="Y35" s="3447"/>
      <c r="Z35" s="1564">
        <f t="shared" si="15"/>
        <v>111</v>
      </c>
      <c r="AA35" s="1560">
        <f t="shared" si="3"/>
        <v>1</v>
      </c>
      <c r="AB35" s="1560">
        <f t="shared" si="4"/>
        <v>1</v>
      </c>
      <c r="AC35" s="1560">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47"/>
      <c r="Q36" s="1556">
        <f t="shared" si="11"/>
        <v>111</v>
      </c>
      <c r="R36" s="1557" t="s">
        <v>8</v>
      </c>
      <c r="S36" s="1558">
        <f t="shared" si="12"/>
        <v>100</v>
      </c>
      <c r="T36" s="1557" t="s">
        <v>8</v>
      </c>
      <c r="U36" s="1558">
        <f t="shared" si="13"/>
        <v>100</v>
      </c>
      <c r="V36" s="1557" t="s">
        <v>8</v>
      </c>
      <c r="W36" s="1558">
        <f t="shared" si="14"/>
        <v>100</v>
      </c>
      <c r="X36" s="1551"/>
      <c r="Y36" s="3447"/>
      <c r="Z36" s="1559">
        <f t="shared" si="15"/>
        <v>111</v>
      </c>
      <c r="AA36" s="1560">
        <f t="shared" si="3"/>
        <v>1</v>
      </c>
      <c r="AB36" s="1560">
        <f t="shared" si="4"/>
        <v>1</v>
      </c>
      <c r="AC36" s="1560">
        <f t="shared" si="5"/>
        <v>1</v>
      </c>
    </row>
    <row r="37" spans="1:29" ht="15">
      <c r="A37" s="1829" t="s">
        <v>2076</v>
      </c>
      <c r="B37" s="1830" t="s">
        <v>2077</v>
      </c>
      <c r="C37" s="2589" t="s">
        <v>1</v>
      </c>
      <c r="D37" s="2590"/>
      <c r="E37" s="2591">
        <v>4759</v>
      </c>
      <c r="F37" s="2592"/>
      <c r="G37" s="2593">
        <v>5029</v>
      </c>
      <c r="H37" s="2594"/>
      <c r="I37" s="2591">
        <v>4581</v>
      </c>
      <c r="J37" s="2594"/>
      <c r="K37" s="1594"/>
      <c r="L37" s="2127"/>
      <c r="M37" s="2128"/>
      <c r="N37" s="2117"/>
      <c r="O37" s="2128"/>
      <c r="P37" s="3409" t="str">
        <f>A37</f>
        <v>成交单价</v>
      </c>
      <c r="Q37" s="3409"/>
      <c r="R37" s="3528">
        <f>E37</f>
        <v>4759</v>
      </c>
      <c r="S37" s="3528"/>
      <c r="T37" s="3528">
        <f>G37</f>
        <v>5029</v>
      </c>
      <c r="U37" s="3528"/>
      <c r="V37" s="3528">
        <f>I37</f>
        <v>4581</v>
      </c>
      <c r="W37" s="3528"/>
      <c r="X37" s="1543"/>
      <c r="Y37" s="1565"/>
      <c r="Z37" s="1543"/>
      <c r="AA37" s="1543"/>
      <c r="AB37" s="1543"/>
      <c r="AC37" s="1543"/>
    </row>
    <row r="38" spans="1:29" ht="15.75" thickBot="1">
      <c r="A38" s="613" t="s">
        <v>2758</v>
      </c>
      <c r="B38" s="886"/>
      <c r="C38" s="2595">
        <f>R39</f>
        <v>4384</v>
      </c>
      <c r="D38" s="2596"/>
      <c r="E38" s="2597">
        <f>R38</f>
        <v>4356</v>
      </c>
      <c r="F38" s="2597"/>
      <c r="G38" s="2595">
        <f>T38</f>
        <v>4604</v>
      </c>
      <c r="H38" s="2596"/>
      <c r="I38" s="2597">
        <f>V38</f>
        <v>4193</v>
      </c>
      <c r="J38" s="2596"/>
      <c r="K38" s="1595"/>
      <c r="L38" s="2127"/>
      <c r="M38" s="2128"/>
      <c r="N38" s="2128"/>
      <c r="O38" s="2128"/>
      <c r="P38" s="3409" t="str">
        <f>A38</f>
        <v>比较价格（元/平方米）</v>
      </c>
      <c r="Q38" s="3409"/>
      <c r="R38" s="3528">
        <f>IF(F1="售价",ROUND(PRODUCT(R37,AA7:AA36),0),ROUND(PRODUCT(R37,AA7:AA36),1))</f>
        <v>4356</v>
      </c>
      <c r="S38" s="3528"/>
      <c r="T38" s="3528">
        <f>IF(F1="售价",ROUND(PRODUCT(T37,AB7:AB36),0),ROUND(PRODUCT(T37,AB7:AB36),1))</f>
        <v>4604</v>
      </c>
      <c r="U38" s="3528"/>
      <c r="V38" s="3528">
        <f>IF(F1="售价",ROUND(PRODUCT(V37,AC7:AC36),0),ROUND(PRODUCT(V37,AC7:AC36),1))</f>
        <v>4193</v>
      </c>
      <c r="W38" s="3528"/>
      <c r="X38" s="1543"/>
      <c r="Y38" s="1543"/>
      <c r="Z38" s="1543"/>
      <c r="AA38" s="1543"/>
      <c r="AB38" s="1543"/>
      <c r="AC38" s="1543"/>
    </row>
    <row r="39" spans="1:29" ht="15.75" thickBot="1">
      <c r="A39" s="619" t="s">
        <v>2927</v>
      </c>
      <c r="B39" s="620"/>
      <c r="C39" s="2598">
        <f>R39</f>
        <v>4384</v>
      </c>
      <c r="D39" s="2598"/>
      <c r="E39" s="2598"/>
      <c r="F39" s="2598"/>
      <c r="G39" s="2598"/>
      <c r="H39" s="2598"/>
      <c r="I39" s="2598"/>
      <c r="J39" s="2598"/>
      <c r="K39" s="1596"/>
      <c r="L39" s="2127"/>
      <c r="M39" s="2128"/>
      <c r="N39" s="2128"/>
      <c r="O39" s="2128"/>
      <c r="P39" s="3406" t="str">
        <f>A39</f>
        <v>估价对象XX用房的比较价格（楼面单价，元/平方米）</v>
      </c>
      <c r="Q39" s="3407"/>
      <c r="R39" s="3527">
        <f>IF(F1="售价",ROUND(AVERAGE(R38:V38),0),ROUND(AVERAGE(R38:V38),1))</f>
        <v>4384</v>
      </c>
      <c r="S39" s="3527"/>
      <c r="T39" s="3527"/>
      <c r="U39" s="3527"/>
      <c r="V39" s="3527"/>
      <c r="W39" s="3527"/>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557</v>
      </c>
      <c r="D42" s="623"/>
      <c r="E42" s="624">
        <f>IF(E37&lt;E38,E38/E37-1,E37/E38-1)</f>
        <v>9.2516069788797006E-2</v>
      </c>
      <c r="F42" s="625" t="str">
        <f>IF(OR(E42&gt;=0.3,E42&lt;=-0.3),"超过30%","")</f>
        <v/>
      </c>
      <c r="G42" s="624">
        <f>IF(G37&lt;G38,G38/G37-1,G37/G38-1)</f>
        <v>9.231103388357953E-2</v>
      </c>
      <c r="H42" s="625" t="str">
        <f>IF(OR(G42&gt;=0.3,G42&lt;=-0.3),"超过30%","")</f>
        <v/>
      </c>
      <c r="I42" s="624">
        <f>IF(I37&lt;I38,I38/I37-1,I37/I38-1)</f>
        <v>9.253517767708086E-2</v>
      </c>
      <c r="J42" s="625" t="str">
        <f>IF(OR(I42&gt;=0.3,I42&lt;=-0.3),"超过30%","")</f>
        <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558</v>
      </c>
      <c r="D43" s="626"/>
      <c r="E43" s="624">
        <f>IF(E38&lt;G38,G38/E38-1,E38/G38-1)</f>
        <v>5.6932966023875098E-2</v>
      </c>
      <c r="F43" s="625" t="str">
        <f>IF(OR(E43&gt;=0.2,E43&lt;=-0.2),"超过20%","")</f>
        <v/>
      </c>
      <c r="G43" s="624">
        <f>IF(G38&lt;I38,I38/G38-1,G38/I38-1)</f>
        <v>9.80205103744336E-2</v>
      </c>
      <c r="H43" s="625" t="str">
        <f>IF(OR(G43&gt;=0.2,G43&lt;=-0.2),"超过20%","")</f>
        <v/>
      </c>
      <c r="I43" s="624">
        <f>IF(I38&lt;E38,E38/I38-1,I38/E38-1)</f>
        <v>3.8874314333412929E-2</v>
      </c>
      <c r="J43" s="625" t="str">
        <f>IF(OR(I43&gt;=0.2,I43&lt;=-0.2),"超过20%","")</f>
        <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2" t="s">
        <v>559</v>
      </c>
      <c r="D44" s="626"/>
      <c r="E44" s="624">
        <f>IF(E37&lt;G37,G37/E37-1,E37/G37-1)</f>
        <v>5.673460811094766E-2</v>
      </c>
      <c r="F44" s="625" t="str">
        <f>IF(OR(E44&gt;=0.3,E44&lt;=-0.3),"超过30%","")</f>
        <v/>
      </c>
      <c r="G44" s="624">
        <f>IF(G37&lt;I37,I37/G37-1,G37/I37-1)</f>
        <v>9.7795241213708861E-2</v>
      </c>
      <c r="H44" s="625" t="str">
        <f>IF(OR(G44&gt;=0.3,G44&lt;=-0.3),"超过30%","")</f>
        <v/>
      </c>
      <c r="I44" s="624">
        <f>IF(I37&lt;E37,E37/I37-1,I37/E37-1)</f>
        <v>3.8856144946518123E-2</v>
      </c>
      <c r="J44" s="625" t="str">
        <f>IF(OR(I44&gt;=0.3,I44&lt;=-0.3),"超过30%","")</f>
        <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3" t="s">
        <v>529</v>
      </c>
      <c r="B48" s="644"/>
      <c r="C48" s="2755" t="str">
        <f>YEAR(C7)&amp;"-"&amp;MONTH(C7)</f>
        <v>2019-12</v>
      </c>
      <c r="D48" s="2757">
        <f>EDATE(C48,-1)</f>
        <v>43770</v>
      </c>
      <c r="E48" s="2757">
        <f t="shared" ref="E48:O48" si="16">EDATE(D48,-1)</f>
        <v>43739</v>
      </c>
      <c r="F48" s="2757">
        <f t="shared" si="16"/>
        <v>43709</v>
      </c>
      <c r="G48" s="2757">
        <f t="shared" si="16"/>
        <v>43678</v>
      </c>
      <c r="H48" s="2757">
        <f t="shared" si="16"/>
        <v>43647</v>
      </c>
      <c r="I48" s="2757">
        <f t="shared" si="16"/>
        <v>43617</v>
      </c>
      <c r="J48" s="2757">
        <f t="shared" si="16"/>
        <v>43586</v>
      </c>
      <c r="K48" s="2757">
        <f t="shared" si="16"/>
        <v>43556</v>
      </c>
      <c r="L48" s="2757">
        <f t="shared" si="16"/>
        <v>43525</v>
      </c>
      <c r="M48" s="2757">
        <f t="shared" si="16"/>
        <v>43497</v>
      </c>
      <c r="N48" s="2757">
        <f t="shared" si="16"/>
        <v>43466</v>
      </c>
      <c r="O48" s="2757">
        <f t="shared" si="16"/>
        <v>43435</v>
      </c>
      <c r="P48" s="2143"/>
      <c r="Q48" s="2144"/>
      <c r="R48" s="2144"/>
      <c r="S48" s="2144"/>
      <c r="T48" s="2144"/>
      <c r="U48" s="2144"/>
      <c r="V48" s="2144"/>
      <c r="W48" s="2144"/>
      <c r="X48" s="2144"/>
      <c r="Y48" s="2144"/>
      <c r="Z48" s="2144"/>
      <c r="AA48" s="2144"/>
      <c r="AB48" s="2144"/>
      <c r="AC48" s="2144"/>
    </row>
    <row r="49" spans="1:29" s="1214" customFormat="1" ht="15">
      <c r="A49" s="645"/>
      <c r="B49" s="646"/>
      <c r="C49" s="2756">
        <v>100</v>
      </c>
      <c r="D49" s="648">
        <v>100</v>
      </c>
      <c r="E49" s="648">
        <v>100</v>
      </c>
      <c r="F49" s="648">
        <v>100</v>
      </c>
      <c r="G49" s="648">
        <f t="shared" ref="G49:K49" si="17">F49-0.5</f>
        <v>99.5</v>
      </c>
      <c r="H49" s="648">
        <f t="shared" si="17"/>
        <v>99</v>
      </c>
      <c r="I49" s="648">
        <f t="shared" si="17"/>
        <v>98.5</v>
      </c>
      <c r="J49" s="648">
        <f t="shared" si="17"/>
        <v>98</v>
      </c>
      <c r="K49" s="648">
        <f t="shared" si="17"/>
        <v>97.5</v>
      </c>
      <c r="L49" s="648"/>
      <c r="M49" s="649"/>
      <c r="N49" s="648"/>
      <c r="O49" s="650"/>
      <c r="P49" s="2141"/>
      <c r="Q49" s="1976"/>
      <c r="R49" s="1976"/>
      <c r="S49" s="1976"/>
      <c r="T49" s="1976"/>
      <c r="U49" s="1976"/>
      <c r="V49" s="1976"/>
      <c r="W49" s="1976"/>
      <c r="X49" s="1976"/>
      <c r="Y49" s="1976"/>
      <c r="Z49" s="1976"/>
      <c r="AA49" s="1976"/>
      <c r="AB49" s="1976"/>
      <c r="AC49" s="1976"/>
    </row>
    <row r="50" spans="1:29" s="1214" customFormat="1" ht="15.75" thickBot="1">
      <c r="A50" s="651" t="s">
        <v>575</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4" customFormat="1" ht="15">
      <c r="A51" s="657" t="s">
        <v>531</v>
      </c>
      <c r="B51" s="646"/>
      <c r="C51" s="658" t="s">
        <v>576</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577</v>
      </c>
      <c r="B53" s="663" t="s">
        <v>534</v>
      </c>
      <c r="C53" s="702" t="str">
        <f>C9</f>
        <v>车库</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3181">
        <v>100</v>
      </c>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3">
        <f>B11</f>
        <v>0</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5"/>
      <c r="B59" s="671">
        <f>B12</f>
        <v>0</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5"/>
      <c r="B61" s="671">
        <f>B13</f>
        <v>0</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98</v>
      </c>
      <c r="E64" s="677">
        <f>D64-$K14</f>
        <v>96</v>
      </c>
      <c r="F64" s="677">
        <f>E64-$K14</f>
        <v>94</v>
      </c>
      <c r="G64" s="677">
        <f>F64-$K14</f>
        <v>92</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2556</v>
      </c>
      <c r="C65" s="706" t="s">
        <v>579</v>
      </c>
      <c r="D65" s="706" t="s">
        <v>580</v>
      </c>
      <c r="E65" s="706" t="s">
        <v>581</v>
      </c>
      <c r="F65" s="706" t="s">
        <v>582</v>
      </c>
      <c r="G65" s="706" t="s">
        <v>583</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95</v>
      </c>
      <c r="E66" s="677">
        <f>D66-$K16</f>
        <v>90</v>
      </c>
      <c r="F66" s="677">
        <f>E66-$K16</f>
        <v>85</v>
      </c>
      <c r="G66" s="677">
        <f>F66-$K16</f>
        <v>80</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2557</v>
      </c>
      <c r="C67" s="2560" t="s">
        <v>2558</v>
      </c>
      <c r="D67" s="2560" t="s">
        <v>2559</v>
      </c>
      <c r="E67" s="2560" t="s">
        <v>2560</v>
      </c>
      <c r="F67" s="2560" t="s">
        <v>2561</v>
      </c>
      <c r="G67" s="2560" t="s">
        <v>2562</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98</v>
      </c>
      <c r="E68" s="677">
        <f>D68-$K18</f>
        <v>96</v>
      </c>
      <c r="F68" s="677">
        <f>E68-$K18</f>
        <v>94</v>
      </c>
      <c r="G68" s="677">
        <f>F68-$K18</f>
        <v>92</v>
      </c>
      <c r="H68" s="933"/>
      <c r="I68" s="933"/>
      <c r="J68" s="933"/>
      <c r="K68" s="933"/>
      <c r="L68" s="933"/>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744</v>
      </c>
      <c r="C69" s="706" t="s">
        <v>579</v>
      </c>
      <c r="D69" s="706" t="s">
        <v>580</v>
      </c>
      <c r="E69" s="706" t="s">
        <v>581</v>
      </c>
      <c r="F69" s="706" t="s">
        <v>582</v>
      </c>
      <c r="G69" s="706" t="s">
        <v>583</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98</v>
      </c>
      <c r="E70" s="677">
        <f>D70-$K20</f>
        <v>96</v>
      </c>
      <c r="F70" s="677">
        <f>E70-$K20</f>
        <v>94</v>
      </c>
      <c r="G70" s="677">
        <f>F70-$K20</f>
        <v>92</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745</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7"/>
      <c r="B73" s="671">
        <f>B23</f>
        <v>111</v>
      </c>
      <c r="C73" s="539"/>
      <c r="D73" s="539"/>
      <c r="E73" s="539"/>
      <c r="F73" s="539"/>
      <c r="G73" s="686"/>
      <c r="H73" s="686"/>
      <c r="I73" s="686"/>
      <c r="J73" s="686"/>
      <c r="K73" s="686"/>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7"/>
      <c r="B75" s="671">
        <f>B24</f>
        <v>111</v>
      </c>
      <c r="C75" s="539"/>
      <c r="D75" s="539"/>
      <c r="E75" s="539"/>
      <c r="F75" s="539"/>
      <c r="G75" s="686"/>
      <c r="H75" s="686"/>
      <c r="I75" s="686"/>
      <c r="J75" s="686"/>
      <c r="K75" s="686"/>
      <c r="L75" s="686"/>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551</v>
      </c>
      <c r="B79" s="663" t="s">
        <v>814</v>
      </c>
      <c r="C79" s="702" t="str">
        <f>C26</f>
        <v>住宅</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8">C80-$K26</f>
        <v>98</v>
      </c>
      <c r="E80" s="677">
        <f t="shared" si="18"/>
        <v>96</v>
      </c>
      <c r="F80" s="677">
        <f t="shared" si="18"/>
        <v>94</v>
      </c>
      <c r="G80" s="677">
        <f t="shared" si="18"/>
        <v>92</v>
      </c>
      <c r="H80" s="677">
        <f t="shared" si="18"/>
        <v>90</v>
      </c>
      <c r="I80" s="677">
        <f t="shared" si="18"/>
        <v>88</v>
      </c>
      <c r="J80" s="677">
        <f t="shared" si="18"/>
        <v>86</v>
      </c>
      <c r="K80" s="677">
        <f t="shared" si="18"/>
        <v>84</v>
      </c>
      <c r="L80" s="677">
        <f t="shared" si="18"/>
        <v>82</v>
      </c>
      <c r="M80" s="678">
        <f t="shared" si="18"/>
        <v>80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751</v>
      </c>
      <c r="C83" s="3179" t="s">
        <v>3133</v>
      </c>
      <c r="D83" s="3179" t="s">
        <v>3134</v>
      </c>
      <c r="E83" s="3180" t="s">
        <v>3136</v>
      </c>
      <c r="F83" s="3180" t="s">
        <v>3137</v>
      </c>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9">C84-$K28</f>
        <v>98</v>
      </c>
      <c r="E84" s="677">
        <f t="shared" si="19"/>
        <v>96</v>
      </c>
      <c r="F84" s="677">
        <f t="shared" si="19"/>
        <v>94</v>
      </c>
      <c r="G84" s="677">
        <f t="shared" si="19"/>
        <v>92</v>
      </c>
      <c r="H84" s="677">
        <f t="shared" si="19"/>
        <v>90</v>
      </c>
      <c r="I84" s="677">
        <f t="shared" si="19"/>
        <v>88</v>
      </c>
      <c r="J84" s="677">
        <f t="shared" si="19"/>
        <v>86</v>
      </c>
      <c r="K84" s="677">
        <f t="shared" si="19"/>
        <v>84</v>
      </c>
      <c r="L84" s="677">
        <f t="shared" si="19"/>
        <v>82</v>
      </c>
      <c r="M84" s="678">
        <f t="shared" si="19"/>
        <v>80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102</v>
      </c>
      <c r="E87" s="677">
        <f t="shared" ref="E87:M87" si="20">D87+$K$29</f>
        <v>104</v>
      </c>
      <c r="F87" s="677">
        <f t="shared" si="20"/>
        <v>106</v>
      </c>
      <c r="G87" s="677">
        <f t="shared" si="20"/>
        <v>108</v>
      </c>
      <c r="H87" s="677">
        <f t="shared" si="20"/>
        <v>110</v>
      </c>
      <c r="I87" s="677">
        <f t="shared" si="20"/>
        <v>112</v>
      </c>
      <c r="J87" s="677">
        <f t="shared" si="20"/>
        <v>114</v>
      </c>
      <c r="K87" s="677">
        <f t="shared" si="20"/>
        <v>116</v>
      </c>
      <c r="L87" s="677">
        <f t="shared" si="20"/>
        <v>118</v>
      </c>
      <c r="M87" s="677">
        <f t="shared" si="20"/>
        <v>120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817</v>
      </c>
      <c r="C88" s="3177" t="s">
        <v>3139</v>
      </c>
      <c r="D88" s="3177" t="s">
        <v>3140</v>
      </c>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1">C89+$K30</f>
        <v>102</v>
      </c>
      <c r="E89" s="677">
        <f t="shared" si="21"/>
        <v>104</v>
      </c>
      <c r="F89" s="677">
        <f t="shared" si="21"/>
        <v>106</v>
      </c>
      <c r="G89" s="677">
        <f t="shared" si="21"/>
        <v>108</v>
      </c>
      <c r="H89" s="677">
        <f t="shared" si="21"/>
        <v>110</v>
      </c>
      <c r="I89" s="677">
        <f t="shared" si="21"/>
        <v>112</v>
      </c>
      <c r="J89" s="677">
        <f t="shared" si="21"/>
        <v>114</v>
      </c>
      <c r="K89" s="677">
        <f t="shared" si="21"/>
        <v>116</v>
      </c>
      <c r="L89" s="677">
        <f t="shared" si="21"/>
        <v>118</v>
      </c>
      <c r="M89" s="677">
        <f t="shared" si="21"/>
        <v>120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6"/>
      <c r="B90" s="671" t="s">
        <v>818</v>
      </c>
      <c r="C90" s="706" t="str">
        <f>C91&amp;"(含)"&amp;"-"&amp;D91</f>
        <v>0(含)-20</v>
      </c>
      <c r="D90" s="706" t="str">
        <f t="shared" ref="D90:L90" si="22">D91&amp;"(含)"&amp;"-"&amp;E91</f>
        <v>20(含)-40</v>
      </c>
      <c r="E90" s="706" t="str">
        <f t="shared" si="22"/>
        <v>40(含)-</v>
      </c>
      <c r="F90" s="706" t="str">
        <f t="shared" si="22"/>
        <v>(含)-</v>
      </c>
      <c r="G90" s="706" t="str">
        <f t="shared" si="22"/>
        <v>(含)-</v>
      </c>
      <c r="H90" s="706" t="str">
        <f t="shared" si="22"/>
        <v>(含)-</v>
      </c>
      <c r="I90" s="706" t="str">
        <f t="shared" si="22"/>
        <v>(含)-</v>
      </c>
      <c r="J90" s="706" t="str">
        <f t="shared" si="22"/>
        <v>(含)-</v>
      </c>
      <c r="K90" s="706" t="str">
        <f t="shared" si="22"/>
        <v>(含)-</v>
      </c>
      <c r="L90" s="706" t="str">
        <f t="shared" si="22"/>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6"/>
      <c r="B91" s="679"/>
      <c r="C91" s="728">
        <v>0</v>
      </c>
      <c r="D91" s="728">
        <v>20</v>
      </c>
      <c r="E91" s="728">
        <v>40</v>
      </c>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v>100</v>
      </c>
      <c r="D92" s="669">
        <v>102</v>
      </c>
      <c r="E92" s="669">
        <v>104</v>
      </c>
      <c r="F92" s="669"/>
      <c r="G92" s="669"/>
      <c r="H92" s="669"/>
      <c r="I92" s="669"/>
      <c r="J92" s="669"/>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819</v>
      </c>
      <c r="C93" s="3179" t="s">
        <v>3141</v>
      </c>
      <c r="D93" s="3179" t="s">
        <v>3143</v>
      </c>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820</v>
      </c>
      <c r="C95" s="3177" t="s">
        <v>3144</v>
      </c>
      <c r="D95" s="3177" t="s">
        <v>3145</v>
      </c>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98</v>
      </c>
      <c r="E96" s="677">
        <f>D96-$K33</f>
        <v>96</v>
      </c>
      <c r="F96" s="677">
        <f>E96-$K33</f>
        <v>94</v>
      </c>
      <c r="G96" s="677">
        <f>F96-$K33</f>
        <v>92</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5">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3"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E7" sqref="E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t="e">
        <f>C37</f>
        <v>#DIV/0!</v>
      </c>
      <c r="C3" s="850" t="s">
        <v>796</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15" t="s">
        <v>798</v>
      </c>
      <c r="D4" s="3416"/>
      <c r="E4" s="3451" t="s">
        <v>799</v>
      </c>
      <c r="F4" s="3452"/>
      <c r="G4" s="3415" t="s">
        <v>800</v>
      </c>
      <c r="H4" s="3416"/>
      <c r="I4" s="3415" t="s">
        <v>801</v>
      </c>
      <c r="J4" s="3416"/>
      <c r="K4" s="512" t="s">
        <v>802</v>
      </c>
      <c r="L4" s="2116"/>
      <c r="M4" s="2117"/>
      <c r="N4" s="2117"/>
      <c r="O4" s="2117"/>
      <c r="P4" s="3417" t="s">
        <v>803</v>
      </c>
      <c r="Q4" s="3418"/>
      <c r="R4" s="3423" t="s">
        <v>799</v>
      </c>
      <c r="S4" s="3424"/>
      <c r="T4" s="3423" t="s">
        <v>800</v>
      </c>
      <c r="U4" s="3424"/>
      <c r="V4" s="3410" t="s">
        <v>801</v>
      </c>
      <c r="W4" s="3410"/>
      <c r="X4" s="1551"/>
      <c r="Y4" s="3423" t="s">
        <v>803</v>
      </c>
      <c r="Z4" s="3424"/>
      <c r="AA4" s="3412" t="s">
        <v>799</v>
      </c>
      <c r="AB4" s="3413" t="s">
        <v>800</v>
      </c>
      <c r="AC4" s="3412" t="s">
        <v>801</v>
      </c>
    </row>
    <row r="5" spans="1:29" ht="15">
      <c r="A5" s="513"/>
      <c r="B5" s="514"/>
      <c r="C5" s="3431" t="s">
        <v>2921</v>
      </c>
      <c r="D5" s="3432"/>
      <c r="E5" s="3453" t="s">
        <v>2922</v>
      </c>
      <c r="F5" s="3454"/>
      <c r="G5" s="3431" t="s">
        <v>2923</v>
      </c>
      <c r="H5" s="3432"/>
      <c r="I5" s="3431" t="s">
        <v>2924</v>
      </c>
      <c r="J5" s="3432"/>
      <c r="K5" s="512"/>
      <c r="L5" s="2116"/>
      <c r="M5" s="2117"/>
      <c r="N5" s="2117"/>
      <c r="O5" s="2117"/>
      <c r="P5" s="3419"/>
      <c r="Q5" s="3420"/>
      <c r="R5" s="3425"/>
      <c r="S5" s="3426"/>
      <c r="T5" s="3425"/>
      <c r="U5" s="3426"/>
      <c r="V5" s="3410"/>
      <c r="W5" s="3410"/>
      <c r="X5" s="1551"/>
      <c r="Y5" s="3425"/>
      <c r="Z5" s="3426"/>
      <c r="AA5" s="3413"/>
      <c r="AB5" s="3413"/>
      <c r="AC5" s="3413"/>
    </row>
    <row r="6" spans="1:29" ht="15.75" thickBot="1">
      <c r="A6" s="515"/>
      <c r="B6" s="516"/>
      <c r="C6" s="3448" t="s">
        <v>2925</v>
      </c>
      <c r="D6" s="3430"/>
      <c r="E6" s="3449" t="s">
        <v>2925</v>
      </c>
      <c r="F6" s="3450"/>
      <c r="G6" s="3448" t="s">
        <v>2925</v>
      </c>
      <c r="H6" s="3430"/>
      <c r="I6" s="3448" t="s">
        <v>2925</v>
      </c>
      <c r="J6" s="3430"/>
      <c r="K6" s="512" t="s">
        <v>528</v>
      </c>
      <c r="L6" s="2116"/>
      <c r="M6" s="2117"/>
      <c r="N6" s="2117"/>
      <c r="O6" s="2117"/>
      <c r="P6" s="3421"/>
      <c r="Q6" s="3422"/>
      <c r="R6" s="3425"/>
      <c r="S6" s="3426"/>
      <c r="T6" s="3427"/>
      <c r="U6" s="3428"/>
      <c r="V6" s="3410"/>
      <c r="W6" s="3410"/>
      <c r="X6" s="1551"/>
      <c r="Y6" s="3427"/>
      <c r="Z6" s="3428"/>
      <c r="AA6" s="3414"/>
      <c r="AB6" s="3414"/>
      <c r="AC6" s="3414"/>
    </row>
    <row r="7" spans="1:29" s="1214" customFormat="1" ht="15.75" thickBot="1">
      <c r="A7" s="2865"/>
      <c r="B7" s="2872" t="s">
        <v>529</v>
      </c>
      <c r="C7" s="517">
        <f>'数据-取费表'!B2</f>
        <v>43830</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41" t="s">
        <v>530</v>
      </c>
      <c r="Q7" s="3443"/>
      <c r="R7" s="1552" t="s">
        <v>8</v>
      </c>
      <c r="S7" s="1553">
        <f t="shared" ref="S7:S14" si="0">F7</f>
        <v>0</v>
      </c>
      <c r="T7" s="1552" t="s">
        <v>8</v>
      </c>
      <c r="U7" s="1553">
        <f t="shared" ref="U7:U14" si="1">H7</f>
        <v>0</v>
      </c>
      <c r="V7" s="1552" t="s">
        <v>8</v>
      </c>
      <c r="W7" s="1553">
        <f t="shared" ref="W7:W14"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34" si="3">D8/F8</f>
        <v>#DIV/0!</v>
      </c>
      <c r="AB8" s="1555" t="e">
        <f t="shared" ref="AB8:AB34" si="4">D8/H8</f>
        <v>#DIV/0!</v>
      </c>
      <c r="AC8" s="1555" t="e">
        <f t="shared" ref="AC8:AC34" si="5">D8/J8</f>
        <v>#DIV/0!</v>
      </c>
    </row>
    <row r="9" spans="1:29" s="1214" customFormat="1" ht="15">
      <c r="A9" s="2867"/>
      <c r="B9" s="2874" t="s">
        <v>2754</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409" t="s">
        <v>535</v>
      </c>
      <c r="Q9" s="1145" t="str">
        <f t="shared" ref="Q9:Q14" si="6">B9</f>
        <v>用途</v>
      </c>
      <c r="R9" s="1552" t="s">
        <v>8</v>
      </c>
      <c r="S9" s="1553">
        <f t="shared" si="0"/>
        <v>100</v>
      </c>
      <c r="T9" s="1552" t="s">
        <v>8</v>
      </c>
      <c r="U9" s="1553">
        <f t="shared" si="1"/>
        <v>100</v>
      </c>
      <c r="V9" s="1552" t="s">
        <v>8</v>
      </c>
      <c r="W9" s="1553">
        <f t="shared" si="2"/>
        <v>100</v>
      </c>
      <c r="X9" s="1554"/>
      <c r="Y9" s="3355" t="s">
        <v>536</v>
      </c>
      <c r="Z9" s="1144" t="str">
        <f t="shared" ref="Z9:Z14" si="7">Q9</f>
        <v>用途</v>
      </c>
      <c r="AA9" s="1555">
        <f t="shared" si="3"/>
        <v>1</v>
      </c>
      <c r="AB9" s="1555">
        <f t="shared" si="4"/>
        <v>1</v>
      </c>
      <c r="AC9" s="1555">
        <f t="shared" si="5"/>
        <v>1</v>
      </c>
    </row>
    <row r="10" spans="1:29" s="1332" customFormat="1" ht="27">
      <c r="A10" s="2868"/>
      <c r="B10" s="2873" t="s">
        <v>2755</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409"/>
      <c r="Q10" s="1145" t="str">
        <f t="shared" si="6"/>
        <v>土地使用年限（年）</v>
      </c>
      <c r="R10" s="1552" t="s">
        <v>8</v>
      </c>
      <c r="S10" s="1553">
        <f t="shared" si="0"/>
        <v>100</v>
      </c>
      <c r="T10" s="1552" t="s">
        <v>8</v>
      </c>
      <c r="U10" s="1553">
        <f t="shared" si="1"/>
        <v>100</v>
      </c>
      <c r="V10" s="1552" t="s">
        <v>8</v>
      </c>
      <c r="W10" s="1553">
        <f t="shared" si="2"/>
        <v>100</v>
      </c>
      <c r="X10" s="1554"/>
      <c r="Y10" s="3355"/>
      <c r="Z10" s="1144" t="str">
        <f t="shared" si="7"/>
        <v>土地使用年限（年）</v>
      </c>
      <c r="AA10" s="1555">
        <f t="shared" si="3"/>
        <v>1</v>
      </c>
      <c r="AB10" s="1555">
        <f t="shared" si="4"/>
        <v>1</v>
      </c>
      <c r="AC10" s="1555">
        <f t="shared" si="5"/>
        <v>1</v>
      </c>
    </row>
    <row r="11" spans="1:29" ht="15">
      <c r="A11" s="2870"/>
      <c r="B11" s="2876">
        <v>111</v>
      </c>
      <c r="C11" s="526"/>
      <c r="D11" s="253">
        <v>100</v>
      </c>
      <c r="E11" s="878"/>
      <c r="F11" s="253">
        <f>SUMIF(55:55,E11,56:56)-SUMIF(55:55,C11,56:56)+100</f>
        <v>100</v>
      </c>
      <c r="G11" s="878"/>
      <c r="H11" s="253">
        <f>SUMIF(55:55,G11,56:56)-SUMIF(55:55,C11,56:56)+100</f>
        <v>100</v>
      </c>
      <c r="I11" s="878"/>
      <c r="J11" s="253">
        <f>SUMIF(55:55,I11,56:56)-SUMIF(55:55,C11,56:56)+100</f>
        <v>100</v>
      </c>
      <c r="K11" s="579"/>
      <c r="L11" s="2123"/>
      <c r="M11" s="2117"/>
      <c r="N11" s="2117"/>
      <c r="O11" s="2124"/>
      <c r="P11" s="3409"/>
      <c r="Q11" s="1145">
        <f t="shared" si="6"/>
        <v>111</v>
      </c>
      <c r="R11" s="1552" t="s">
        <v>8</v>
      </c>
      <c r="S11" s="1553">
        <f t="shared" si="0"/>
        <v>100</v>
      </c>
      <c r="T11" s="1552" t="s">
        <v>8</v>
      </c>
      <c r="U11" s="1553">
        <f t="shared" si="1"/>
        <v>100</v>
      </c>
      <c r="V11" s="1552" t="s">
        <v>8</v>
      </c>
      <c r="W11" s="1553">
        <f t="shared" si="2"/>
        <v>100</v>
      </c>
      <c r="X11" s="1554"/>
      <c r="Y11" s="3355"/>
      <c r="Z11" s="1144">
        <f t="shared" si="7"/>
        <v>111</v>
      </c>
      <c r="AA11" s="1555">
        <f t="shared" si="3"/>
        <v>1</v>
      </c>
      <c r="AB11" s="1555">
        <f t="shared" si="4"/>
        <v>1</v>
      </c>
      <c r="AC11" s="1555">
        <f t="shared" si="5"/>
        <v>1</v>
      </c>
    </row>
    <row r="12" spans="1:29" s="1214" customFormat="1" ht="15">
      <c r="A12" s="2870"/>
      <c r="B12" s="2876">
        <v>111</v>
      </c>
      <c r="C12" s="526"/>
      <c r="D12" s="536">
        <v>100</v>
      </c>
      <c r="E12" s="878"/>
      <c r="F12" s="253">
        <f>SUMIF(57:57,E12,58:58)-SUMIF(57:57,C12,58:58)+100</f>
        <v>100</v>
      </c>
      <c r="G12" s="878"/>
      <c r="H12" s="253">
        <f>SUMIF(57:57,G12,58:58)-SUMIF(57:57,C12,58:58)+100</f>
        <v>100</v>
      </c>
      <c r="I12" s="878"/>
      <c r="J12" s="253">
        <f>SUMIF(57:57,I12,58:58)-SUMIF(57:57,C12,58:58)+100</f>
        <v>100</v>
      </c>
      <c r="K12" s="579"/>
      <c r="L12" s="2118"/>
      <c r="M12" s="2119"/>
      <c r="N12" s="2119"/>
      <c r="O12" s="2120"/>
      <c r="P12" s="3409"/>
      <c r="Q12" s="1145">
        <f t="shared" si="6"/>
        <v>111</v>
      </c>
      <c r="R12" s="1552" t="s">
        <v>8</v>
      </c>
      <c r="S12" s="1553">
        <f t="shared" si="0"/>
        <v>100</v>
      </c>
      <c r="T12" s="1552" t="s">
        <v>8</v>
      </c>
      <c r="U12" s="1553">
        <f t="shared" si="1"/>
        <v>100</v>
      </c>
      <c r="V12" s="1552" t="s">
        <v>8</v>
      </c>
      <c r="W12" s="1553">
        <f t="shared" si="2"/>
        <v>100</v>
      </c>
      <c r="X12" s="1554"/>
      <c r="Y12" s="3355"/>
      <c r="Z12" s="1144">
        <f t="shared" si="7"/>
        <v>111</v>
      </c>
      <c r="AA12" s="1555">
        <f>D12/F12</f>
        <v>1</v>
      </c>
      <c r="AB12" s="1555">
        <f>D12/H12</f>
        <v>1</v>
      </c>
      <c r="AC12" s="1555">
        <f>D12/J12</f>
        <v>1</v>
      </c>
    </row>
    <row r="13" spans="1:29" ht="15.75" thickBot="1">
      <c r="A13" s="2871"/>
      <c r="B13" s="2877">
        <v>111</v>
      </c>
      <c r="C13" s="537"/>
      <c r="D13" s="538">
        <v>100</v>
      </c>
      <c r="E13" s="878"/>
      <c r="F13" s="253">
        <f>SUMIF(59:59,E13,60:60)-SUMIF(59:59,C13,60:60)+100</f>
        <v>100</v>
      </c>
      <c r="G13" s="878"/>
      <c r="H13" s="538">
        <f>SUMIF(59:59,G13,60:60)-SUMIF(59:59,C13,60:60)+100</f>
        <v>100</v>
      </c>
      <c r="I13" s="878"/>
      <c r="J13" s="538">
        <f>SUMIF(59:59,I13,60:60)-SUMIF(59:59,C13,60:60)+100</f>
        <v>100</v>
      </c>
      <c r="K13" s="579"/>
      <c r="L13" s="2125"/>
      <c r="M13" s="2117"/>
      <c r="N13" s="2117"/>
      <c r="O13" s="2124"/>
      <c r="P13" s="3409"/>
      <c r="Q13" s="1145">
        <f t="shared" si="6"/>
        <v>111</v>
      </c>
      <c r="R13" s="1552" t="s">
        <v>8</v>
      </c>
      <c r="S13" s="1553">
        <f t="shared" si="0"/>
        <v>100</v>
      </c>
      <c r="T13" s="1552" t="s">
        <v>8</v>
      </c>
      <c r="U13" s="1553">
        <f t="shared" si="1"/>
        <v>100</v>
      </c>
      <c r="V13" s="1552" t="s">
        <v>8</v>
      </c>
      <c r="W13" s="1553">
        <f t="shared" si="2"/>
        <v>100</v>
      </c>
      <c r="X13" s="1554"/>
      <c r="Y13" s="3355"/>
      <c r="Z13" s="1144">
        <f t="shared" si="7"/>
        <v>111</v>
      </c>
      <c r="AA13" s="1555">
        <f t="shared" si="3"/>
        <v>1</v>
      </c>
      <c r="AB13" s="1555">
        <f t="shared" si="4"/>
        <v>1</v>
      </c>
      <c r="AC13" s="1555">
        <f t="shared" si="5"/>
        <v>1</v>
      </c>
    </row>
    <row r="14" spans="1:29" ht="185.25">
      <c r="A14" s="2863" t="s">
        <v>2752</v>
      </c>
      <c r="B14" s="166" t="s">
        <v>543</v>
      </c>
      <c r="C14" s="919" t="str">
        <f>IF(B1="工业",估价对象房地状况!G4,估价对象房地状况!C6)</f>
        <v>估价对象紧邻城市主干道——昌金路，临近城市主干道——顺密路。估价对象周边有顺16路、顺27路、顺32路、顺37路等多条公交线路通过，距离地铁15号线（俸伯站）约9公里，综合评价交通便捷度一般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25"/>
      <c r="M14" s="2117"/>
      <c r="N14" s="2117"/>
      <c r="O14" s="2124"/>
      <c r="P14" s="3444" t="s">
        <v>540</v>
      </c>
      <c r="Q14" s="1556" t="str">
        <f t="shared" si="6"/>
        <v>交通便捷度</v>
      </c>
      <c r="R14" s="1557" t="s">
        <v>8</v>
      </c>
      <c r="S14" s="1558">
        <f t="shared" si="0"/>
        <v>100</v>
      </c>
      <c r="T14" s="1557" t="s">
        <v>8</v>
      </c>
      <c r="U14" s="1558">
        <f t="shared" si="1"/>
        <v>100</v>
      </c>
      <c r="V14" s="1557" t="s">
        <v>8</v>
      </c>
      <c r="W14" s="1558">
        <f t="shared" si="2"/>
        <v>100</v>
      </c>
      <c r="X14" s="1551"/>
      <c r="Y14" s="3444" t="s">
        <v>540</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5"/>
      <c r="M15" s="2117"/>
      <c r="N15" s="2117"/>
      <c r="O15" s="2124"/>
      <c r="P15" s="3445"/>
      <c r="Q15" s="1556"/>
      <c r="R15" s="1557"/>
      <c r="S15" s="1558"/>
      <c r="T15" s="1557"/>
      <c r="U15" s="1558"/>
      <c r="V15" s="1557"/>
      <c r="W15" s="1558"/>
      <c r="X15" s="1551"/>
      <c r="Y15" s="3445"/>
      <c r="Z15" s="1559"/>
      <c r="AA15" s="1560">
        <v>1</v>
      </c>
      <c r="AB15" s="1560">
        <v>1</v>
      </c>
      <c r="AC15" s="1560">
        <v>1</v>
      </c>
    </row>
    <row r="16" spans="1:29" ht="171">
      <c r="A16" s="530"/>
      <c r="B16" s="2565" t="s">
        <v>2545</v>
      </c>
      <c r="C16" s="870" t="str">
        <f>IF(B1="工业",估价对象房地状况!G5,估价对象房地状况!C7)</f>
        <v>估价对象所在区域有银行（北京顺义银座村镇银行(北小营支行)等），学校（北京顺义第十三中学等），无大型购物场所、医院、餐饮等公共配套设施，综合确定公共配套设施齐备度一般</v>
      </c>
      <c r="D16" s="563">
        <v>100</v>
      </c>
      <c r="E16" s="568"/>
      <c r="F16" s="569">
        <f>SUMIF(63:63,E17,64:64)-SUMIF(63:63,C17,64:64)+100</f>
        <v>100</v>
      </c>
      <c r="G16" s="570"/>
      <c r="H16" s="563">
        <f>SUMIF(63:63,G17,64:64)-SUMIF(63:63,C17,64:64)+100</f>
        <v>100</v>
      </c>
      <c r="I16" s="568"/>
      <c r="J16" s="563">
        <f>SUMIF(63:63,I17,64:64)-SUMIF(63:63,C17,64:64)+100</f>
        <v>100</v>
      </c>
      <c r="K16" s="896"/>
      <c r="L16" s="2125"/>
      <c r="M16" s="2117"/>
      <c r="N16" s="2117"/>
      <c r="O16" s="2124"/>
      <c r="P16" s="3445"/>
      <c r="Q16" s="1556" t="str">
        <f>B16</f>
        <v>公共配套设施</v>
      </c>
      <c r="R16" s="1557" t="s">
        <v>8</v>
      </c>
      <c r="S16" s="1558">
        <f>F16</f>
        <v>100</v>
      </c>
      <c r="T16" s="1557" t="s">
        <v>8</v>
      </c>
      <c r="U16" s="1558">
        <f>H16</f>
        <v>100</v>
      </c>
      <c r="V16" s="1557" t="s">
        <v>8</v>
      </c>
      <c r="W16" s="1558">
        <f>J16</f>
        <v>100</v>
      </c>
      <c r="X16" s="1551"/>
      <c r="Y16" s="3445"/>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5"/>
      <c r="M17" s="2117"/>
      <c r="N17" s="2117"/>
      <c r="O17" s="2124"/>
      <c r="P17" s="3445"/>
      <c r="Q17" s="1556"/>
      <c r="R17" s="1557"/>
      <c r="S17" s="1558"/>
      <c r="T17" s="1557"/>
      <c r="U17" s="1558"/>
      <c r="V17" s="1557"/>
      <c r="W17" s="1558"/>
      <c r="X17" s="1551"/>
      <c r="Y17" s="3445"/>
      <c r="Z17" s="1559"/>
      <c r="AA17" s="1560">
        <v>1</v>
      </c>
      <c r="AB17" s="1560">
        <v>1</v>
      </c>
      <c r="AC17" s="1560">
        <v>1</v>
      </c>
    </row>
    <row r="18" spans="1:29" ht="42.75">
      <c r="A18" s="530"/>
      <c r="B18" s="2553" t="s">
        <v>2557</v>
      </c>
      <c r="C18" s="870" t="str">
        <f>IF(B1="工业",估价对象房地状况!G6,估价对象房地状况!C8)</f>
        <v>估价对象所在区域基础设施水平为六通</v>
      </c>
      <c r="D18" s="557">
        <v>100</v>
      </c>
      <c r="E18" s="560"/>
      <c r="F18" s="561">
        <f>SUMIF(65:65,E19,66:66)-SUMIF(65:65,C19,66:66)+100</f>
        <v>100</v>
      </c>
      <c r="G18" s="562"/>
      <c r="H18" s="563">
        <f>SUMIF(65:65,G19,66:66)-SUMIF(65:65,C19,66:66)+100</f>
        <v>100</v>
      </c>
      <c r="I18" s="568"/>
      <c r="J18" s="563">
        <f>SUMIF(65:65,I19,66:66)-SUMIF(65:65,C19,66:66)+100</f>
        <v>100</v>
      </c>
      <c r="K18" s="896"/>
      <c r="L18" s="2125"/>
      <c r="M18" s="2117"/>
      <c r="N18" s="2117"/>
      <c r="O18" s="2124"/>
      <c r="P18" s="3445"/>
      <c r="Q18" s="2541" t="str">
        <f>B18</f>
        <v>基础设施水平</v>
      </c>
      <c r="R18" s="1557" t="s">
        <v>8</v>
      </c>
      <c r="S18" s="1558">
        <f>F18</f>
        <v>100</v>
      </c>
      <c r="T18" s="1557" t="s">
        <v>8</v>
      </c>
      <c r="U18" s="1558">
        <f>H18</f>
        <v>100</v>
      </c>
      <c r="V18" s="1557" t="s">
        <v>8</v>
      </c>
      <c r="W18" s="1558">
        <f>J18</f>
        <v>100</v>
      </c>
      <c r="X18" s="2543"/>
      <c r="Y18" s="3445"/>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45"/>
      <c r="Q19" s="2541"/>
      <c r="R19" s="1557"/>
      <c r="S19" s="1558"/>
      <c r="T19" s="1557"/>
      <c r="U19" s="1558"/>
      <c r="V19" s="1557"/>
      <c r="W19" s="1558"/>
      <c r="X19" s="2543"/>
      <c r="Y19" s="3445"/>
      <c r="Z19" s="2542"/>
      <c r="AA19" s="1560">
        <v>1</v>
      </c>
      <c r="AB19" s="1560">
        <v>1</v>
      </c>
      <c r="AC19" s="1560">
        <v>1</v>
      </c>
    </row>
    <row r="20" spans="1:29" ht="142.5">
      <c r="A20" s="530"/>
      <c r="B20" s="869" t="s">
        <v>804</v>
      </c>
      <c r="C20" s="870" t="str">
        <f>IF(B1="工业",估价对象房地状况!G7,估价对象房地状况!C9)</f>
        <v>估价对象周边有箭杆河、民悦广场、凤阳广场、顺义奥林匹克水上公园等自然景观；有北小营镇政府等人文设施，综合考虑自然环境与人文环境一般</v>
      </c>
      <c r="D20" s="563">
        <v>100</v>
      </c>
      <c r="E20" s="568"/>
      <c r="F20" s="569">
        <f>SUMIF(67:67,E21,68:68)-SUMIF(67:67,C21,68:68)+100</f>
        <v>100</v>
      </c>
      <c r="G20" s="570"/>
      <c r="H20" s="557">
        <f>SUMIF(67:67,G21,68:68)-SUMIF(67:67,C21,68:68)+100</f>
        <v>100</v>
      </c>
      <c r="I20" s="560"/>
      <c r="J20" s="557">
        <f>SUMIF(67:67,I21,68:68)-SUMIF(67:67,C21,68:68)+100</f>
        <v>100</v>
      </c>
      <c r="K20" s="896"/>
      <c r="L20" s="2125"/>
      <c r="M20" s="2117"/>
      <c r="N20" s="2117"/>
      <c r="O20" s="2124"/>
      <c r="P20" s="3445"/>
      <c r="Q20" s="1556" t="str">
        <f>B20</f>
        <v>自然及人文环境</v>
      </c>
      <c r="R20" s="1557" t="s">
        <v>8</v>
      </c>
      <c r="S20" s="1558">
        <f>F20</f>
        <v>100</v>
      </c>
      <c r="T20" s="1557" t="s">
        <v>8</v>
      </c>
      <c r="U20" s="1558">
        <f>H20</f>
        <v>100</v>
      </c>
      <c r="V20" s="1557" t="s">
        <v>8</v>
      </c>
      <c r="W20" s="1558">
        <f>J20</f>
        <v>100</v>
      </c>
      <c r="X20" s="1551"/>
      <c r="Y20" s="3445"/>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5"/>
      <c r="M21" s="2117"/>
      <c r="N21" s="2117"/>
      <c r="O21" s="2124"/>
      <c r="P21" s="3445"/>
      <c r="Q21" s="1556"/>
      <c r="R21" s="1557"/>
      <c r="S21" s="1558"/>
      <c r="T21" s="1557"/>
      <c r="U21" s="1558"/>
      <c r="V21" s="1557"/>
      <c r="W21" s="1558"/>
      <c r="X21" s="1551"/>
      <c r="Y21" s="3445"/>
      <c r="Z21" s="1559"/>
      <c r="AA21" s="1560">
        <v>1</v>
      </c>
      <c r="AB21" s="1560">
        <v>1</v>
      </c>
      <c r="AC21" s="1560">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45"/>
      <c r="Q22" s="1556" t="str">
        <f>B22</f>
        <v>楼层</v>
      </c>
      <c r="R22" s="1557" t="s">
        <v>8</v>
      </c>
      <c r="S22" s="1558">
        <f>F22</f>
        <v>100</v>
      </c>
      <c r="T22" s="1557" t="s">
        <v>8</v>
      </c>
      <c r="U22" s="1558">
        <f>H22</f>
        <v>100</v>
      </c>
      <c r="V22" s="1557" t="s">
        <v>8</v>
      </c>
      <c r="W22" s="1558">
        <f>J22</f>
        <v>100</v>
      </c>
      <c r="X22" s="1551"/>
      <c r="Y22" s="3445"/>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45"/>
      <c r="Q23" s="1556">
        <f>B23</f>
        <v>111</v>
      </c>
      <c r="R23" s="1557" t="s">
        <v>8</v>
      </c>
      <c r="S23" s="1558">
        <f>F23</f>
        <v>100</v>
      </c>
      <c r="T23" s="1557" t="s">
        <v>8</v>
      </c>
      <c r="U23" s="1558">
        <f>H23</f>
        <v>100</v>
      </c>
      <c r="V23" s="1557" t="s">
        <v>8</v>
      </c>
      <c r="W23" s="1558">
        <f>J23</f>
        <v>100</v>
      </c>
      <c r="X23" s="1551"/>
      <c r="Y23" s="3445"/>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45"/>
      <c r="Q24" s="1556">
        <f t="shared" ref="Q24:Q34" si="11">B24</f>
        <v>111</v>
      </c>
      <c r="R24" s="1557" t="s">
        <v>8</v>
      </c>
      <c r="S24" s="1558">
        <f>F24</f>
        <v>100</v>
      </c>
      <c r="T24" s="1557" t="s">
        <v>8</v>
      </c>
      <c r="U24" s="1558">
        <f>H24</f>
        <v>100</v>
      </c>
      <c r="V24" s="1557" t="s">
        <v>8</v>
      </c>
      <c r="W24" s="1558">
        <f>J24</f>
        <v>100</v>
      </c>
      <c r="X24" s="1551"/>
      <c r="Y24" s="3445"/>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8"/>
      <c r="M25" s="2119"/>
      <c r="N25" s="2119"/>
      <c r="O25" s="2120"/>
      <c r="P25" s="3445"/>
      <c r="Q25" s="1145">
        <f t="shared" si="11"/>
        <v>111</v>
      </c>
      <c r="R25" s="1552" t="s">
        <v>8</v>
      </c>
      <c r="S25" s="1553">
        <f>F25</f>
        <v>100</v>
      </c>
      <c r="T25" s="1552" t="s">
        <v>8</v>
      </c>
      <c r="U25" s="1553">
        <f>H25</f>
        <v>100</v>
      </c>
      <c r="V25" s="1552" t="s">
        <v>8</v>
      </c>
      <c r="W25" s="1553">
        <f>J25</f>
        <v>100</v>
      </c>
      <c r="X25" s="1554"/>
      <c r="Y25" s="3445"/>
      <c r="Z25" s="1144">
        <f>Q25</f>
        <v>111</v>
      </c>
      <c r="AA25" s="1560">
        <f>D25/F25</f>
        <v>1</v>
      </c>
      <c r="AB25" s="1560">
        <f>D25/H25</f>
        <v>1</v>
      </c>
      <c r="AC25" s="1560">
        <f>D25/J25</f>
        <v>1</v>
      </c>
    </row>
    <row r="26" spans="1:29" ht="15">
      <c r="A26" s="2860" t="s">
        <v>2753</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5"/>
      <c r="M26" s="2117"/>
      <c r="N26" s="2117"/>
      <c r="O26" s="2124"/>
      <c r="P26" s="3446"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47" t="s">
        <v>821</v>
      </c>
      <c r="Z26" s="1559" t="str">
        <f t="shared" ref="Z26:Z34" si="15">Q26</f>
        <v>公共部分装修</v>
      </c>
      <c r="AA26" s="1560">
        <f t="shared" si="3"/>
        <v>1</v>
      </c>
      <c r="AB26" s="1560">
        <f t="shared" si="4"/>
        <v>1</v>
      </c>
      <c r="AC26" s="1560">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3"/>
      <c r="M27" s="2154"/>
      <c r="N27" s="2154"/>
      <c r="O27" s="2126"/>
      <c r="P27" s="3447"/>
      <c r="Q27" s="1588" t="str">
        <f t="shared" si="11"/>
        <v>成新率</v>
      </c>
      <c r="R27" s="1561" t="s">
        <v>8</v>
      </c>
      <c r="S27" s="1562" t="e">
        <f t="shared" si="12"/>
        <v>#N/A</v>
      </c>
      <c r="T27" s="1561" t="s">
        <v>8</v>
      </c>
      <c r="U27" s="1562" t="e">
        <f t="shared" si="13"/>
        <v>#N/A</v>
      </c>
      <c r="V27" s="1561" t="s">
        <v>8</v>
      </c>
      <c r="W27" s="1562" t="e">
        <f t="shared" si="14"/>
        <v>#N/A</v>
      </c>
      <c r="X27" s="1563"/>
      <c r="Y27" s="3447"/>
      <c r="Z27" s="1564" t="str">
        <f t="shared" si="15"/>
        <v>成新率</v>
      </c>
      <c r="AA27" s="1560" t="e">
        <f t="shared" si="3"/>
        <v>#N/A</v>
      </c>
      <c r="AB27" s="1560" t="e">
        <f t="shared" si="4"/>
        <v>#N/A</v>
      </c>
      <c r="AC27" s="1560"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47"/>
      <c r="Q28" s="1556" t="str">
        <f t="shared" si="11"/>
        <v>物业等级</v>
      </c>
      <c r="R28" s="1557" t="s">
        <v>8</v>
      </c>
      <c r="S28" s="1558">
        <f t="shared" si="12"/>
        <v>100</v>
      </c>
      <c r="T28" s="1557" t="s">
        <v>8</v>
      </c>
      <c r="U28" s="1558">
        <f t="shared" si="13"/>
        <v>100</v>
      </c>
      <c r="V28" s="1557" t="s">
        <v>8</v>
      </c>
      <c r="W28" s="1558">
        <f t="shared" si="14"/>
        <v>100</v>
      </c>
      <c r="X28" s="1551"/>
      <c r="Y28" s="3447"/>
      <c r="Z28" s="1559" t="str">
        <f t="shared" si="15"/>
        <v>物业等级</v>
      </c>
      <c r="AA28" s="1560">
        <f t="shared" si="3"/>
        <v>1</v>
      </c>
      <c r="AB28" s="1560">
        <f t="shared" si="4"/>
        <v>1</v>
      </c>
      <c r="AC28" s="1560">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5"/>
      <c r="M29" s="2117"/>
      <c r="N29" s="2117"/>
      <c r="O29" s="2124"/>
      <c r="P29" s="3447"/>
      <c r="Q29" s="1556" t="str">
        <f t="shared" si="11"/>
        <v>有无电梯</v>
      </c>
      <c r="R29" s="1557" t="s">
        <v>8</v>
      </c>
      <c r="S29" s="1558">
        <f t="shared" si="12"/>
        <v>100</v>
      </c>
      <c r="T29" s="1557" t="s">
        <v>8</v>
      </c>
      <c r="U29" s="1558">
        <f t="shared" si="13"/>
        <v>100</v>
      </c>
      <c r="V29" s="1557" t="s">
        <v>8</v>
      </c>
      <c r="W29" s="1558">
        <f t="shared" si="14"/>
        <v>100</v>
      </c>
      <c r="X29" s="1551"/>
      <c r="Y29" s="3447"/>
      <c r="Z29" s="1559" t="str">
        <f t="shared" si="15"/>
        <v>有无电梯</v>
      </c>
      <c r="AA29" s="1560">
        <f t="shared" si="3"/>
        <v>1</v>
      </c>
      <c r="AB29" s="1560">
        <f t="shared" si="4"/>
        <v>1</v>
      </c>
      <c r="AC29" s="1560">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5"/>
      <c r="M30" s="2117"/>
      <c r="N30" s="2117"/>
      <c r="O30" s="2124"/>
      <c r="P30" s="3447"/>
      <c r="Q30" s="1556" t="str">
        <f t="shared" si="11"/>
        <v>建筑面积</v>
      </c>
      <c r="R30" s="1557" t="s">
        <v>8</v>
      </c>
      <c r="S30" s="1558" t="e">
        <f t="shared" si="12"/>
        <v>#N/A</v>
      </c>
      <c r="T30" s="1557" t="s">
        <v>8</v>
      </c>
      <c r="U30" s="1558" t="e">
        <f t="shared" si="13"/>
        <v>#N/A</v>
      </c>
      <c r="V30" s="1557" t="s">
        <v>8</v>
      </c>
      <c r="W30" s="1558" t="e">
        <f t="shared" si="14"/>
        <v>#N/A</v>
      </c>
      <c r="X30" s="1551"/>
      <c r="Y30" s="3447"/>
      <c r="Z30" s="1559" t="str">
        <f t="shared" si="15"/>
        <v>建筑面积</v>
      </c>
      <c r="AA30" s="1560" t="e">
        <f t="shared" si="3"/>
        <v>#N/A</v>
      </c>
      <c r="AB30" s="1560" t="e">
        <f t="shared" si="4"/>
        <v>#N/A</v>
      </c>
      <c r="AC30" s="1560"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8"/>
      <c r="M31" s="2119"/>
      <c r="N31" s="2119"/>
      <c r="O31" s="2120"/>
      <c r="P31" s="3447"/>
      <c r="Q31" s="1145" t="str">
        <f t="shared" si="11"/>
        <v>是否封闭</v>
      </c>
      <c r="R31" s="1552" t="s">
        <v>8</v>
      </c>
      <c r="S31" s="1553">
        <f t="shared" si="12"/>
        <v>100</v>
      </c>
      <c r="T31" s="1552" t="s">
        <v>8</v>
      </c>
      <c r="U31" s="1553">
        <f t="shared" si="13"/>
        <v>100</v>
      </c>
      <c r="V31" s="1552" t="s">
        <v>8</v>
      </c>
      <c r="W31" s="1553">
        <f t="shared" si="14"/>
        <v>100</v>
      </c>
      <c r="X31" s="1554"/>
      <c r="Y31" s="3447"/>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5"/>
      <c r="M32" s="2117"/>
      <c r="N32" s="2117"/>
      <c r="O32" s="2124"/>
      <c r="P32" s="3447" t="s">
        <v>550</v>
      </c>
      <c r="Q32" s="1556">
        <f t="shared" si="11"/>
        <v>111</v>
      </c>
      <c r="R32" s="1557" t="s">
        <v>8</v>
      </c>
      <c r="S32" s="1558">
        <f t="shared" si="12"/>
        <v>100</v>
      </c>
      <c r="T32" s="1557" t="s">
        <v>8</v>
      </c>
      <c r="U32" s="1558">
        <f t="shared" si="13"/>
        <v>100</v>
      </c>
      <c r="V32" s="1557" t="s">
        <v>8</v>
      </c>
      <c r="W32" s="1558">
        <f t="shared" si="14"/>
        <v>100</v>
      </c>
      <c r="X32" s="1551"/>
      <c r="Y32" s="3447" t="s">
        <v>550</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5"/>
      <c r="M33" s="2117"/>
      <c r="N33" s="2117"/>
      <c r="O33" s="2124"/>
      <c r="P33" s="3447"/>
      <c r="Q33" s="1556">
        <f t="shared" si="11"/>
        <v>111</v>
      </c>
      <c r="R33" s="1557" t="s">
        <v>8</v>
      </c>
      <c r="S33" s="1558">
        <f t="shared" si="12"/>
        <v>100</v>
      </c>
      <c r="T33" s="1557" t="s">
        <v>8</v>
      </c>
      <c r="U33" s="1558">
        <f t="shared" si="13"/>
        <v>100</v>
      </c>
      <c r="V33" s="1557" t="s">
        <v>8</v>
      </c>
      <c r="W33" s="1558">
        <f t="shared" si="14"/>
        <v>100</v>
      </c>
      <c r="X33" s="1551"/>
      <c r="Y33" s="3447"/>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5"/>
      <c r="M34" s="2117"/>
      <c r="N34" s="2117"/>
      <c r="O34" s="2124"/>
      <c r="P34" s="3447"/>
      <c r="Q34" s="1556">
        <f t="shared" si="11"/>
        <v>111</v>
      </c>
      <c r="R34" s="1557" t="s">
        <v>8</v>
      </c>
      <c r="S34" s="1558">
        <f t="shared" si="12"/>
        <v>100</v>
      </c>
      <c r="T34" s="1557" t="s">
        <v>8</v>
      </c>
      <c r="U34" s="1558">
        <f t="shared" si="13"/>
        <v>100</v>
      </c>
      <c r="V34" s="1557" t="s">
        <v>8</v>
      </c>
      <c r="W34" s="1558">
        <f t="shared" si="14"/>
        <v>100</v>
      </c>
      <c r="X34" s="1551"/>
      <c r="Y34" s="3447"/>
      <c r="Z34" s="1559">
        <f t="shared" si="15"/>
        <v>111</v>
      </c>
      <c r="AA34" s="1560">
        <f t="shared" si="3"/>
        <v>1</v>
      </c>
      <c r="AB34" s="1560">
        <f t="shared" si="4"/>
        <v>1</v>
      </c>
      <c r="AC34" s="1560">
        <f t="shared" si="5"/>
        <v>1</v>
      </c>
    </row>
    <row r="35" spans="1:29" ht="15">
      <c r="A35" s="605" t="s">
        <v>736</v>
      </c>
      <c r="B35" s="885"/>
      <c r="C35" s="2589" t="s">
        <v>1</v>
      </c>
      <c r="D35" s="2590"/>
      <c r="E35" s="2591"/>
      <c r="F35" s="2592"/>
      <c r="G35" s="2593"/>
      <c r="H35" s="2594"/>
      <c r="I35" s="2591"/>
      <c r="J35" s="2594"/>
      <c r="K35" s="1594"/>
      <c r="L35" s="2127"/>
      <c r="M35" s="2128"/>
      <c r="N35" s="2117"/>
      <c r="O35" s="2128"/>
      <c r="P35" s="3409" t="str">
        <f>A35</f>
        <v>成交单价（元/平方米）</v>
      </c>
      <c r="Q35" s="3409"/>
      <c r="R35" s="3528">
        <f>E35</f>
        <v>0</v>
      </c>
      <c r="S35" s="3528"/>
      <c r="T35" s="3528">
        <f>G35</f>
        <v>0</v>
      </c>
      <c r="U35" s="3528"/>
      <c r="V35" s="3528">
        <f>I35</f>
        <v>0</v>
      </c>
      <c r="W35" s="3528"/>
      <c r="X35" s="1543"/>
      <c r="Y35" s="1565"/>
      <c r="Z35" s="1543"/>
      <c r="AA35" s="1543"/>
      <c r="AB35" s="1543"/>
      <c r="AC35" s="1543"/>
    </row>
    <row r="36" spans="1:29" ht="15.75" thickBot="1">
      <c r="A36" s="613" t="s">
        <v>2758</v>
      </c>
      <c r="B36" s="886"/>
      <c r="C36" s="2595" t="e">
        <f>R37</f>
        <v>#DIV/0!</v>
      </c>
      <c r="D36" s="2596"/>
      <c r="E36" s="2597" t="e">
        <f>R36</f>
        <v>#DIV/0!</v>
      </c>
      <c r="F36" s="2597"/>
      <c r="G36" s="2595" t="e">
        <f>T36</f>
        <v>#DIV/0!</v>
      </c>
      <c r="H36" s="2596"/>
      <c r="I36" s="2597" t="e">
        <f>V36</f>
        <v>#DIV/0!</v>
      </c>
      <c r="J36" s="2596"/>
      <c r="K36" s="1595"/>
      <c r="L36" s="2127"/>
      <c r="M36" s="2128"/>
      <c r="N36" s="2117"/>
      <c r="O36" s="2128"/>
      <c r="P36" s="3409" t="str">
        <f>A36</f>
        <v>比较价格（元/平方米）</v>
      </c>
      <c r="Q36" s="3409"/>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543"/>
      <c r="Y36" s="1543"/>
      <c r="Z36" s="1543"/>
      <c r="AA36" s="1543"/>
      <c r="AB36" s="1543"/>
      <c r="AC36" s="1543"/>
    </row>
    <row r="37" spans="1:29" ht="15.75" thickBot="1">
      <c r="A37" s="619" t="s">
        <v>2927</v>
      </c>
      <c r="B37" s="620"/>
      <c r="C37" s="2598" t="e">
        <f>R37</f>
        <v>#DIV/0!</v>
      </c>
      <c r="D37" s="2598"/>
      <c r="E37" s="2598"/>
      <c r="F37" s="2598"/>
      <c r="G37" s="2598"/>
      <c r="H37" s="2598"/>
      <c r="I37" s="2598"/>
      <c r="J37" s="2598"/>
      <c r="K37" s="1596"/>
      <c r="L37" s="2127"/>
      <c r="M37" s="2128"/>
      <c r="N37" s="2128"/>
      <c r="O37" s="2128"/>
      <c r="P37" s="3406" t="str">
        <f>A37</f>
        <v>估价对象XX用房的比较价格（楼面单价，元/平方米）</v>
      </c>
      <c r="Q37" s="3407"/>
      <c r="R37" s="3527" t="e">
        <f>IF(F1="售价",ROUND(AVERAGE(R36:V36),0),ROUND(AVERAGE(R36:V36),1))</f>
        <v>#DIV/0!</v>
      </c>
      <c r="S37" s="3527"/>
      <c r="T37" s="3527"/>
      <c r="U37" s="3527"/>
      <c r="V37" s="3527"/>
      <c r="W37" s="3527"/>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3" t="s">
        <v>529</v>
      </c>
      <c r="B46" s="644"/>
      <c r="C46" s="2755" t="str">
        <f>YEAR(C7)&amp;"-"&amp;MONTH(C7)</f>
        <v>2019-12</v>
      </c>
      <c r="D46" s="2757">
        <f>EDATE(C46,-1)</f>
        <v>43770</v>
      </c>
      <c r="E46" s="2757">
        <f t="shared" ref="E46:O46" si="16">EDATE(D46,-1)</f>
        <v>43739</v>
      </c>
      <c r="F46" s="2757">
        <f t="shared" si="16"/>
        <v>43709</v>
      </c>
      <c r="G46" s="2757">
        <f t="shared" si="16"/>
        <v>43678</v>
      </c>
      <c r="H46" s="2757">
        <f t="shared" si="16"/>
        <v>43647</v>
      </c>
      <c r="I46" s="2757">
        <f t="shared" si="16"/>
        <v>43617</v>
      </c>
      <c r="J46" s="2757">
        <f t="shared" si="16"/>
        <v>43586</v>
      </c>
      <c r="K46" s="2757">
        <f t="shared" si="16"/>
        <v>43556</v>
      </c>
      <c r="L46" s="2757">
        <f t="shared" si="16"/>
        <v>43525</v>
      </c>
      <c r="M46" s="2757">
        <f t="shared" si="16"/>
        <v>43497</v>
      </c>
      <c r="N46" s="2757">
        <f t="shared" si="16"/>
        <v>43466</v>
      </c>
      <c r="O46" s="2757">
        <f t="shared" si="16"/>
        <v>43435</v>
      </c>
      <c r="P46" s="2143"/>
      <c r="Q46" s="2144"/>
      <c r="R46" s="2144"/>
      <c r="S46" s="2144"/>
      <c r="T46" s="2144"/>
      <c r="U46" s="2144"/>
      <c r="V46" s="2144"/>
      <c r="W46" s="2144"/>
      <c r="X46" s="2144"/>
      <c r="Y46" s="2144"/>
      <c r="Z46" s="2144"/>
      <c r="AA46" s="2144"/>
      <c r="AB46" s="2144"/>
      <c r="AC46" s="2144"/>
    </row>
    <row r="47" spans="1:29" s="1214"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4" customFormat="1" ht="15.75" thickBot="1">
      <c r="A48" s="651" t="s">
        <v>575</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4" customFormat="1" ht="15">
      <c r="A49" s="657" t="s">
        <v>531</v>
      </c>
      <c r="B49" s="646"/>
      <c r="C49" s="658" t="s">
        <v>576</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577</v>
      </c>
      <c r="B51" s="663" t="s">
        <v>534</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3">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2556</v>
      </c>
      <c r="C63" s="706" t="s">
        <v>579</v>
      </c>
      <c r="D63" s="706" t="s">
        <v>580</v>
      </c>
      <c r="E63" s="706" t="s">
        <v>581</v>
      </c>
      <c r="F63" s="706" t="s">
        <v>582</v>
      </c>
      <c r="G63" s="706" t="s">
        <v>583</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2557</v>
      </c>
      <c r="C65" s="2560" t="s">
        <v>2558</v>
      </c>
      <c r="D65" s="2560" t="s">
        <v>2559</v>
      </c>
      <c r="E65" s="2560" t="s">
        <v>2560</v>
      </c>
      <c r="F65" s="2560" t="s">
        <v>2561</v>
      </c>
      <c r="G65" s="2560" t="s">
        <v>2562</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744</v>
      </c>
      <c r="C67" s="706" t="s">
        <v>579</v>
      </c>
      <c r="D67" s="706" t="s">
        <v>580</v>
      </c>
      <c r="E67" s="706" t="s">
        <v>581</v>
      </c>
      <c r="F67" s="706" t="s">
        <v>582</v>
      </c>
      <c r="G67" s="706" t="s">
        <v>583</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745</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7"/>
      <c r="B71" s="671">
        <f>B23</f>
        <v>111</v>
      </c>
      <c r="C71" s="539"/>
      <c r="D71" s="539"/>
      <c r="E71" s="539"/>
      <c r="F71" s="539"/>
      <c r="G71" s="686"/>
      <c r="H71" s="686"/>
      <c r="I71" s="686"/>
      <c r="J71" s="686"/>
      <c r="K71" s="686"/>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7"/>
      <c r="B73" s="671">
        <f>B24</f>
        <v>111</v>
      </c>
      <c r="C73" s="539"/>
      <c r="D73" s="539"/>
      <c r="E73" s="539"/>
      <c r="F73" s="539"/>
      <c r="G73" s="686"/>
      <c r="H73" s="686"/>
      <c r="I73" s="686"/>
      <c r="J73" s="686"/>
      <c r="K73" s="686"/>
      <c r="L73" s="686"/>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551</v>
      </c>
      <c r="B77" s="663" t="s">
        <v>751</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817</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825</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3" customFormat="1" ht="15" thickTop="1">
      <c r="A89" s="726"/>
      <c r="B89" s="671" t="s">
        <v>827</v>
      </c>
      <c r="C89" s="686"/>
      <c r="D89" s="686"/>
      <c r="E89" s="686"/>
      <c r="F89" s="686"/>
      <c r="G89" s="686"/>
      <c r="H89" s="686"/>
      <c r="I89" s="686"/>
      <c r="J89" s="686"/>
      <c r="K89" s="686"/>
      <c r="L89" s="686"/>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5">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北京展拓置业有限公司：</v>
      </c>
    </row>
    <row r="4" spans="1:4" ht="37.5">
      <c r="A4" s="1774" t="str">
        <f>"受贵公司委托，我公司对"&amp;项目基本情况!K2&amp;项目基本情况!B9&amp;"进行了预评估。"</f>
        <v>受贵公司委托，我公司对北京市顺义区北小营镇顺义新城第30街区30-01-02地块R2二类居住用地出让国有建设用地使用权抵押价格进行了预评估。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城茂房地产开发有限公司使用的、位于北京市顺义区北小营镇顺义新城第30街区30-01-02地块R2二类居住用地出让国有建设用地使用权。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7" spans="1:4" ht="93.75">
      <c r="A7" s="2826" t="s">
        <v>2746</v>
      </c>
    </row>
    <row r="8" spans="1:4" ht="18.75">
      <c r="A8" s="1777" t="s">
        <v>1906</v>
      </c>
    </row>
    <row r="9" spans="1:4" ht="75">
      <c r="A9" s="1779" t="str">
        <f>IF(项目基本情况!B8="抵押",IF(项目基本情况!B5=项目基本情况!B6,定义!C51,定义!B51),定义!D51)</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2019年12月31日</v>
      </c>
    </row>
    <row r="12" spans="1:4" ht="18.75">
      <c r="A12" s="1780" t="s">
        <v>2024</v>
      </c>
    </row>
    <row r="13" spans="1:4" ht="18.75">
      <c r="A13" s="1774" t="s">
        <v>2070</v>
      </c>
    </row>
    <row r="14" spans="1:4" ht="37.5">
      <c r="A14" s="1774" t="str">
        <f>"根据"&amp;项目基本情况!F12&amp;"，本次评估估价对象证载（地类）用途为"&amp;项目基本情况!B12&amp;"。"</f>
        <v>根据《不动产权证书》[京（2019）顺不动产权第00024024号]，本次评估估价对象证载（地类）用途为城镇住宅用地。</v>
      </c>
      <c r="C14" s="1764"/>
      <c r="D14" s="1765"/>
    </row>
    <row r="15" spans="1:4" ht="9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1101002019B02714]及附件、《北京市顺义区北小营镇顺义新城第30街区30-01-02地块总经济技术指标》，估价对象土地规划用途为住宅、地下仓储及地下车库，上述用途符合《国有土地使用证》证载地类范围。本次评估设定用途为住宅、地下仓储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9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2747</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37" sqref="B37:I37"/>
      <selection pane="bottomLeft" activeCell="B37" sqref="B37:I37"/>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7" t="s">
        <v>2302</v>
      </c>
      <c r="C1" s="3540" t="s">
        <v>2303</v>
      </c>
      <c r="D1" s="3541"/>
      <c r="E1" s="3541"/>
      <c r="F1" s="3541"/>
      <c r="G1" s="3541"/>
      <c r="H1" s="3541"/>
      <c r="I1" s="3541"/>
      <c r="J1" s="3541"/>
      <c r="K1" s="3541"/>
      <c r="L1" s="3541"/>
      <c r="M1" s="3541"/>
      <c r="N1" s="3541"/>
      <c r="O1" s="3541"/>
      <c r="P1" s="3541"/>
      <c r="Q1" s="3541"/>
      <c r="R1" s="3541"/>
      <c r="S1" s="3542"/>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4" t="s">
        <v>2920</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6" t="s">
        <v>2919</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6" t="s">
        <v>2918</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5"/>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4" t="s">
        <v>2931</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4" t="s">
        <v>2917</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4" t="s">
        <v>2916</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830</v>
      </c>
      <c r="B22" s="53">
        <f>SUM(B24:B10000)</f>
        <v>0</v>
      </c>
      <c r="C22" s="3537" t="s">
        <v>20</v>
      </c>
      <c r="D22" s="3538"/>
      <c r="E22" s="3538"/>
      <c r="F22" s="3538"/>
      <c r="G22" s="3538"/>
      <c r="H22" s="3538"/>
      <c r="I22" s="3538"/>
      <c r="J22" s="3538"/>
      <c r="K22" s="3538"/>
      <c r="L22" s="3538"/>
      <c r="M22" s="3538"/>
      <c r="N22" s="3538"/>
      <c r="O22" s="3538"/>
      <c r="P22" s="3538"/>
      <c r="Q22" s="3539"/>
      <c r="R22" s="488"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8"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43830</v>
      </c>
      <c r="H1" s="2891">
        <f>IF(C1&gt;C13,0,MATCH(C1,C$13:C$100,-1))+IF(SUMIF(C13:C100,C1,D13:D100)=0,13,12)</f>
        <v>13</v>
      </c>
      <c r="I1" s="2891">
        <f>MATCH(C2,H3:H7,1)+IF(SUMIF(H3:H7,C2,I3:I7)=0,2,1)</f>
        <v>6</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3.5</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topLeftCell="A19" zoomScale="55" zoomScaleNormal="55" workbookViewId="0">
      <selection activeCell="A19" sqref="A19"/>
    </sheetView>
  </sheetViews>
  <sheetFormatPr defaultRowHeight="13.5"/>
  <cols>
    <col min="1" max="1" width="75.125" customWidth="1"/>
    <col min="8" max="8" width="14.25" customWidth="1"/>
  </cols>
  <sheetData>
    <row r="1" spans="1:14" s="2892" customFormat="1" ht="14.25" customHeight="1">
      <c r="A1" s="2892" t="s">
        <v>3018</v>
      </c>
      <c r="B1" s="2892" t="s">
        <v>3019</v>
      </c>
      <c r="C1" s="2892" t="s">
        <v>3020</v>
      </c>
      <c r="D1" s="2892" t="s">
        <v>3021</v>
      </c>
      <c r="E1" s="2892" t="s">
        <v>3022</v>
      </c>
      <c r="F1" s="2892" t="s">
        <v>2031</v>
      </c>
      <c r="G1" s="2892" t="s">
        <v>3023</v>
      </c>
      <c r="H1" s="2892" t="s">
        <v>3024</v>
      </c>
      <c r="I1" s="2892" t="s">
        <v>3025</v>
      </c>
      <c r="J1" s="2892" t="s">
        <v>3026</v>
      </c>
      <c r="K1" s="2892" t="s">
        <v>3027</v>
      </c>
      <c r="L1" s="2892" t="s">
        <v>3028</v>
      </c>
      <c r="M1" s="2892" t="s">
        <v>3029</v>
      </c>
      <c r="N1" s="2892" t="s">
        <v>3030</v>
      </c>
    </row>
    <row r="2" spans="1:14" s="3176" customFormat="1">
      <c r="A2" s="3176" t="s">
        <v>3031</v>
      </c>
      <c r="B2" s="3176" t="s">
        <v>1945</v>
      </c>
      <c r="C2" s="3176" t="s">
        <v>3032</v>
      </c>
      <c r="D2" s="3176">
        <v>146640.21</v>
      </c>
      <c r="E2" s="3176">
        <v>288410</v>
      </c>
      <c r="F2" s="3176" t="s">
        <v>3033</v>
      </c>
      <c r="G2" s="3176" t="s">
        <v>3034</v>
      </c>
      <c r="H2" s="3176" t="s">
        <v>3035</v>
      </c>
      <c r="I2" s="3176">
        <v>430000</v>
      </c>
      <c r="J2" s="3176">
        <v>430000</v>
      </c>
      <c r="K2" s="3176">
        <v>14909.32</v>
      </c>
      <c r="L2" s="3176">
        <v>0</v>
      </c>
      <c r="M2" s="3176" t="s">
        <v>3036</v>
      </c>
      <c r="N2" s="3176" t="s">
        <v>3037</v>
      </c>
    </row>
    <row r="3" spans="1:14" s="2892" customFormat="1">
      <c r="A3" s="2892" t="s">
        <v>3038</v>
      </c>
      <c r="B3" s="2892" t="s">
        <v>1945</v>
      </c>
      <c r="C3" s="2892" t="s">
        <v>3039</v>
      </c>
      <c r="D3" s="2892">
        <v>96884.68</v>
      </c>
      <c r="E3" s="2892">
        <v>145327</v>
      </c>
      <c r="F3" s="2892" t="s">
        <v>3040</v>
      </c>
      <c r="G3" s="2892" t="s">
        <v>3034</v>
      </c>
      <c r="H3" s="2892" t="s">
        <v>3041</v>
      </c>
      <c r="I3" s="2892">
        <v>340000</v>
      </c>
      <c r="J3" s="2892">
        <v>410000</v>
      </c>
      <c r="K3" s="2892">
        <v>28212.240000000002</v>
      </c>
      <c r="L3" s="2892">
        <v>20.59</v>
      </c>
      <c r="M3" s="2892" t="s">
        <v>3042</v>
      </c>
      <c r="N3" s="2892" t="s">
        <v>3037</v>
      </c>
    </row>
    <row r="4" spans="1:14" s="3175" customFormat="1">
      <c r="A4" s="3228" t="s">
        <v>3252</v>
      </c>
      <c r="B4" s="3175" t="s">
        <v>1945</v>
      </c>
      <c r="C4" s="3175" t="s">
        <v>3039</v>
      </c>
      <c r="D4" s="3175">
        <v>21403.13</v>
      </c>
      <c r="E4" s="3175">
        <v>38526</v>
      </c>
      <c r="F4" s="3175">
        <v>1.8</v>
      </c>
      <c r="G4" s="3175" t="s">
        <v>3034</v>
      </c>
      <c r="H4" s="3175" t="s">
        <v>3043</v>
      </c>
      <c r="I4" s="3175">
        <v>71000</v>
      </c>
      <c r="J4" s="3175">
        <v>92000</v>
      </c>
      <c r="K4" s="3175">
        <v>23879.97</v>
      </c>
      <c r="L4" s="3175">
        <v>29.58</v>
      </c>
      <c r="M4" s="3175" t="s">
        <v>3044</v>
      </c>
      <c r="N4" s="3175" t="s">
        <v>3045</v>
      </c>
    </row>
    <row r="5" spans="1:14" s="2892" customFormat="1">
      <c r="A5" s="2892" t="s">
        <v>3046</v>
      </c>
      <c r="B5" s="2892" t="s">
        <v>1945</v>
      </c>
      <c r="C5" s="2892" t="s">
        <v>3039</v>
      </c>
      <c r="D5" s="2892">
        <v>43325.9</v>
      </c>
      <c r="E5" s="2892">
        <v>64988</v>
      </c>
      <c r="F5" s="2892">
        <v>1.5</v>
      </c>
      <c r="G5" s="2892" t="s">
        <v>3034</v>
      </c>
      <c r="H5" s="2892" t="s">
        <v>3043</v>
      </c>
      <c r="I5" s="2892">
        <v>190000</v>
      </c>
      <c r="J5" s="2892">
        <v>204000</v>
      </c>
      <c r="K5" s="2892">
        <v>31390.400000000001</v>
      </c>
      <c r="L5" s="2892">
        <v>7.37</v>
      </c>
      <c r="M5" s="2892" t="s">
        <v>3047</v>
      </c>
      <c r="N5" s="2892" t="s">
        <v>3045</v>
      </c>
    </row>
    <row r="6" spans="1:14" s="3175" customFormat="1">
      <c r="A6" s="3228" t="s">
        <v>3251</v>
      </c>
      <c r="B6" s="3175" t="s">
        <v>1945</v>
      </c>
      <c r="C6" s="3175" t="s">
        <v>3032</v>
      </c>
      <c r="D6" s="3175">
        <v>28367.279999999999</v>
      </c>
      <c r="E6" s="3175">
        <v>42028</v>
      </c>
      <c r="F6" s="3175">
        <v>1.48</v>
      </c>
      <c r="G6" s="3175" t="s">
        <v>3034</v>
      </c>
      <c r="H6" s="3175" t="s">
        <v>3048</v>
      </c>
      <c r="I6" s="3175">
        <v>76000</v>
      </c>
      <c r="J6" s="3175">
        <v>88500</v>
      </c>
      <c r="K6" s="3175">
        <v>21057.38</v>
      </c>
      <c r="L6" s="3175">
        <v>16.45</v>
      </c>
      <c r="M6" s="3175" t="s">
        <v>3049</v>
      </c>
      <c r="N6" s="3175" t="s">
        <v>3045</v>
      </c>
    </row>
    <row r="7" spans="1:14" s="3175" customFormat="1">
      <c r="A7" s="3228" t="s">
        <v>3250</v>
      </c>
      <c r="B7" s="3175" t="s">
        <v>1945</v>
      </c>
      <c r="C7" s="3175" t="s">
        <v>3032</v>
      </c>
      <c r="D7" s="3175">
        <v>69856.02</v>
      </c>
      <c r="E7" s="3175">
        <v>104180</v>
      </c>
      <c r="F7" s="3175">
        <v>1.49</v>
      </c>
      <c r="G7" s="3175" t="s">
        <v>3034</v>
      </c>
      <c r="H7" s="3175" t="s">
        <v>3048</v>
      </c>
      <c r="I7" s="3175">
        <v>190000</v>
      </c>
      <c r="J7" s="3175">
        <v>233000</v>
      </c>
      <c r="K7" s="3175">
        <v>22365.13</v>
      </c>
      <c r="L7" s="3175">
        <v>22.63</v>
      </c>
      <c r="M7" s="3175" t="s">
        <v>3050</v>
      </c>
      <c r="N7" s="3175" t="s">
        <v>3045</v>
      </c>
    </row>
    <row r="8" spans="1:14" s="2892" customFormat="1">
      <c r="A8" s="2892" t="s">
        <v>3051</v>
      </c>
      <c r="B8" s="2892" t="s">
        <v>1945</v>
      </c>
      <c r="C8" s="2892" t="s">
        <v>3039</v>
      </c>
      <c r="D8" s="2892">
        <v>41663.440000000002</v>
      </c>
      <c r="E8" s="2892">
        <v>70828</v>
      </c>
      <c r="F8" s="2892">
        <v>1.7</v>
      </c>
      <c r="G8" s="2892" t="s">
        <v>3034</v>
      </c>
      <c r="H8" s="2892" t="s">
        <v>3052</v>
      </c>
      <c r="I8" s="2892">
        <v>76700</v>
      </c>
      <c r="J8" s="2892">
        <v>77900</v>
      </c>
      <c r="K8" s="2892">
        <v>10998.47</v>
      </c>
      <c r="L8" s="2892">
        <v>1.56</v>
      </c>
      <c r="M8" s="2892" t="s">
        <v>3053</v>
      </c>
      <c r="N8" s="2892" t="s">
        <v>3054</v>
      </c>
    </row>
    <row r="9" spans="1:14" s="2892" customFormat="1">
      <c r="A9" s="2892" t="s">
        <v>3055</v>
      </c>
      <c r="B9" s="2892" t="s">
        <v>1945</v>
      </c>
      <c r="C9" s="2892" t="s">
        <v>3039</v>
      </c>
      <c r="D9" s="2892">
        <v>66475.23</v>
      </c>
      <c r="E9" s="2892">
        <v>132950</v>
      </c>
      <c r="F9" s="2892">
        <v>2</v>
      </c>
      <c r="G9" s="2892" t="s">
        <v>3034</v>
      </c>
      <c r="H9" s="2892" t="s">
        <v>3052</v>
      </c>
      <c r="I9" s="2892">
        <v>380000</v>
      </c>
      <c r="J9" s="2892">
        <v>450000</v>
      </c>
      <c r="K9" s="2892">
        <v>33847.300000000003</v>
      </c>
      <c r="L9" s="2892">
        <v>18.420000000000002</v>
      </c>
      <c r="M9" s="2892" t="s">
        <v>3056</v>
      </c>
      <c r="N9" s="2892" t="s">
        <v>3057</v>
      </c>
    </row>
    <row r="10" spans="1:14" s="2892" customFormat="1">
      <c r="A10" s="2892" t="s">
        <v>3058</v>
      </c>
      <c r="B10" s="2892" t="s">
        <v>1945</v>
      </c>
      <c r="C10" s="2892" t="s">
        <v>3032</v>
      </c>
      <c r="D10" s="2892">
        <v>76571.12</v>
      </c>
      <c r="E10" s="2892">
        <v>132728</v>
      </c>
      <c r="F10" s="2892">
        <v>1.73</v>
      </c>
      <c r="G10" s="2892" t="s">
        <v>3034</v>
      </c>
      <c r="H10" s="2892" t="s">
        <v>3052</v>
      </c>
      <c r="I10" s="2892">
        <v>165000</v>
      </c>
      <c r="J10" s="2892">
        <v>194500</v>
      </c>
      <c r="K10" s="2892">
        <v>14654.03</v>
      </c>
      <c r="L10" s="2892">
        <v>17.88</v>
      </c>
      <c r="M10" s="2892" t="s">
        <v>3059</v>
      </c>
      <c r="N10" s="2892" t="s">
        <v>3057</v>
      </c>
    </row>
    <row r="11" spans="1:14" s="2892" customFormat="1">
      <c r="A11" s="2892" t="s">
        <v>3060</v>
      </c>
      <c r="B11" s="2892" t="s">
        <v>1945</v>
      </c>
      <c r="C11" s="2892" t="s">
        <v>3039</v>
      </c>
      <c r="D11" s="2892">
        <v>36365.370000000003</v>
      </c>
      <c r="E11" s="2892">
        <v>65458</v>
      </c>
      <c r="F11" s="2892">
        <v>1.8</v>
      </c>
      <c r="G11" s="2892" t="s">
        <v>3034</v>
      </c>
      <c r="H11" s="2892" t="s">
        <v>3061</v>
      </c>
      <c r="I11" s="2892">
        <v>180000</v>
      </c>
      <c r="J11" s="2892">
        <v>260000</v>
      </c>
      <c r="K11" s="2892">
        <v>39720.120000000003</v>
      </c>
      <c r="L11" s="2892">
        <v>44.44</v>
      </c>
      <c r="M11" s="2892" t="s">
        <v>3062</v>
      </c>
      <c r="N11" s="2892" t="s">
        <v>3057</v>
      </c>
    </row>
    <row r="12" spans="1:14" s="2892" customFormat="1">
      <c r="A12" s="2892" t="s">
        <v>3063</v>
      </c>
      <c r="B12" s="2892" t="s">
        <v>1945</v>
      </c>
      <c r="C12" s="2892" t="s">
        <v>3032</v>
      </c>
      <c r="D12" s="2892">
        <v>151738.6</v>
      </c>
      <c r="E12" s="2892">
        <v>152374</v>
      </c>
      <c r="F12" s="2892">
        <v>1.004</v>
      </c>
      <c r="G12" s="2892" t="s">
        <v>3034</v>
      </c>
      <c r="H12" s="2892" t="s">
        <v>3064</v>
      </c>
      <c r="I12" s="2892">
        <v>460000</v>
      </c>
      <c r="J12" s="2892">
        <v>685400</v>
      </c>
      <c r="K12" s="2892">
        <v>44981.43</v>
      </c>
      <c r="L12" s="2892">
        <v>49</v>
      </c>
      <c r="M12" s="2892" t="s">
        <v>3065</v>
      </c>
      <c r="N12" s="2892" t="s">
        <v>3054</v>
      </c>
    </row>
    <row r="13" spans="1:14" s="2892" customFormat="1">
      <c r="A13" s="2892" t="s">
        <v>3066</v>
      </c>
      <c r="B13" s="2892" t="s">
        <v>1945</v>
      </c>
      <c r="C13" s="2892" t="s">
        <v>3032</v>
      </c>
      <c r="D13" s="2892">
        <v>132352.79999999999</v>
      </c>
      <c r="E13" s="2892">
        <v>201775</v>
      </c>
      <c r="F13" s="2892">
        <v>1.52</v>
      </c>
      <c r="G13" s="2892" t="s">
        <v>3034</v>
      </c>
      <c r="H13" s="2892" t="s">
        <v>3067</v>
      </c>
      <c r="I13" s="2892">
        <v>365000</v>
      </c>
      <c r="J13" s="2892">
        <v>380000</v>
      </c>
      <c r="K13" s="2892">
        <v>18832.86</v>
      </c>
      <c r="L13" s="2892">
        <v>4.1100000000000003</v>
      </c>
      <c r="M13" s="2892" t="s">
        <v>3068</v>
      </c>
      <c r="N13" s="2892" t="s">
        <v>3045</v>
      </c>
    </row>
    <row r="14" spans="1:14" s="2892" customFormat="1">
      <c r="A14" s="2892" t="s">
        <v>3069</v>
      </c>
      <c r="B14" s="2892" t="s">
        <v>1945</v>
      </c>
      <c r="C14" s="2892" t="s">
        <v>3032</v>
      </c>
      <c r="D14" s="2892">
        <v>65602.95</v>
      </c>
      <c r="E14" s="2892">
        <v>120165</v>
      </c>
      <c r="F14" s="2892">
        <v>1.83</v>
      </c>
      <c r="G14" s="2892" t="s">
        <v>3034</v>
      </c>
      <c r="H14" s="2892" t="s">
        <v>3070</v>
      </c>
      <c r="I14" s="2892">
        <v>330000</v>
      </c>
      <c r="J14" s="2892">
        <v>495000</v>
      </c>
      <c r="K14" s="2892">
        <v>41193.360000000001</v>
      </c>
      <c r="L14" s="2892">
        <v>50</v>
      </c>
      <c r="M14" s="2892" t="s">
        <v>3071</v>
      </c>
      <c r="N14" s="2892" t="s">
        <v>3057</v>
      </c>
    </row>
    <row r="15" spans="1:14" s="2892" customFormat="1">
      <c r="A15" s="2892" t="s">
        <v>3072</v>
      </c>
      <c r="B15" s="2892" t="s">
        <v>1945</v>
      </c>
      <c r="C15" s="2892" t="s">
        <v>3032</v>
      </c>
      <c r="D15" s="2892">
        <v>151051.70000000001</v>
      </c>
      <c r="E15" s="2892">
        <v>274253</v>
      </c>
      <c r="F15" s="2892" t="s">
        <v>3073</v>
      </c>
      <c r="G15" s="2892" t="s">
        <v>3034</v>
      </c>
      <c r="H15" s="2892" t="s">
        <v>3074</v>
      </c>
      <c r="I15" s="2892">
        <v>385000</v>
      </c>
      <c r="J15" s="2892">
        <v>502000</v>
      </c>
      <c r="K15" s="2892">
        <v>18304.27</v>
      </c>
      <c r="L15" s="2892">
        <v>30.39</v>
      </c>
      <c r="M15" s="2892" t="s">
        <v>3065</v>
      </c>
      <c r="N15" s="2892" t="s">
        <v>3057</v>
      </c>
    </row>
    <row r="16" spans="1:14" s="2892" customFormat="1">
      <c r="A16" s="2892" t="s">
        <v>3075</v>
      </c>
      <c r="B16" s="2892" t="s">
        <v>1945</v>
      </c>
      <c r="C16" s="2892" t="s">
        <v>3039</v>
      </c>
      <c r="D16" s="2892">
        <v>155132.79999999999</v>
      </c>
      <c r="E16" s="2892">
        <v>156684</v>
      </c>
      <c r="F16" s="2892">
        <v>1.009999305</v>
      </c>
      <c r="G16" s="2892" t="s">
        <v>3034</v>
      </c>
      <c r="H16" s="2892" t="s">
        <v>3076</v>
      </c>
      <c r="I16" s="2892">
        <v>470000</v>
      </c>
      <c r="J16" s="2892">
        <v>705000</v>
      </c>
      <c r="K16" s="2892">
        <v>44995.01</v>
      </c>
      <c r="L16" s="2892">
        <v>50</v>
      </c>
      <c r="M16" s="2892" t="s">
        <v>3077</v>
      </c>
      <c r="N16" s="2892" t="s">
        <v>3037</v>
      </c>
    </row>
    <row r="17" spans="1:14" s="2892" customFormat="1">
      <c r="A17" s="2892" t="s">
        <v>3078</v>
      </c>
      <c r="B17" s="2892" t="s">
        <v>1945</v>
      </c>
      <c r="C17" s="2892" t="s">
        <v>3039</v>
      </c>
      <c r="D17" s="2892">
        <v>41170.230000000003</v>
      </c>
      <c r="E17" s="2892">
        <v>60109</v>
      </c>
      <c r="F17" s="2892">
        <v>1.46</v>
      </c>
      <c r="G17" s="2892" t="s">
        <v>3034</v>
      </c>
      <c r="H17" s="2892" t="s">
        <v>3079</v>
      </c>
      <c r="I17" s="2892">
        <v>88000</v>
      </c>
      <c r="J17" s="2892">
        <v>121000</v>
      </c>
      <c r="K17" s="2892">
        <v>20130.09</v>
      </c>
      <c r="L17" s="2892">
        <v>37.5</v>
      </c>
      <c r="M17" s="2892" t="s">
        <v>3080</v>
      </c>
      <c r="N17" s="2892" t="s">
        <v>3054</v>
      </c>
    </row>
    <row r="18" spans="1:14" s="2892" customFormat="1">
      <c r="A18" s="2892" t="s">
        <v>3081</v>
      </c>
      <c r="B18" s="2892" t="s">
        <v>1945</v>
      </c>
      <c r="C18" s="2892" t="s">
        <v>3039</v>
      </c>
      <c r="D18" s="2892">
        <v>45104.74</v>
      </c>
      <c r="E18" s="2892">
        <v>112093</v>
      </c>
      <c r="F18" s="2892">
        <v>2.5</v>
      </c>
      <c r="G18" s="2892" t="s">
        <v>3034</v>
      </c>
      <c r="H18" s="2892" t="s">
        <v>3079</v>
      </c>
      <c r="I18" s="2892">
        <v>130000</v>
      </c>
      <c r="J18" s="2892">
        <v>193000</v>
      </c>
      <c r="K18" s="2892">
        <v>17217.84</v>
      </c>
      <c r="L18" s="2892">
        <v>48.46</v>
      </c>
      <c r="M18" s="2892" t="s">
        <v>3082</v>
      </c>
      <c r="N18" s="2892" t="s">
        <v>3057</v>
      </c>
    </row>
  </sheetData>
  <phoneticPr fontId="229"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zoomScale="70" zoomScaleNormal="70" workbookViewId="0">
      <selection activeCell="H143" sqref="H143"/>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2037</v>
      </c>
      <c r="B1" s="3244"/>
      <c r="C1" s="3244"/>
      <c r="D1" s="3244"/>
      <c r="E1" s="3244"/>
      <c r="F1" s="3244"/>
      <c r="G1" s="3244"/>
      <c r="H1" s="3244"/>
      <c r="I1" s="3244"/>
      <c r="J1" s="3244"/>
      <c r="K1" s="3244"/>
      <c r="L1" s="3244"/>
      <c r="M1" s="3244"/>
      <c r="N1" s="3244"/>
      <c r="O1" s="3244"/>
      <c r="P1" s="3244"/>
      <c r="Q1" s="3244"/>
      <c r="R1" s="3244"/>
    </row>
    <row r="2" spans="1:18">
      <c r="A2" s="1790" t="s">
        <v>2039</v>
      </c>
      <c r="B2" s="1790"/>
      <c r="C2" s="1790"/>
      <c r="D2" s="1790"/>
      <c r="E2" s="1790"/>
      <c r="F2" s="1790"/>
      <c r="G2" s="1790"/>
      <c r="H2" s="1790"/>
      <c r="I2" s="1791"/>
      <c r="J2" s="1791"/>
      <c r="K2" s="1792" t="str">
        <f>"估价期日："&amp;TEXT(项目基本情况!D3,"yyyy年m月d日;;")</f>
        <v>估价期日：2019年12月31日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5" t="s">
        <v>2028</v>
      </c>
      <c r="B3" s="3245" t="s">
        <v>2729</v>
      </c>
      <c r="C3" s="3246" t="s">
        <v>2029</v>
      </c>
      <c r="D3" s="3245" t="s">
        <v>2733</v>
      </c>
      <c r="E3" s="3248" t="s">
        <v>2030</v>
      </c>
      <c r="F3" s="3248"/>
      <c r="G3" s="3248"/>
      <c r="H3" s="3248" t="s">
        <v>2031</v>
      </c>
      <c r="I3" s="3248"/>
      <c r="J3" s="3248"/>
      <c r="K3" s="3246" t="s">
        <v>2032</v>
      </c>
      <c r="L3" s="3246" t="s">
        <v>2033</v>
      </c>
      <c r="M3" s="3245" t="s">
        <v>2730</v>
      </c>
      <c r="N3" s="3247" t="str">
        <f>"（分摊）"&amp;项目基本情况!B16&amp;"国有建设用地使用权面积/㎡"</f>
        <v>（分摊）出让国有建设用地使用权面积/㎡</v>
      </c>
      <c r="O3" s="3245" t="s">
        <v>2062</v>
      </c>
      <c r="P3" s="3246" t="s">
        <v>2042</v>
      </c>
      <c r="Q3" s="3246" t="s">
        <v>2063</v>
      </c>
      <c r="R3" s="3246" t="s">
        <v>2034</v>
      </c>
    </row>
    <row r="4" spans="1:18" ht="36.75" customHeight="1">
      <c r="A4" s="3245"/>
      <c r="B4" s="3245"/>
      <c r="C4" s="3246"/>
      <c r="D4" s="3245"/>
      <c r="E4" s="2611" t="s">
        <v>2041</v>
      </c>
      <c r="F4" s="2611" t="s">
        <v>2742</v>
      </c>
      <c r="G4" s="2611" t="s">
        <v>2035</v>
      </c>
      <c r="H4" s="2611" t="s">
        <v>2036</v>
      </c>
      <c r="I4" s="2611" t="s">
        <v>2743</v>
      </c>
      <c r="J4" s="2611" t="s">
        <v>2035</v>
      </c>
      <c r="K4" s="3246"/>
      <c r="L4" s="3246"/>
      <c r="M4" s="3245"/>
      <c r="N4" s="3247"/>
      <c r="O4" s="3245"/>
      <c r="P4" s="3246"/>
      <c r="Q4" s="3246"/>
      <c r="R4" s="3246"/>
    </row>
    <row r="5" spans="1:18" ht="135" customHeight="1">
      <c r="A5" s="1926" t="s">
        <v>2653</v>
      </c>
      <c r="B5" s="2820" t="s">
        <v>2651</v>
      </c>
      <c r="C5" s="2610">
        <v>22</v>
      </c>
      <c r="D5" s="2609" t="s">
        <v>2652</v>
      </c>
      <c r="E5" s="1793" t="str">
        <f>项目基本情况!B12</f>
        <v>城镇住宅用地</v>
      </c>
      <c r="F5" s="2609">
        <v>258</v>
      </c>
      <c r="G5" s="1793" t="str">
        <f>项目基本情况!B13</f>
        <v>住宅、地下仓储及地下车库</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t="str">
        <f>IF(项目基本情况!B16="出让",项目基本情况!D20,"——")</f>
        <v>住宅69.8年、地下仓储及地下车库49.8年</v>
      </c>
      <c r="N5" s="1793">
        <f>项目基本情况!C22</f>
        <v>142581.63</v>
      </c>
      <c r="O5" s="1793">
        <f>项目基本情况!C21</f>
        <v>421294.36999999976</v>
      </c>
      <c r="P5" s="1793">
        <f ca="1">结果表!E42</f>
        <v>30654</v>
      </c>
      <c r="Q5" s="1793">
        <f ca="1">结果表!D42</f>
        <v>10374</v>
      </c>
      <c r="R5" s="1794">
        <f ca="1">结果表!C42</f>
        <v>437065</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795">
        <f ca="1">结果表!O39</f>
        <v>432111</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795" t="str">
        <f>结果表!O40</f>
        <v>——</v>
      </c>
    </row>
    <row r="8" spans="1:18">
      <c r="A8" s="3241" t="str">
        <f>IF(项目基本情况!B9="市场价格","——",项目基本情况!E9)</f>
        <v>——</v>
      </c>
      <c r="B8" s="3242"/>
      <c r="C8" s="3242"/>
      <c r="D8" s="3242"/>
      <c r="E8" s="3242"/>
      <c r="F8" s="3242"/>
      <c r="G8" s="3242"/>
      <c r="H8" s="3242"/>
      <c r="I8" s="3242"/>
      <c r="J8" s="3242"/>
      <c r="K8" s="3242"/>
      <c r="L8" s="3242"/>
      <c r="M8" s="3242"/>
      <c r="N8" s="3242"/>
      <c r="O8" s="3242"/>
      <c r="P8" s="3242"/>
      <c r="Q8" s="3243"/>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50" t="s">
        <v>2064</v>
      </c>
      <c r="B1" s="3250"/>
      <c r="C1" s="3250"/>
      <c r="D1" s="3250"/>
    </row>
    <row r="2" spans="1:4" ht="47.25" customHeight="1">
      <c r="A2" s="3251" t="str">
        <f>"1.权利限制："&amp;项目基本情况!L24&amp;"未设定租赁等其他他项权利。"</f>
        <v>1.权利限制：根据估价对象《不动产权证书》原件、《国有土地使用权》复印件，截至估价期日，估价对象抵押权未见登记。未设定租赁等其他他项权利。</v>
      </c>
      <c r="B2" s="3251"/>
      <c r="C2" s="3251"/>
      <c r="D2" s="3251"/>
    </row>
    <row r="3" spans="1:4" ht="48" customHeight="1">
      <c r="A3" s="325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0"/>
      <c r="C3" s="3250"/>
      <c r="D3" s="3250"/>
    </row>
    <row r="4" spans="1:4" ht="36.75" customHeight="1">
      <c r="A4" s="3250" t="str">
        <f>"3.估价规划限制条件：详见"&amp;项目基本情况!E21&amp;"。"</f>
        <v>3.估价规划限制条件：详见《北京市顺义区北小营镇顺义新城第30街区30-01-02地块总经济技术指标》。</v>
      </c>
      <c r="B4" s="3250"/>
      <c r="C4" s="3250"/>
      <c r="D4" s="3250"/>
    </row>
    <row r="5" spans="1:4">
      <c r="A5" s="3249" t="s">
        <v>2065</v>
      </c>
      <c r="B5" s="3249"/>
      <c r="C5" s="3249"/>
      <c r="D5" s="3249"/>
    </row>
    <row r="6" spans="1:4">
      <c r="A6" s="3250" t="s">
        <v>2043</v>
      </c>
      <c r="B6" s="3250"/>
      <c r="C6" s="3250"/>
      <c r="D6" s="3250"/>
    </row>
    <row r="7" spans="1:4" ht="33" customHeight="1">
      <c r="A7" s="3250" t="s">
        <v>2574</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（1）根据估价对象《不动产权证书》原件、《国有土地使用权》复印件，截至估价期日，估价对象抵押权未见登记。</v>
      </c>
      <c r="B11" s="3252"/>
      <c r="C11" s="3252"/>
      <c r="D11" s="3252"/>
    </row>
    <row r="12" spans="1:4" ht="168" customHeight="1">
      <c r="A12" s="3249" t="s">
        <v>2067</v>
      </c>
      <c r="B12" s="3249"/>
      <c r="C12" s="3249"/>
      <c r="D12" s="3249"/>
    </row>
    <row r="13" spans="1:4">
      <c r="A13" s="3253" t="s">
        <v>2744</v>
      </c>
      <c r="B13" s="3253"/>
      <c r="C13" s="3253"/>
      <c r="D13" s="3253"/>
    </row>
    <row r="14" spans="1:4">
      <c r="A14" s="3252" t="str">
        <f>IF(项目基本情况!B8="抵押","综上，"&amp;结果表!K47,"——")</f>
        <v>综上，本次评估估价师知悉的法定优先受偿款为人民币4954万元整。</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2700</v>
      </c>
      <c r="B17" s="3250"/>
      <c r="C17" s="3250"/>
      <c r="D17" s="3250"/>
    </row>
    <row r="18" spans="1:4">
      <c r="A18" s="3250" t="s">
        <v>2692</v>
      </c>
      <c r="B18" s="3250"/>
      <c r="C18" s="3250"/>
      <c r="D18" s="3250"/>
    </row>
    <row r="19" spans="1:4">
      <c r="A19" s="2821" t="s">
        <v>2693</v>
      </c>
      <c r="B19" s="2821" t="s">
        <v>2694</v>
      </c>
      <c r="C19" s="2821" t="s">
        <v>2695</v>
      </c>
      <c r="D19" s="2821" t="s">
        <v>2696</v>
      </c>
    </row>
    <row r="20" spans="1:4">
      <c r="A20" s="2821" t="str">
        <f>项目基本情况!B4</f>
        <v>崔锴</v>
      </c>
      <c r="B20" s="2821">
        <f ca="1">项目基本情况!C4</f>
        <v>2010110070</v>
      </c>
      <c r="C20" s="2823"/>
      <c r="D20" s="1783" t="s">
        <v>2701</v>
      </c>
    </row>
    <row r="21" spans="1:4">
      <c r="A21" s="2821" t="str">
        <f>项目基本情况!D4</f>
        <v>赵雯</v>
      </c>
      <c r="B21" s="2821">
        <f ca="1">项目基本情况!E4</f>
        <v>2011110090</v>
      </c>
      <c r="C21" s="2823"/>
      <c r="D21" s="1783" t="s">
        <v>2702</v>
      </c>
    </row>
    <row r="23" spans="1:4">
      <c r="A23" s="3250" t="s">
        <v>2697</v>
      </c>
      <c r="B23" s="3250"/>
      <c r="C23" s="3250"/>
      <c r="D23" s="3250"/>
    </row>
    <row r="24" spans="1:4">
      <c r="A24" s="2821" t="s">
        <v>2693</v>
      </c>
      <c r="B24" s="2821" t="s">
        <v>2698</v>
      </c>
      <c r="C24" s="2821" t="s">
        <v>2695</v>
      </c>
      <c r="D24" s="2821" t="s">
        <v>2696</v>
      </c>
    </row>
    <row r="25" spans="1:4">
      <c r="A25" s="2824" t="s">
        <v>2699</v>
      </c>
      <c r="B25" s="2821" t="s">
        <v>952</v>
      </c>
      <c r="C25" s="2823"/>
      <c r="D25" s="1783" t="s">
        <v>2702</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61" t="s">
        <v>53</v>
      </c>
      <c r="B15" s="3262" t="s">
        <v>846</v>
      </c>
      <c r="C15" s="3258"/>
    </row>
    <row r="16" spans="1:7" ht="14.25">
      <c r="A16" s="3261"/>
      <c r="B16" s="3259" t="s">
        <v>54</v>
      </c>
      <c r="C16" s="1166" t="s">
        <v>53</v>
      </c>
    </row>
    <row r="17" spans="1:3" ht="14.25">
      <c r="A17" s="3261"/>
      <c r="B17" s="3259"/>
      <c r="C17" s="1166" t="s">
        <v>55</v>
      </c>
    </row>
    <row r="18" spans="1:3" ht="14.25">
      <c r="A18" s="3261"/>
      <c r="B18" s="3259"/>
      <c r="C18" s="1166" t="s">
        <v>56</v>
      </c>
    </row>
    <row r="19" spans="1:3" ht="14.25">
      <c r="A19" s="3261"/>
      <c r="B19" s="3257" t="s">
        <v>57</v>
      </c>
      <c r="C19" s="3258"/>
    </row>
    <row r="20" spans="1:3" ht="14.25">
      <c r="A20" s="1167" t="s">
        <v>58</v>
      </c>
      <c r="B20" s="1168"/>
      <c r="C20" s="1169"/>
    </row>
    <row r="21" spans="1:3" ht="14.25">
      <c r="A21" s="3260" t="s">
        <v>59</v>
      </c>
      <c r="B21" s="3257" t="s">
        <v>60</v>
      </c>
      <c r="C21" s="3258"/>
    </row>
    <row r="22" spans="1:3" ht="14.25">
      <c r="A22" s="3260"/>
      <c r="B22" s="3257" t="s">
        <v>61</v>
      </c>
      <c r="C22" s="3258"/>
    </row>
    <row r="23" spans="1:3" ht="14.25">
      <c r="A23" s="3260"/>
      <c r="B23" s="3257" t="s">
        <v>62</v>
      </c>
      <c r="C23" s="3258"/>
    </row>
    <row r="24" spans="1:3" ht="14.25">
      <c r="A24" s="3260"/>
      <c r="B24" s="3263" t="s">
        <v>63</v>
      </c>
      <c r="C24" s="1170" t="s">
        <v>837</v>
      </c>
    </row>
    <row r="25" spans="1:3" ht="14.25">
      <c r="A25" s="3260"/>
      <c r="B25" s="3264"/>
      <c r="C25" s="1170" t="s">
        <v>838</v>
      </c>
    </row>
    <row r="26" spans="1:3" ht="14.25">
      <c r="A26" s="3260"/>
      <c r="B26" s="3264"/>
      <c r="C26" s="1170" t="s">
        <v>839</v>
      </c>
    </row>
    <row r="27" spans="1:3" ht="14.25">
      <c r="A27" s="3260"/>
      <c r="B27" s="3264"/>
      <c r="C27" s="1170" t="s">
        <v>840</v>
      </c>
    </row>
    <row r="28" spans="1:3" ht="14.25">
      <c r="A28" s="3260"/>
      <c r="B28" s="3264"/>
      <c r="C28" s="1170" t="s">
        <v>841</v>
      </c>
    </row>
    <row r="29" spans="1:3" ht="14.25">
      <c r="A29" s="3260"/>
      <c r="B29" s="3264"/>
      <c r="C29" s="1170" t="s">
        <v>842</v>
      </c>
    </row>
    <row r="30" spans="1:3" ht="14.25">
      <c r="A30" s="3260"/>
      <c r="B30" s="3264"/>
      <c r="C30" s="1170" t="s">
        <v>843</v>
      </c>
    </row>
    <row r="31" spans="1:3" ht="14.25">
      <c r="A31" s="3260"/>
      <c r="B31" s="3264"/>
      <c r="C31" s="1170" t="s">
        <v>844</v>
      </c>
    </row>
    <row r="32" spans="1:3" ht="14.25">
      <c r="A32" s="3260"/>
      <c r="B32" s="3264"/>
      <c r="C32" s="1170" t="s">
        <v>1646</v>
      </c>
    </row>
    <row r="33" spans="1:3" ht="14.25">
      <c r="A33" s="3260"/>
      <c r="B33" s="3254" t="s">
        <v>1652</v>
      </c>
      <c r="C33" s="1170" t="s">
        <v>1647</v>
      </c>
    </row>
    <row r="34" spans="1:3" ht="14.25">
      <c r="A34" s="3260"/>
      <c r="B34" s="3255"/>
      <c r="C34" s="1175" t="s">
        <v>1648</v>
      </c>
    </row>
    <row r="35" spans="1:3" ht="14.25">
      <c r="A35" s="3260"/>
      <c r="B35" s="3255"/>
      <c r="C35" s="1176" t="s">
        <v>1649</v>
      </c>
    </row>
    <row r="36" spans="1:3" ht="14.25">
      <c r="A36" s="3260"/>
      <c r="B36" s="3255"/>
      <c r="C36" s="1176" t="s">
        <v>1650</v>
      </c>
    </row>
    <row r="37" spans="1:3" ht="14.25">
      <c r="A37" s="3260"/>
      <c r="B37" s="3256"/>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43912</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t="str">
        <f ca="1">IF(C4&lt;B2,"已过期",1119970066)</f>
        <v>已过期</v>
      </c>
      <c r="C4" s="3126">
        <v>43849</v>
      </c>
      <c r="D4" s="3124" t="s">
        <v>1914</v>
      </c>
      <c r="E4" s="3124">
        <f ca="1">IF(F4&lt;B2,"已过期",96010014)</f>
        <v>96010014</v>
      </c>
      <c r="F4" s="3127">
        <v>47118</v>
      </c>
    </row>
    <row r="5" spans="1:6" ht="20.25" customHeight="1">
      <c r="A5" s="3124" t="s">
        <v>1915</v>
      </c>
      <c r="B5" s="3124" t="str">
        <f ca="1">IF(C5&lt;B2,"已过期",1119970074)</f>
        <v>已过期</v>
      </c>
      <c r="C5" s="3126">
        <v>43849</v>
      </c>
      <c r="D5" s="3124" t="s">
        <v>1915</v>
      </c>
      <c r="E5" s="3124">
        <f ca="1">IF(F5&lt;B2,"已过期",2002110027)</f>
        <v>2002110027</v>
      </c>
      <c r="F5" s="3127">
        <v>46752</v>
      </c>
    </row>
    <row r="6" spans="1:6" ht="20.25" customHeight="1">
      <c r="A6" s="3124" t="s">
        <v>1916</v>
      </c>
      <c r="B6" s="3124" t="str">
        <f ca="1">IF(C6&lt;B2,"已过期",1119970111)</f>
        <v>已过期</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t="str">
        <f ca="1">IF(C8&lt;B2,"已过期",1120000080)</f>
        <v>已过期</v>
      </c>
      <c r="C8" s="3126">
        <v>43849</v>
      </c>
      <c r="D8" s="3124" t="s">
        <v>1918</v>
      </c>
      <c r="E8" s="3124">
        <f ca="1">IF(F8&lt;B2,"已过期",2000110082)</f>
        <v>2000110082</v>
      </c>
      <c r="F8" s="3127">
        <v>46387</v>
      </c>
    </row>
    <row r="9" spans="1:6" ht="20.25" customHeight="1">
      <c r="A9" s="3124" t="s">
        <v>1919</v>
      </c>
      <c r="B9" s="3124" t="str">
        <f ca="1">IF(C9&lt;B2,"已过期",1419970001)</f>
        <v>已过期</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t="str">
        <f ca="1">IF(C13&lt;B2,"已过期",1120070131)</f>
        <v>已过期</v>
      </c>
      <c r="C13" s="3126">
        <v>43814</v>
      </c>
      <c r="D13" s="3124" t="s">
        <v>1922</v>
      </c>
      <c r="E13" s="3124">
        <f ca="1">IF(F13&lt;B2,"已过期",2014110011)</f>
        <v>2014110011</v>
      </c>
      <c r="F13" s="3127">
        <v>49302</v>
      </c>
    </row>
    <row r="14" spans="1:6" ht="20.25" customHeight="1">
      <c r="A14" s="3124" t="s">
        <v>2972</v>
      </c>
      <c r="B14" s="3124" t="str">
        <f ca="1">IF(C14&lt;B2,"已过期",1120040230)</f>
        <v>已过期</v>
      </c>
      <c r="C14" s="3128">
        <v>43835</v>
      </c>
      <c r="D14" s="3129" t="s">
        <v>2973</v>
      </c>
      <c r="E14" s="3124">
        <f ca="1">IF(F14&lt;B2,"已过期",98030020)</f>
        <v>98030020</v>
      </c>
      <c r="F14" s="3127">
        <v>47118</v>
      </c>
    </row>
    <row r="15" spans="1:6" ht="20.25" customHeight="1">
      <c r="A15" s="3124" t="s">
        <v>2573</v>
      </c>
      <c r="B15" s="3124" t="str">
        <f ca="1">IF(C15&lt;B2,"已过期",1120070085)</f>
        <v>已过期</v>
      </c>
      <c r="C15" s="3128">
        <v>43814</v>
      </c>
      <c r="D15" s="3124" t="s">
        <v>2974</v>
      </c>
      <c r="E15" s="3124">
        <f ca="1">IF(F15&lt;B2,"已过期",2004110128)</f>
        <v>2004110128</v>
      </c>
      <c r="F15" s="3130">
        <v>47118</v>
      </c>
    </row>
    <row r="16" spans="1:6" ht="20.25" customHeight="1">
      <c r="A16" s="3124" t="s">
        <v>1923</v>
      </c>
      <c r="B16" s="3124">
        <f ca="1">IF(C16&lt;B2,"已过期",1120140022)</f>
        <v>1120140022</v>
      </c>
      <c r="C16" s="3126">
        <v>44029</v>
      </c>
      <c r="D16" s="3124" t="s">
        <v>2975</v>
      </c>
      <c r="E16" s="3124">
        <f ca="1">IF(F16&lt;B2,"已过期",2008110059)</f>
        <v>2008110059</v>
      </c>
      <c r="F16" s="3127">
        <v>47177</v>
      </c>
    </row>
    <row r="17" spans="1:7" ht="20.25" customHeight="1">
      <c r="A17" s="3124"/>
      <c r="B17" s="3124"/>
      <c r="C17" s="3126"/>
      <c r="D17" s="3129" t="s">
        <v>2976</v>
      </c>
      <c r="E17" s="3124">
        <f ca="1">IF(F17&lt;B2,"已过期",2014110076)</f>
        <v>2014110076</v>
      </c>
      <c r="F17" s="3127">
        <v>49302</v>
      </c>
    </row>
    <row r="18" spans="1:7" ht="20.25" customHeight="1">
      <c r="A18" s="3124" t="s">
        <v>2989</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2052</v>
      </c>
      <c r="B24" s="3123" t="s">
        <v>2052</v>
      </c>
      <c r="C24" s="3126"/>
      <c r="D24" s="3131" t="s">
        <v>2052</v>
      </c>
      <c r="E24" s="3123" t="s">
        <v>2052</v>
      </c>
      <c r="F24" s="3130"/>
    </row>
    <row r="25" spans="1:7" ht="20.25" customHeight="1">
      <c r="A25" s="3265" t="s">
        <v>1926</v>
      </c>
      <c r="B25" s="3265"/>
      <c r="C25" s="3265"/>
      <c r="D25" s="3265"/>
      <c r="E25" s="3265"/>
      <c r="F25" s="3265"/>
      <c r="G25" s="3265"/>
    </row>
    <row r="26" spans="1:7" ht="20.25" customHeight="1">
      <c r="A26" s="3266" t="s">
        <v>1927</v>
      </c>
      <c r="B26" s="3266"/>
      <c r="C26" s="3266"/>
      <c r="D26" s="3266" t="s">
        <v>1928</v>
      </c>
      <c r="E26" s="3266"/>
      <c r="F26" s="3266"/>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2990</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2"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2539</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878</v>
      </c>
    </row>
    <row r="6" spans="1:23">
      <c r="A6" s="8" t="s">
        <v>99</v>
      </c>
      <c r="B6" s="1143" t="s">
        <v>1640</v>
      </c>
      <c r="C6" s="1537" t="s">
        <v>1713</v>
      </c>
      <c r="F6" s="9" t="s">
        <v>71</v>
      </c>
      <c r="H6" s="9" t="s">
        <v>72</v>
      </c>
      <c r="I6" s="9" t="s">
        <v>100</v>
      </c>
      <c r="K6" s="9" t="s">
        <v>101</v>
      </c>
      <c r="L6" s="9" t="s">
        <v>101</v>
      </c>
      <c r="M6" s="9" t="s">
        <v>101</v>
      </c>
      <c r="N6" s="9" t="s">
        <v>101</v>
      </c>
      <c r="O6" s="9" t="s">
        <v>101</v>
      </c>
      <c r="P6" s="1004" t="s">
        <v>881</v>
      </c>
      <c r="Q6" s="9" t="s">
        <v>101</v>
      </c>
      <c r="R6" s="1004" t="s">
        <v>2543</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57" t="s">
        <v>2946</v>
      </c>
      <c r="C18" s="1538"/>
    </row>
    <row r="19" spans="1:3">
      <c r="A19" s="8" t="s">
        <v>120</v>
      </c>
      <c r="B19" s="3057" t="s">
        <v>2954</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北小营镇顺义新城第30街区30-01-02地块R2二类居住用地出让国有建设用地使用权作为抵押担保物，向中国工商银行股份有限公司北京南礼士路支行办理贷款手续。中国工商银行股份有限公司北京南礼士路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267"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c r="D53" s="1750"/>
      <c r="E53" s="1750"/>
    </row>
    <row r="54" spans="1:5">
      <c r="A54" s="3267"/>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7"/>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7"/>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7"/>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3" t="s">
        <v>2051</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2020-03-22T05:13:30Z</dcterms:modified>
</cp:coreProperties>
</file>