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收益法-办公" sheetId="78" r:id="rId23"/>
    <sheet name="收益法-车库"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9"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37" i="34" l="1"/>
  <c r="G37" i="34"/>
  <c r="I37" i="34"/>
  <c r="N6" i="1"/>
  <c r="D78" i="34"/>
  <c r="F15" i="34"/>
  <c r="AA15" i="34"/>
  <c r="D90" i="34"/>
  <c r="F27" i="34"/>
  <c r="AA27" i="34"/>
  <c r="B127" i="34"/>
  <c r="F45" i="34"/>
  <c r="AA45" i="34"/>
  <c r="D126" i="34"/>
  <c r="E126" i="34"/>
  <c r="F44" i="34"/>
  <c r="AA44" i="34"/>
  <c r="D112" i="34"/>
  <c r="E112" i="34"/>
  <c r="F37" i="34"/>
  <c r="AA37" i="34"/>
  <c r="R49" i="34"/>
  <c r="H15" i="34"/>
  <c r="AB15" i="34"/>
  <c r="E90" i="34"/>
  <c r="H27" i="34"/>
  <c r="AB27" i="34"/>
  <c r="H45" i="34"/>
  <c r="AB45" i="34"/>
  <c r="T48" i="34"/>
  <c r="H34" i="34"/>
  <c r="AB34" i="34"/>
  <c r="H43" i="34"/>
  <c r="AB43" i="34"/>
  <c r="H44" i="34"/>
  <c r="AB44" i="34"/>
  <c r="H37" i="34"/>
  <c r="AB37" i="34"/>
  <c r="T49" i="34"/>
  <c r="J15" i="34"/>
  <c r="AC15" i="34"/>
  <c r="J27" i="34"/>
  <c r="AC27" i="34"/>
  <c r="J45" i="34"/>
  <c r="AC45" i="34"/>
  <c r="J44" i="34"/>
  <c r="AC44" i="34"/>
  <c r="J37" i="34"/>
  <c r="AC37" i="34"/>
  <c r="V49" i="34"/>
  <c r="R50" i="34"/>
  <c r="C50" i="34"/>
  <c r="B3" i="34"/>
  <c r="C20" i="9"/>
  <c r="F6" i="78"/>
  <c r="F8" i="78"/>
  <c r="F7" i="78"/>
  <c r="F9" i="78"/>
  <c r="C6" i="78"/>
  <c r="F4" i="73"/>
  <c r="I1" i="73"/>
  <c r="B39" i="1"/>
  <c r="F11" i="78"/>
  <c r="C10" i="78"/>
  <c r="C5" i="78"/>
  <c r="C32" i="78"/>
  <c r="C33" i="78"/>
  <c r="R6"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6" i="1"/>
  <c r="F41" i="78"/>
  <c r="C40" i="78"/>
  <c r="M6" i="78"/>
  <c r="M8" i="78"/>
  <c r="M7" i="78"/>
  <c r="M9" i="78"/>
  <c r="J6" i="78"/>
  <c r="M11" i="78"/>
  <c r="J10" i="78"/>
  <c r="J5" i="78"/>
  <c r="J26" i="78"/>
  <c r="J29" i="78"/>
  <c r="J60" i="78"/>
  <c r="L46" i="78"/>
  <c r="B2" i="78"/>
  <c r="B3" i="78"/>
  <c r="D20" i="9"/>
  <c r="C17" i="9"/>
  <c r="D17" i="9"/>
  <c r="C18" i="9"/>
  <c r="D18" i="9"/>
  <c r="G20" i="9"/>
  <c r="R24" i="31"/>
  <c r="S24" i="31"/>
  <c r="Q25" i="31"/>
  <c r="C25" i="31"/>
  <c r="R25" i="31"/>
  <c r="S25" i="31"/>
  <c r="Q26" i="31"/>
  <c r="C26" i="31"/>
  <c r="R26" i="31"/>
  <c r="S26" i="31"/>
  <c r="Q27" i="31"/>
  <c r="C27" i="31"/>
  <c r="R27" i="31"/>
  <c r="S27" i="31"/>
  <c r="Q28" i="31"/>
  <c r="C28" i="31"/>
  <c r="R28" i="31"/>
  <c r="S28" i="31"/>
  <c r="Q29" i="31"/>
  <c r="C29" i="31"/>
  <c r="R29" i="31"/>
  <c r="S29" i="31"/>
  <c r="Q30" i="31"/>
  <c r="C30" i="31"/>
  <c r="R30" i="31"/>
  <c r="S30" i="31"/>
  <c r="Q31" i="31"/>
  <c r="C31" i="31"/>
  <c r="R31" i="31"/>
  <c r="S31" i="31"/>
  <c r="Q32" i="31"/>
  <c r="C32" i="31"/>
  <c r="R32" i="31"/>
  <c r="S32" i="31"/>
  <c r="Q33" i="31"/>
  <c r="C33" i="31"/>
  <c r="R33" i="31"/>
  <c r="S33" i="31"/>
  <c r="Q34" i="31"/>
  <c r="C34" i="31"/>
  <c r="R34" i="31"/>
  <c r="S34" i="31"/>
  <c r="Q35" i="31"/>
  <c r="C35" i="31"/>
  <c r="R35" i="31"/>
  <c r="S35" i="31"/>
  <c r="Q36" i="31"/>
  <c r="C36" i="31"/>
  <c r="R36" i="31"/>
  <c r="S36" i="31"/>
  <c r="Q37" i="31"/>
  <c r="C37" i="31"/>
  <c r="R37" i="31"/>
  <c r="S37" i="31"/>
  <c r="Q38" i="31"/>
  <c r="C38" i="31"/>
  <c r="R38" i="31"/>
  <c r="S38" i="31"/>
  <c r="Q39" i="31"/>
  <c r="C39" i="31"/>
  <c r="R39" i="31"/>
  <c r="S39" i="31"/>
  <c r="Q40" i="31"/>
  <c r="C40" i="31"/>
  <c r="R40" i="31"/>
  <c r="S40" i="31"/>
  <c r="Q41" i="31"/>
  <c r="C41"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G14" i="74"/>
  <c r="D14" i="74"/>
  <c r="R22" i="31"/>
  <c r="F19" i="6"/>
  <c r="F20" i="6"/>
  <c r="A6" i="1"/>
  <c r="A7" i="1"/>
  <c r="G1" i="78"/>
  <c r="E19" i="6"/>
  <c r="K6" i="1"/>
  <c r="E20"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A5" i="3"/>
  <c r="BB5" i="3"/>
  <c r="E8" i="6"/>
  <c r="F27" i="6"/>
  <c r="E27" i="6"/>
  <c r="BQ13" i="3"/>
  <c r="BQ14" i="3"/>
  <c r="BQ15" i="3"/>
  <c r="BQ16" i="3"/>
  <c r="BQ17" i="3"/>
  <c r="BQ18" i="3"/>
  <c r="BQ19" i="3"/>
  <c r="BQ20" i="3"/>
  <c r="BQ21" i="3"/>
  <c r="BQ22" i="3"/>
  <c r="BQ23" i="3"/>
  <c r="BQ5" i="3"/>
  <c r="BS13" i="3"/>
  <c r="BS14" i="3"/>
  <c r="BS15" i="3"/>
  <c r="BS16" i="3"/>
  <c r="BS17" i="3"/>
  <c r="BS18" i="3"/>
  <c r="BS19" i="3"/>
  <c r="BS20" i="3"/>
  <c r="BS21" i="3"/>
  <c r="BS22" i="3"/>
  <c r="BS23" i="3"/>
  <c r="BS5" i="3"/>
  <c r="F28" i="6"/>
  <c r="BR13" i="3"/>
  <c r="BR14" i="3"/>
  <c r="BR15" i="3"/>
  <c r="BR16" i="3"/>
  <c r="BR17" i="3"/>
  <c r="BR18" i="3"/>
  <c r="BR19" i="3"/>
  <c r="BR20" i="3"/>
  <c r="BR21" i="3"/>
  <c r="BR22" i="3"/>
  <c r="BR23" i="3"/>
  <c r="BR5" i="3"/>
  <c r="BT13" i="3"/>
  <c r="BT14" i="3"/>
  <c r="BT15" i="3"/>
  <c r="BT16" i="3"/>
  <c r="BT17" i="3"/>
  <c r="BT18" i="3"/>
  <c r="BT19" i="3"/>
  <c r="BT20" i="3"/>
  <c r="BT21" i="3"/>
  <c r="BT22" i="3"/>
  <c r="BT23" i="3"/>
  <c r="BT5" i="3"/>
  <c r="G28" i="6"/>
  <c r="E28" i="6"/>
  <c r="K19" i="6"/>
  <c r="L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AZ5" i="3"/>
  <c r="AY6" i="3"/>
  <c r="D3" i="6"/>
  <c r="E3" i="6"/>
  <c r="H19" i="6"/>
  <c r="D19" i="6"/>
  <c r="R19" i="6"/>
  <c r="M6" i="1"/>
  <c r="S6" i="1"/>
  <c r="T6" i="1"/>
  <c r="M47" i="78"/>
  <c r="C34" i="34"/>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C37" i="34"/>
  <c r="I7" i="34"/>
  <c r="G7" i="34"/>
  <c r="D20" i="6"/>
  <c r="D21" i="6"/>
  <c r="D22" i="6"/>
  <c r="D23" i="6"/>
  <c r="D24" i="6"/>
  <c r="D25" i="6"/>
  <c r="D26" i="6"/>
  <c r="D27" i="6"/>
  <c r="D28" i="6"/>
  <c r="BM5" i="3"/>
  <c r="BO5" i="3"/>
  <c r="F29" i="6"/>
  <c r="BN5" i="3"/>
  <c r="BP5" i="3"/>
  <c r="G29" i="6"/>
  <c r="E29" i="6"/>
  <c r="D29" i="6"/>
  <c r="D30" i="6"/>
  <c r="D31" i="6"/>
  <c r="F30" i="6"/>
  <c r="F31" i="6"/>
  <c r="I6" i="6"/>
  <c r="Y6" i="1"/>
  <c r="K7" i="1"/>
  <c r="K8" i="1"/>
  <c r="K9" i="1"/>
  <c r="K10" i="1"/>
  <c r="K11" i="1"/>
  <c r="K12" i="1"/>
  <c r="K13" i="1"/>
  <c r="K14" i="1"/>
  <c r="K15" i="1"/>
  <c r="K16" i="1"/>
  <c r="B29" i="1"/>
  <c r="F15" i="78"/>
  <c r="F17" i="78"/>
  <c r="F18" i="78"/>
  <c r="F20" i="78"/>
  <c r="D3" i="73"/>
  <c r="B22" i="1"/>
  <c r="E1" i="73"/>
  <c r="K1" i="73"/>
  <c r="F23" i="78"/>
  <c r="F21" i="78"/>
  <c r="B43" i="1"/>
  <c r="B41" i="1"/>
  <c r="F28" i="78"/>
  <c r="C42" i="1"/>
  <c r="C28" i="78"/>
  <c r="F32" i="78"/>
  <c r="F33" i="78"/>
  <c r="B52" i="1"/>
  <c r="F34" i="78"/>
  <c r="R8" i="1"/>
  <c r="AE8" i="1"/>
  <c r="J50" i="78"/>
  <c r="J51" i="78"/>
  <c r="C83" i="78"/>
  <c r="C82" i="78"/>
  <c r="C76" i="78"/>
  <c r="C75" i="78"/>
  <c r="C80" i="78"/>
  <c r="C7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B24" i="1"/>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14" i="1"/>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E21" i="6"/>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112" i="34"/>
  <c r="G112" i="34"/>
  <c r="H112" i="34"/>
  <c r="I112" i="34"/>
  <c r="J112" i="34"/>
  <c r="K112" i="34"/>
  <c r="L112" i="34"/>
  <c r="M112" i="34"/>
  <c r="F40" i="33"/>
  <c r="J41" i="33"/>
  <c r="D113" i="33"/>
  <c r="F37" i="33"/>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E78" i="34"/>
  <c r="F78" i="34"/>
  <c r="G78" i="34"/>
  <c r="D70" i="34"/>
  <c r="E70" i="34"/>
  <c r="M68" i="34"/>
  <c r="L68" i="34"/>
  <c r="K68" i="34"/>
  <c r="J68" i="34"/>
  <c r="I68" i="34"/>
  <c r="H68" i="34"/>
  <c r="G68" i="34"/>
  <c r="F68" i="34"/>
  <c r="E68" i="34"/>
  <c r="D68" i="34"/>
  <c r="C68" i="34"/>
  <c r="C64" i="34"/>
  <c r="P50" i="34"/>
  <c r="P49" i="34"/>
  <c r="V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AZ80" i="3"/>
  <c r="AZ84" i="3"/>
  <c r="AZ88" i="3"/>
  <c r="AZ107" i="3"/>
  <c r="AZ111" i="3"/>
  <c r="M12" i="1"/>
  <c r="O12" i="1"/>
  <c r="P12" i="1"/>
  <c r="S13" i="1"/>
  <c r="AR13" i="1"/>
  <c r="R13" i="1"/>
  <c r="S11" i="1"/>
  <c r="AQ11" i="1"/>
  <c r="R11" i="1"/>
  <c r="S9" i="1"/>
  <c r="AR9" i="1"/>
  <c r="R9" i="1"/>
  <c r="J51" i="67"/>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10" i="6"/>
  <c r="E11" i="6"/>
  <c r="E60" i="39"/>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68"/>
  <c r="C10" i="68"/>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22" i="6"/>
  <c r="D16" i="6"/>
  <c r="A7" i="51"/>
  <c r="B7" i="72"/>
  <c r="C4" i="52"/>
  <c r="B45" i="72"/>
  <c r="A10" i="51"/>
  <c r="B9" i="72"/>
  <c r="H27" i="6"/>
  <c r="R27" i="6"/>
  <c r="I5" i="6"/>
  <c r="E2" i="70"/>
  <c r="C34" i="69"/>
  <c r="C35" i="69"/>
  <c r="D10" i="69"/>
  <c r="C10" i="69"/>
  <c r="S16" i="1"/>
  <c r="L48" i="15"/>
  <c r="J53" i="15"/>
  <c r="F1" i="15"/>
  <c r="AE7" i="1"/>
  <c r="T1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D19" i="68"/>
  <c r="C19" i="68"/>
  <c r="F22" i="68"/>
  <c r="C24" i="68"/>
  <c r="C26" i="68"/>
  <c r="D22" i="68"/>
  <c r="C29" i="68"/>
  <c r="D27" i="68"/>
  <c r="C35" i="68"/>
  <c r="C36" i="68"/>
  <c r="D37" i="68"/>
  <c r="C37" i="68"/>
  <c r="C38" i="68"/>
  <c r="C33" i="68"/>
  <c r="C39" i="68"/>
  <c r="C42" i="68"/>
  <c r="C43" i="68"/>
  <c r="C41" i="68"/>
  <c r="C46" i="68"/>
  <c r="C45" i="68"/>
  <c r="C44" i="68"/>
  <c r="D41" i="68"/>
  <c r="C47" i="68"/>
  <c r="D45" i="68"/>
  <c r="C49" i="68"/>
  <c r="C51" i="68"/>
  <c r="B2" i="34"/>
  <c r="C19" i="9"/>
  <c r="D34" i="9"/>
  <c r="E13" i="76"/>
  <c r="M6" i="67"/>
  <c r="F7" i="15"/>
  <c r="F16" i="67"/>
  <c r="F13" i="15"/>
  <c r="AO12" i="1"/>
  <c r="E2" i="68"/>
  <c r="F26" i="15"/>
  <c r="F42" i="67"/>
  <c r="M28" i="67"/>
  <c r="L47" i="67"/>
  <c r="F36" i="67"/>
  <c r="B8" i="76"/>
  <c r="AO6" i="1"/>
  <c r="B6" i="70"/>
  <c r="F6" i="15"/>
  <c r="F8" i="15"/>
  <c r="F9" i="15"/>
  <c r="C6" i="15"/>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AO7" i="1"/>
  <c r="B7" i="70"/>
  <c r="AO8" i="1"/>
  <c r="B8" i="70"/>
  <c r="AO9" i="1"/>
  <c r="B9" i="70"/>
  <c r="AO10" i="1"/>
  <c r="B10" i="70"/>
  <c r="AO11" i="1"/>
  <c r="B11" i="70"/>
  <c r="B12" i="70"/>
  <c r="AO13" i="1"/>
  <c r="B13" i="70"/>
  <c r="B2" i="70"/>
  <c r="B3" i="70"/>
  <c r="D2" i="34"/>
  <c r="F7" i="34"/>
  <c r="AA7" i="34"/>
  <c r="C76" i="67"/>
  <c r="M28" i="15"/>
  <c r="L48" i="67"/>
  <c r="M29" i="15"/>
  <c r="F20" i="31"/>
  <c r="D2" i="33"/>
  <c r="M24" i="15"/>
  <c r="D35" i="9"/>
  <c r="F6" i="67"/>
  <c r="E2" i="69"/>
  <c r="F7" i="73"/>
  <c r="F8" i="67"/>
  <c r="M24" i="67"/>
  <c r="F9" i="67"/>
  <c r="B7" i="76"/>
  <c r="F6" i="73"/>
  <c r="D2" i="35"/>
  <c r="D6" i="73"/>
  <c r="M9" i="67"/>
  <c r="M26" i="15"/>
  <c r="L47" i="15"/>
  <c r="F37" i="67"/>
  <c r="B9" i="76"/>
  <c r="C76" i="15"/>
  <c r="F41" i="67"/>
  <c r="M29" i="67"/>
  <c r="F26" i="67"/>
  <c r="M26" i="67"/>
  <c r="D4" i="73"/>
  <c r="E11" i="76"/>
  <c r="M22" i="67"/>
  <c r="D2" i="21"/>
  <c r="M21" i="67"/>
  <c r="F5" i="73"/>
  <c r="D7" i="73"/>
  <c r="B11" i="76"/>
  <c r="J15" i="15"/>
  <c r="F43" i="67"/>
  <c r="F38" i="67"/>
  <c r="F40" i="67"/>
  <c r="B12" i="76"/>
  <c r="E9" i="76"/>
  <c r="M8" i="67"/>
  <c r="E10" i="76"/>
  <c r="F35" i="67"/>
  <c r="E7" i="76"/>
  <c r="B10" i="76"/>
  <c r="D19" i="9"/>
  <c r="M22" i="15"/>
  <c r="B13" i="76"/>
  <c r="M23" i="67"/>
  <c r="M23" i="15"/>
  <c r="F7" i="67"/>
  <c r="D2" i="37"/>
  <c r="M21" i="15"/>
  <c r="F13" i="67"/>
  <c r="M27" i="67"/>
  <c r="J15" i="67"/>
  <c r="E12" i="76"/>
  <c r="D2" i="36"/>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D102" i="9"/>
  <c r="D21" i="9"/>
  <c r="Q71" i="15"/>
  <c r="F63" i="15"/>
  <c r="C62" i="15"/>
  <c r="L56" i="15"/>
  <c r="J57" i="15"/>
  <c r="J55" i="15"/>
  <c r="J58" i="15"/>
  <c r="Q50" i="15"/>
  <c r="I54" i="15"/>
  <c r="B20" i="31"/>
  <c r="B21" i="31"/>
  <c r="F51" i="67"/>
  <c r="F65" i="67"/>
  <c r="J20" i="67"/>
  <c r="J53" i="67"/>
  <c r="J57" i="67"/>
  <c r="J55" i="67"/>
  <c r="J58" i="67"/>
  <c r="Q50" i="67"/>
  <c r="L56" i="67"/>
  <c r="I54" i="67"/>
  <c r="F69" i="15"/>
  <c r="F50" i="15"/>
  <c r="F51" i="15"/>
  <c r="F71" i="15"/>
  <c r="F69" i="67"/>
  <c r="F66" i="67"/>
  <c r="M59" i="15"/>
  <c r="L59" i="15"/>
  <c r="N59" i="15"/>
  <c r="L58" i="15"/>
  <c r="F66" i="15"/>
  <c r="Q71" i="67"/>
  <c r="F64" i="15"/>
  <c r="F70" i="67"/>
  <c r="D103" i="9"/>
  <c r="C27" i="67"/>
  <c r="F71" i="67"/>
  <c r="F65" i="15"/>
  <c r="C103" i="9"/>
  <c r="N59" i="67"/>
  <c r="L59" i="67"/>
  <c r="L58" i="67"/>
  <c r="M59" i="67"/>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J59"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L51" i="15"/>
  <c r="L57" i="15"/>
  <c r="L60"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B3" i="15"/>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C6" i="68"/>
  <c r="C7" i="68"/>
  <c r="C5" i="68"/>
  <c r="C20" i="68"/>
  <c r="C23" i="68"/>
  <c r="C25" i="68"/>
  <c r="C22" i="68"/>
  <c r="C28" i="68"/>
  <c r="C27" i="68"/>
  <c r="C31" i="68"/>
  <c r="C52" i="68"/>
  <c r="C57" i="68"/>
  <c r="C56" i="68"/>
  <c r="B2" i="68"/>
  <c r="B3" i="68"/>
  <c r="B5" i="74"/>
  <c r="C5" i="74"/>
  <c r="D5" i="74"/>
  <c r="F14" i="74"/>
  <c r="E14" i="74"/>
  <c r="B6" i="74"/>
  <c r="C6" i="74"/>
  <c r="D6" i="74"/>
  <c r="H5" i="52"/>
  <c r="H119" i="9"/>
  <c r="B53" i="72"/>
  <c r="F5" i="52"/>
  <c r="F119" i="9"/>
  <c r="B22" i="72"/>
  <c r="D6" i="53"/>
  <c r="C86" i="9"/>
  <c r="C93" i="9"/>
  <c r="B51" i="72"/>
  <c r="F4" i="52"/>
  <c r="H108" i="9"/>
  <c r="D15" i="53"/>
  <c r="B31" i="72"/>
  <c r="D9" i="52"/>
  <c r="D123" i="9"/>
  <c r="B21" i="72"/>
  <c r="D7" i="53"/>
  <c r="H102" i="9"/>
  <c r="E81" i="9"/>
  <c r="E80" i="9"/>
  <c r="C80" i="9"/>
  <c r="N60" i="9"/>
  <c r="N59" i="9"/>
  <c r="N61" i="9"/>
  <c r="B47" i="72"/>
  <c r="D4" i="52"/>
  <c r="C73" i="9"/>
  <c r="C78" i="9"/>
  <c r="D54" i="9"/>
  <c r="C68" i="9"/>
  <c r="B30" i="72"/>
  <c r="M48" i="9"/>
  <c r="C72" i="9"/>
  <c r="C79" i="9"/>
  <c r="C81" i="9"/>
  <c r="D13" i="53"/>
  <c r="D14" i="53"/>
  <c r="B32" i="72"/>
  <c r="D118" i="9"/>
  <c r="D119" i="9"/>
  <c r="D5" i="52"/>
  <c r="B49" i="72"/>
  <c r="C97" i="9"/>
  <c r="D58" i="9"/>
  <c r="D56" i="9"/>
  <c r="M54" i="9"/>
  <c r="C85" i="9"/>
  <c r="C95" i="9"/>
  <c r="C96" i="9"/>
  <c r="E96" i="9"/>
  <c r="E97" i="9"/>
  <c r="C64" i="9"/>
  <c r="C63" i="9"/>
  <c r="C67" i="9"/>
  <c r="D59" i="9"/>
  <c r="M55" i="9"/>
  <c r="D122" i="9"/>
  <c r="D8" i="52"/>
  <c r="D5" i="53"/>
  <c r="B20" i="72"/>
  <c r="E118" i="9"/>
  <c r="E4" i="52"/>
  <c r="B48" i="72"/>
  <c r="F118" i="9"/>
  <c r="G118" i="9"/>
  <c r="G4" i="52"/>
  <c r="B52" i="72"/>
  <c r="D53" i="9"/>
  <c r="D52" i="9"/>
  <c r="I4" i="52"/>
  <c r="C105" i="9"/>
  <c r="C104" i="9"/>
  <c r="H4" i="52"/>
  <c r="N58" i="9"/>
  <c r="D45" i="9"/>
  <c r="D55" i="9"/>
  <c r="M53" i="9"/>
  <c r="N57" i="9"/>
  <c r="P57" i="9"/>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<sst xmlns="http://schemas.openxmlformats.org/spreadsheetml/2006/main" count="8005" uniqueCount="3272">
  <si>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</si>
  <si>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</si>
  <si>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</si>
  <si>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</si>
  <si>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</si>
  <si>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</si>
  <si>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</si>
  <si>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</si>
  <si>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</si>
  <si>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</si>
  <si>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</si>
  <si>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</si>
  <si>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</si>
  <si>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</si>
  <si>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</si>
  <si>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</si>
  <si>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</si>
  <si>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</si>
  <si>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</si>
  <si>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</si>
  <si>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</si>
  <si>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</si>
  <si>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</si>
  <si>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</si>
  <si>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</si>
  <si>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</si>
  <si>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</si>
  <si>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</si>
  <si>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</si>
  <si>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</si>
  <si>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</si>
  <si>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</si>
  <si>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</si>
  <si>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</si>
  <si>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</si>
  <si>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</si>
  <si>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</si>
  <si>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</si>
  <si>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</si>
  <si>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</si>
  <si>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</si>
  <si>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</si>
  <si>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</si>
  <si>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</si>
  <si>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</si>
  <si>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</si>
  <si>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</si>
  <si>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</si>
  <si>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</si>
  <si>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</si>
  <si>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</si>
  <si>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</si>
  <si>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</si>
  <si>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</si>
  <si>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</si>
  <si>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</si>
  <si>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</si>
  <si>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</si>
  <si>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</si>
  <si>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</si>
  <si>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</si>
  <si>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</si>
  <si>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</si>
  <si>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</si>
  <si>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</si>
  <si>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</si>
  <si>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</si>
  <si>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</si>
  <si>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</si>
  <si>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</si>
  <si>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</si>
  <si>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</si>
  <si>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</si>
  <si>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</si>
  <si>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</si>
  <si>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</si>
  <si>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</si>
  <si>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</si>
  <si>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</si>
  <si>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</si>
  <si>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</si>
  <si>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</si>
  <si>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</si>
  <si>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</si>
  <si>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</si>
  <si>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</si>
  <si>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</si>
  <si>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</si>
  <si>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</si>
  <si>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</si>
  <si>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</si>
  <si>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</si>
  <si>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</si>
  <si>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</si>
  <si>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</si>
  <si>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</si>
  <si>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</si>
  <si>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</si>
  <si>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</si>
  <si>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</si>
  <si>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</si>
  <si>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</si>
  <si>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</si>
  <si>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</si>
  <si>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</si>
  <si>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</si>
  <si>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</si>
  <si>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</si>
  <si>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</si>
  <si>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</si>
  <si>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</si>
  <si>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</si>
  <si>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</si>
  <si>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</si>
  <si>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</si>
  <si>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</si>
  <si>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</si>
  <si>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</si>
  <si>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</si>
  <si>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</si>
  <si>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</si>
  <si>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</si>
  <si>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</si>
  <si>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</si>
  <si>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</si>
  <si>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</si>
  <si>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</si>
  <si>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</si>
  <si>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</si>
  <si>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</si>
  <si>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</si>
  <si>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</si>
  <si>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</si>
  <si>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</si>
  <si>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</si>
  <si>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</si>
  <si>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</si>
  <si>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</si>
  <si>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</si>
  <si>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</si>
  <si>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</si>
  <si>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</si>
  <si>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</si>
  <si>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</si>
  <si>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</si>
  <si>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</si>
  <si>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</si>
  <si>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</si>
  <si>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</si>
  <si>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</si>
  <si>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</si>
  <si>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</si>
  <si>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</si>
  <si>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</si>
  <si>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</si>
  <si>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</si>
  <si>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</si>
  <si>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</si>
  <si>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</si>
  <si>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</si>
  <si>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</si>
  <si>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</si>
  <si>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</si>
  <si>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</si>
  <si>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</si>
  <si>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</si>
  <si>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</si>
  <si>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</si>
  <si>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</si>
  <si>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</si>
  <si>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</si>
  <si>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</si>
  <si>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</si>
  <si>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</si>
  <si>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</si>
  <si>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</si>
  <si>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</si>
  <si>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</si>
  <si>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</si>
  <si>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</si>
  <si>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</si>
  <si>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</si>
  <si>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</si>
  <si>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</si>
  <si>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</si>
  <si>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</si>
  <si>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</si>
  <si>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</si>
  <si>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</si>
  <si>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</si>
  <si>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</si>
  <si>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</si>
  <si>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</si>
  <si>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</si>
  <si>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</si>
  <si>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</si>
  <si>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</si>
  <si>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</si>
  <si>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</si>
  <si>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</si>
  <si>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</si>
  <si>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</si>
  <si>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</si>
  <si>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</si>
  <si>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</si>
  <si>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</si>
  <si>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</si>
  <si>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</si>
  <si>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</si>
  <si>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</si>
  <si>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</si>
  <si>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</si>
  <si>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</si>
  <si>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</si>
  <si>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</si>
  <si>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</si>
  <si>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</si>
  <si>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</si>
  <si>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</si>
  <si>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</si>
  <si>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</si>
  <si>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</si>
  <si>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</si>
  <si>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</si>
  <si>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</si>
  <si>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</si>
  <si>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</si>
  <si>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</si>
  <si>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</si>
  <si>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</si>
  <si>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</si>
  <si>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</si>
  <si>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</si>
  <si>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</si>
  <si>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</si>
  <si>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</si>
  <si>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</si>
  <si>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</si>
  <si>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</si>
  <si>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</si>
  <si>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</si>
  <si>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</si>
  <si>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</si>
  <si>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</si>
  <si>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</si>
  <si>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</si>
  <si>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</si>
  <si>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</si>
  <si>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</si>
  <si>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</si>
  <si>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</si>
  <si>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</si>
  <si>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</si>
  <si>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</si>
  <si>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</si>
  <si>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</si>
  <si>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</si>
  <si>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</si>
  <si>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</si>
  <si>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</si>
  <si>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</si>
  <si>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</si>
  <si>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</si>
  <si>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</si>
  <si>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</si>
  <si>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</si>
  <si>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</si>
  <si>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</si>
  <si>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</si>
  <si>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</si>
  <si>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</si>
  <si>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</si>
  <si>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</si>
  <si>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</si>
  <si>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</si>
  <si>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</si>
  <si>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</si>
  <si>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</si>
  <si>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</si>
  <si>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</si>
  <si>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</si>
  <si>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</si>
  <si>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</si>
  <si>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</si>
  <si>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</si>
  <si>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</si>
  <si>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</si>
  <si>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</si>
  <si>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</si>
  <si>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</si>
  <si>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</si>
  <si>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</si>
  <si>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</si>
  <si>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</si>
  <si>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</si>
  <si>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</si>
  <si>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</si>
  <si>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</si>
  <si>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</si>
  <si>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</si>
  <si>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</si>
  <si>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</si>
  <si>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</si>
  <si>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</si>
  <si>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</si>
  <si>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</si>
  <si>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</si>
  <si>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</si>
  <si>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</si>
  <si>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</si>
  <si>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</si>
  <si>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</si>
  <si>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</si>
  <si>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</si>
  <si>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</si>
  <si>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</si>
  <si>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</si>
  <si>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</si>
  <si>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</si>
  <si>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</si>
  <si>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</si>
  <si>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</si>
  <si>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</si>
  <si>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</si>
  <si>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</si>
  <si>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</si>
  <si>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</si>
  <si>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</si>
  <si>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</si>
  <si>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</si>
  <si>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</si>
  <si>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</si>
  <si>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</si>
  <si>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</si>
  <si>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</si>
  <si>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</si>
  <si>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</si>
  <si>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</si>
  <si>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</si>
  <si>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</si>
  <si>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</si>
  <si>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</si>
  <si>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</si>
  <si>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</si>
  <si>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</si>
  <si>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</si>
  <si>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</si>
  <si>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</si>
  <si>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</si>
  <si>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</si>
  <si>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</si>
  <si>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</si>
  <si>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</si>
  <si>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</si>
  <si>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</si>
  <si>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</si>
  <si>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</si>
  <si>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</si>
  <si>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</si>
  <si>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</si>
  <si>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</si>
  <si>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</si>
  <si>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</si>
  <si>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</si>
  <si>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</si>
  <si>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</si>
  <si>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</si>
  <si>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</si>
  <si>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</si>
  <si>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</si>
  <si>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</si>
  <si>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</si>
  <si>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</si>
  <si>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</si>
  <si>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</si>
  <si>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</si>
  <si>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</si>
  <si>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</si>
  <si>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</si>
  <si>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</si>
  <si>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</si>
  <si>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</si>
  <si>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</si>
  <si>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</si>
  <si>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</si>
  <si>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</si>
  <si>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</si>
  <si>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</si>
  <si>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</si>
  <si>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</si>
  <si>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</si>
  <si>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</si>
  <si>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</si>
  <si>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</si>
  <si>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</si>
  <si>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</si>
  <si>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</si>
  <si>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</si>
  <si>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</si>
  <si>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</si>
  <si>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</si>
  <si>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</si>
  <si>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</si>
  <si>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</si>
  <si>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</si>
  <si>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</si>
  <si>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</si>
  <si>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</si>
  <si>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</si>
  <si>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</si>
  <si>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</si>
  <si>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</si>
  <si>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</si>
  <si>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</si>
  <si>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</si>
  <si>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</si>
  <si>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</si>
  <si>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</si>
  <si>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</si>
  <si>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</si>
  <si>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</si>
  <si>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</si>
  <si>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</si>
  <si>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</si>
  <si>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</si>
  <si>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</si>
  <si>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</si>
  <si>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</si>
  <si>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</si>
  <si>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</si>
  <si>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</si>
  <si>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</si>
  <si>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</si>
  <si>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</si>
  <si>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</si>
  <si>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</si>
  <si>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</si>
  <si>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</si>
  <si>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</si>
  <si>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</si>
  <si>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</si>
  <si>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</si>
  <si>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</si>
  <si>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</si>
  <si>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</si>
  <si>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</si>
  <si>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</si>
  <si>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</si>
  <si>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</si>
  <si>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</si>
  <si>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</si>
  <si>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</si>
  <si>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</si>
  <si>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</si>
  <si>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</si>
  <si>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</si>
  <si>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</si>
  <si>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</si>
  <si>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</si>
  <si>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</si>
  <si>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</si>
  <si>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</si>
  <si>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</si>
  <si>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</si>
  <si>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</si>
  <si>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</si>
  <si>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</si>
  <si>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</si>
  <si>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</si>
  <si>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</si>
  <si>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</si>
  <si>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</si>
  <si>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</si>
  <si>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</si>
  <si>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</si>
  <si>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</si>
  <si>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</si>
  <si>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</si>
  <si>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</si>
  <si>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</si>
  <si>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</si>
  <si>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</si>
  <si>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</si>
  <si>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</si>
  <si>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</si>
  <si>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</si>
  <si>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</si>
  <si>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</si>
  <si>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</si>
  <si>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</si>
  <si>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</si>
  <si>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</si>
  <si>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</si>
  <si>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</si>
  <si>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</si>
  <si>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</si>
  <si>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</si>
  <si>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</si>
  <si>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</si>
  <si>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</si>
  <si>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</si>
  <si>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</si>
  <si>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</si>
  <si>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</si>
  <si>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</si>
  <si>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</si>
  <si>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</si>
  <si>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</si>
  <si>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</si>
  <si>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</si>
  <si>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</si>
  <si>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</si>
  <si>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</si>
  <si>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</si>
  <si>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</si>
  <si>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</si>
  <si>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</si>
  <si>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</si>
  <si>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</si>
  <si>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</si>
  <si>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</si>
  <si>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</si>
  <si>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</si>
  <si>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</si>
  <si>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</si>
  <si>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</si>
  <si>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</si>
  <si>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</si>
  <si>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</si>
  <si>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</si>
  <si>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</si>
  <si>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</si>
  <si>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</si>
  <si>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</si>
  <si>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</si>
  <si>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</si>
  <si>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</si>
  <si>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</si>
  <si>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</si>
  <si>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</si>
  <si>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</si>
  <si>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</si>
  <si>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</si>
  <si>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</si>
  <si>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</si>
  <si>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</si>
  <si>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</si>
  <si>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</si>
  <si>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</si>
  <si>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</si>
  <si>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</si>
  <si>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</si>
  <si>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</si>
  <si>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</si>
  <si>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</si>
  <si>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</si>
  <si>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</si>
  <si>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</si>
  <si>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</si>
  <si>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</si>
  <si>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</si>
  <si>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</si>
  <si>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</si>
  <si>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</si>
  <si>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</si>
  <si>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</si>
  <si>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</si>
  <si>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</si>
  <si>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</si>
  <si>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</si>
  <si>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</si>
  <si>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</si>
  <si>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</si>
  <si>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</si>
  <si>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</si>
  <si>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</si>
  <si>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</si>
  <si>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</si>
  <si>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</si>
  <si>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</si>
  <si>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</si>
  <si>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</si>
  <si>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</si>
  <si>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</si>
  <si>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</si>
  <si>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</si>
  <si>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</si>
  <si>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</si>
  <si>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</si>
  <si>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</si>
  <si>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</si>
  <si>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</si>
  <si>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</si>
  <si>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</si>
  <si>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</si>
  <si>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</si>
  <si>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</si>
  <si>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</si>
  <si>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</si>
  <si>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</si>
  <si>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</si>
  <si>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</si>
  <si>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</si>
  <si>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</si>
  <si>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</si>
  <si>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</si>
  <si>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</si>
  <si>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</si>
  <si>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</si>
  <si>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</si>
  <si>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</si>
  <si>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</si>
  <si>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</si>
  <si>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</si>
  <si>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</si>
  <si>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</si>
  <si>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</si>
  <si>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</si>
  <si>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</si>
  <si>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</si>
  <si>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</si>
  <si>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</si>
  <si>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</si>
  <si>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</si>
  <si>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</si>
  <si>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</si>
  <si>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</si>
  <si>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</si>
  <si>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</si>
  <si>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</si>
  <si>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</si>
  <si>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</si>
  <si>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</si>
  <si>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</si>
  <si>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</si>
  <si>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</si>
  <si>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</si>
  <si>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</si>
  <si>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</si>
  <si>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</si>
  <si>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</si>
  <si>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</si>
  <si>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</si>
  <si>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</si>
  <si>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</si>
  <si>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</si>
  <si>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</si>
  <si>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</si>
  <si>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</si>
  <si>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</si>
  <si>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</si>
  <si>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</si>
  <si>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</si>
  <si>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</si>
  <si>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</si>
  <si>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</si>
  <si>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</si>
  <si>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</si>
  <si>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</si>
  <si>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</si>
  <si>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</si>
  <si>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</si>
  <si>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</si>
  <si>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</si>
  <si>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</si>
  <si>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</si>
  <si>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</si>
  <si>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</si>
  <si>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</si>
  <si>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</si>
  <si>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</si>
  <si>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</si>
  <si>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</si>
  <si>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</si>
  <si>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</si>
  <si>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</si>
  <si>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</si>
  <si>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</si>
  <si>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</si>
  <si>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</si>
  <si>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</si>
  <si>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</si>
  <si>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</si>
  <si>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</si>
  <si>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</si>
  <si>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</si>
  <si>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</si>
  <si>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</si>
  <si>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</si>
  <si>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</si>
  <si>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</si>
  <si>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</si>
  <si>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</si>
  <si>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</si>
  <si>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</si>
  <si>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</si>
  <si>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</si>
  <si>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</si>
  <si>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</si>
  <si>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</si>
  <si>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</si>
  <si>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</si>
  <si>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</si>
  <si>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</si>
  <si>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</si>
  <si>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</si>
  <si>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</si>
  <si>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</si>
  <si>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</si>
  <si>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</si>
  <si>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</si>
  <si>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</si>
  <si>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</si>
  <si>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</si>
  <si>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</si>
  <si>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</si>
  <si>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</si>
  <si>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</si>
  <si>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</si>
  <si>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</si>
  <si>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</si>
  <si>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</si>
  <si>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</si>
  <si>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</si>
  <si>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</si>
  <si>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</si>
  <si>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</si>
  <si>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</si>
  <si>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</si>
  <si>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</si>
  <si>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</si>
  <si>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</si>
  <si>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</si>
  <si>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</si>
  <si>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</si>
  <si>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</si>
  <si>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</si>
  <si>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</si>
  <si>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</si>
  <si>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</si>
  <si>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</si>
  <si>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</si>
  <si>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</si>
  <si>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</si>
  <si>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</si>
  <si>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</si>
  <si>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</si>
  <si>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</si>
  <si>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</si>
  <si>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</si>
  <si>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</si>
  <si>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</si>
  <si>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</si>
  <si>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</si>
  <si>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</si>
  <si>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</si>
  <si>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</si>
  <si>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</si>
  <si>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</si>
  <si>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</si>
  <si>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</si>
  <si>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</si>
  <si>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</si>
  <si>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</si>
  <si>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</si>
  <si>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</si>
  <si>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</si>
  <si>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</si>
  <si>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</si>
  <si>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</si>
  <si>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</si>
  <si>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</si>
  <si>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</si>
  <si>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</si>
  <si>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</si>
  <si>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</si>
  <si>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</si>
  <si>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</si>
  <si>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</si>
  <si>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</si>
  <si>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</si>
  <si>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</si>
  <si>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</si>
  <si>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</si>
  <si>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</si>
  <si>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</si>
  <si>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</si>
  <si>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</si>
  <si>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</si>
  <si>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</si>
  <si>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</si>
  <si>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</si>
  <si>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</si>
  <si>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</si>
  <si>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</si>
  <si>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</si>
  <si>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</si>
  <si>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</si>
  <si>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</si>
  <si>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</si>
  <si>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</si>
  <si>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</si>
  <si>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</si>
  <si>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</si>
  <si>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</si>
  <si>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</si>
  <si>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</si>
  <si>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</si>
  <si>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</si>
  <si>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</si>
  <si>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</si>
  <si>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</si>
  <si>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</si>
  <si>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</si>
  <si>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</si>
  <si>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</si>
  <si>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</si>
  <si>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</si>
  <si>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</si>
  <si>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</si>
  <si>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</si>
  <si>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</si>
  <si>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</si>
  <si>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</si>
  <si>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</si>
  <si>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</si>
  <si>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</si>
  <si>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</si>
  <si>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</si>
  <si>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</si>
  <si>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</si>
  <si>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</si>
  <si>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</si>
  <si>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</si>
  <si>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</si>
  <si>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</si>
  <si>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</si>
  <si>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</si>
  <si>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</si>
  <si>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</si>
  <si>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</si>
  <si>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</si>
  <si>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</si>
  <si>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</si>
  <si>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</si>
  <si>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</si>
  <si>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</si>
  <si>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</si>
  <si>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</si>
  <si>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</si>
  <si>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</si>
  <si>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</si>
  <si>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</si>
  <si>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</si>
  <si>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</si>
  <si>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</si>
  <si>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</si>
  <si>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</si>
  <si>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</si>
  <si>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</si>
  <si>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</si>
  <si>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</si>
  <si>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</si>
  <si>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</si>
  <si>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</si>
  <si>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</si>
  <si>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</si>
  <si>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</si>
  <si>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</si>
  <si>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</si>
  <si>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</si>
  <si>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</si>
  <si>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</si>
  <si>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</si>
  <si>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</si>
  <si>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</si>
  <si>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</si>
  <si>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</si>
  <si>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</si>
  <si>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</si>
  <si>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</si>
  <si>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</si>
  <si>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</si>
  <si>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</si>
  <si>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</si>
  <si>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</si>
  <si>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</si>
  <si>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</si>
  <si>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</si>
  <si>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</si>
  <si>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</si>
  <si>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</si>
  <si>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</si>
  <si>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</si>
  <si>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</si>
  <si>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</si>
  <si>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</si>
  <si>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</si>
  <si>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</si>
  <si>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</si>
  <si>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</si>
  <si>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</si>
  <si>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</si>
  <si>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</si>
  <si>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</si>
  <si>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</si>
  <si>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</si>
  <si>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</si>
  <si>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</si>
  <si>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</si>
  <si>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</si>
  <si>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</si>
  <si>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</si>
  <si>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</si>
  <si>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</si>
  <si>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</si>
  <si>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</si>
  <si>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</si>
  <si>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</si>
  <si>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</si>
  <si>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</si>
  <si>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</si>
  <si>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</si>
  <si>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</si>
  <si>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</si>
  <si>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</si>
  <si>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</si>
  <si>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</si>
  <si>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</si>
  <si>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</si>
  <si>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</si>
  <si>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</si>
  <si>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</si>
  <si>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</si>
  <si>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</si>
  <si>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</si>
  <si>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</si>
  <si>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</si>
  <si>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</si>
  <si>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</si>
  <si>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</si>
  <si>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</si>
  <si>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</si>
  <si>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</si>
  <si>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</si>
  <si>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</si>
  <si>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</si>
  <si>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</si>
  <si>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</si>
  <si>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</si>
  <si>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</si>
  <si>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</si>
  <si>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</si>
  <si>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</si>
  <si>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</si>
  <si>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</si>
  <si>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</si>
  <si>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</si>
  <si>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</si>
  <si>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</si>
  <si>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</si>
  <si>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</si>
  <si>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</si>
  <si>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</si>
  <si>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</si>
  <si>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</si>
  <si>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</si>
  <si>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</si>
  <si>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</si>
  <si>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</si>
  <si>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</si>
  <si>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</si>
  <si>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</si>
  <si>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</si>
  <si>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</si>
  <si>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</si>
  <si>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</si>
  <si>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</si>
  <si>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</si>
  <si>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</si>
  <si>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</si>
  <si>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</si>
  <si>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</si>
  <si>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</si>
  <si>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</si>
  <si>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</si>
  <si>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</si>
  <si>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</si>
  <si>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</si>
  <si>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</si>
  <si>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</si>
  <si>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</si>
  <si>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</si>
  <si>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</si>
  <si>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</si>
  <si>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</si>
  <si>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</si>
  <si>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</si>
  <si>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</si>
  <si>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</si>
  <si>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</si>
  <si>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</si>
  <si>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</si>
  <si>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</si>
  <si>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</si>
  <si>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</si>
  <si>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</si>
  <si>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</si>
  <si>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</si>
  <si>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</si>
  <si>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</si>
  <si>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</si>
  <si>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</si>
  <si>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</si>
  <si>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</si>
  <si>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</si>
  <si>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</si>
  <si>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</si>
  <si>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</si>
  <si>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</si>
  <si>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</si>
  <si>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</si>
  <si>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</si>
  <si>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</si>
  <si>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</si>
  <si>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</si>
  <si>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</si>
  <si>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</si>
  <si>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</si>
  <si>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</si>
  <si>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</si>
  <si>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</si>
  <si>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</si>
  <si>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</si>
  <si>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</si>
  <si>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</si>
  <si>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</si>
  <si>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</si>
  <si>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</si>
  <si>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</si>
  <si>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</si>
  <si>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</si>
  <si>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</si>
  <si>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</si>
  <si>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</si>
  <si>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</si>
  <si>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</si>
  <si>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</si>
  <si>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</si>
  <si>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</si>
  <si>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</si>
  <si>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</si>
  <si>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</si>
  <si>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</si>
  <si>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</si>
  <si>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</si>
  <si>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</si>
  <si>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</si>
  <si>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</si>
  <si>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</si>
  <si>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</si>
  <si>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</si>
  <si>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</si>
  <si>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</si>
  <si>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</si>
  <si>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</si>
  <si>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</si>
  <si>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</si>
  <si>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</si>
  <si>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</si>
  <si>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</si>
  <si>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</si>
  <si>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</si>
  <si>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</si>
  <si>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</si>
  <si>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</si>
  <si>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</si>
  <si>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</si>
  <si>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</si>
  <si>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</si>
  <si>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</si>
  <si>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</si>
  <si>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</si>
  <si>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</si>
  <si>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</si>
  <si>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</si>
  <si>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</si>
  <si>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</si>
  <si>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</si>
  <si>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</si>
  <si>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</si>
  <si>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</si>
  <si>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</si>
  <si>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</si>
  <si>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</si>
  <si>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</si>
  <si>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</si>
  <si>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</si>
  <si>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</si>
  <si>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</si>
  <si>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</si>
  <si>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</si>
  <si>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</si>
  <si>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</si>
  <si>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</si>
  <si>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</si>
  <si>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</si>
  <si>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</si>
  <si>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</si>
  <si>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</si>
  <si>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</si>
  <si>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</si>
  <si>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</si>
  <si>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</si>
  <si>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</si>
  <si>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</si>
  <si>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</si>
  <si>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</si>
  <si>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</si>
  <si>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</si>
  <si>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</si>
  <si>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</si>
  <si>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</si>
  <si>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</si>
  <si>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</si>
  <si>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</si>
  <si>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</si>
  <si>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</si>
  <si>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</si>
  <si>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</si>
  <si>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</si>
  <si>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</si>
  <si>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</si>
  <si>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</si>
  <si>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</si>
  <si>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</si>
  <si>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</si>
  <si>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</si>
  <si>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</si>
  <si>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</si>
  <si>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</si>
  <si>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</si>
  <si>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</si>
  <si>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</si>
  <si>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</si>
  <si>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</si>
  <si>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</si>
  <si>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</si>
  <si>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</si>
  <si>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</si>
  <si>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</si>
  <si>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</si>
  <si>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</si>
  <si>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</si>
  <si>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</si>
  <si>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</si>
  <si>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</si>
  <si>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</si>
  <si>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</si>
  <si>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</si>
  <si>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</si>
  <si>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</si>
  <si>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</si>
  <si>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</si>
  <si>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</si>
  <si>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</si>
  <si>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</si>
  <si>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</si>
  <si>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</si>
  <si>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</si>
  <si>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</si>
  <si>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</si>
  <si>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</si>
  <si>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</si>
  <si>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</si>
  <si>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</si>
  <si>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</si>
  <si>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</si>
  <si>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</si>
  <si>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</si>
  <si>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</si>
  <si>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</si>
  <si>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</si>
  <si>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</si>
  <si>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</si>
  <si>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</si>
  <si>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</si>
  <si>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</si>
  <si>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</si>
  <si>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</si>
  <si>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</si>
  <si>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</si>
  <si>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</si>
  <si>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</si>
  <si>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</si>
  <si>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</si>
  <si>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</si>
  <si>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</si>
  <si>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</si>
  <si>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</si>
  <si>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</si>
  <si>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</si>
  <si>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</si>
  <si>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</si>
  <si>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</si>
  <si>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</si>
  <si>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</si>
  <si>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</si>
  <si>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</si>
  <si>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</si>
  <si>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</si>
  <si>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</si>
  <si>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</si>
  <si>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</si>
  <si>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</si>
  <si>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</si>
  <si>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</si>
  <si>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</si>
  <si>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</si>
  <si>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</si>
  <si>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</si>
  <si>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</si>
  <si>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</si>
  <si>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</si>
  <si>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</si>
  <si>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</si>
  <si>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</si>
  <si>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</si>
  <si>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</si>
  <si>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</si>
  <si>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</si>
  <si>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</si>
  <si>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</si>
  <si>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</si>
  <si>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</si>
  <si>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</si>
  <si>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</si>
  <si>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</si>
  <si>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</si>
  <si>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</si>
  <si>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</si>
  <si>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</si>
  <si>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</si>
  <si>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</si>
  <si>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</si>
  <si>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</si>
  <si>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</si>
  <si>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</si>
  <si>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</si>
  <si>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</si>
  <si>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</si>
  <si>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</si>
  <si>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</si>
  <si>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</si>
  <si>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</si>
  <si>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</si>
  <si>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</si>
  <si>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</si>
  <si>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</si>
  <si>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</si>
  <si>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</si>
  <si>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</si>
  <si>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</si>
  <si>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</si>
  <si>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</si>
  <si>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</si>
  <si>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</si>
  <si>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</si>
  <si>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</si>
  <si>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</si>
  <si>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</si>
  <si>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</si>
  <si>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</si>
  <si>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</si>
  <si>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</si>
  <si>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</si>
  <si>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</si>
  <si>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</si>
  <si>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</si>
  <si>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</si>
  <si>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</si>
  <si>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</si>
  <si>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</si>
  <si>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</si>
  <si>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</si>
  <si>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</si>
  <si>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</si>
  <si>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</si>
  <si>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</si>
  <si>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</si>
  <si>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</si>
  <si>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</si>
  <si>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</si>
  <si>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</si>
  <si>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</si>
  <si>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</si>
  <si>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</si>
  <si>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</si>
  <si>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</si>
  <si>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</si>
  <si>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</si>
  <si>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</si>
  <si>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</si>
  <si>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</si>
  <si>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</si>
  <si>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</si>
  <si>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</si>
  <si>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</si>
  <si>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</si>
  <si>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</si>
  <si>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</si>
  <si>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</si>
  <si>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</si>
  <si>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</si>
  <si>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</si>
  <si>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</si>
  <si>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</si>
  <si>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</si>
  <si>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</si>
  <si>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</si>
  <si>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</si>
  <si>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</si>
  <si>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</si>
  <si>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</si>
  <si>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</si>
  <si>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</si>
  <si>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</si>
  <si>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</si>
  <si>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</si>
  <si>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</si>
  <si>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</si>
  <si>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</si>
  <si>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</si>
  <si>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</si>
  <si>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</si>
  <si>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</si>
  <si>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</si>
  <si>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</si>
  <si>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</si>
  <si>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</si>
  <si>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</si>
  <si>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</si>
  <si>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</si>
  <si>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</si>
  <si>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</si>
  <si>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</si>
  <si>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</si>
  <si>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</si>
  <si>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</si>
  <si>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</si>
  <si>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</si>
  <si>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</si>
  <si>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</si>
  <si>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</si>
  <si>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</si>
  <si>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</si>
  <si>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</si>
  <si>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</si>
  <si>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</si>
  <si>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</si>
  <si>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</si>
  <si>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</si>
  <si>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</si>
  <si>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</si>
  <si>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</si>
  <si>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</si>
  <si>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</si>
  <si>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</si>
  <si>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</si>
  <si>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</si>
  <si>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</si>
  <si>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</si>
  <si>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</si>
  <si>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</si>
  <si>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</si>
  <si>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</si>
  <si>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</si>
  <si>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</si>
  <si>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</si>
  <si>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</si>
  <si>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</si>
  <si>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</si>
  <si>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</si>
  <si>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</si>
  <si>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</si>
  <si>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</si>
  <si>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</si>
  <si>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</si>
  <si>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</si>
  <si>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</si>
  <si>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</si>
  <si>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</si>
  <si>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</si>
  <si>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</si>
  <si>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</si>
  <si>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</si>
  <si>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</si>
  <si>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</si>
  <si>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</si>
  <si>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</si>
  <si>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</si>
  <si>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</si>
  <si>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</si>
  <si>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</si>
  <si>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</si>
  <si>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</si>
  <si>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</si>
  <si>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</si>
  <si>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</si>
  <si>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</si>
  <si>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</si>
  <si>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</si>
  <si>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</si>
  <si>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</si>
  <si>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</si>
  <si>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</si>
  <si>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</si>
  <si>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</si>
  <si>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</si>
  <si>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</si>
  <si>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</si>
  <si>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</si>
  <si>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</si>
  <si>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</si>
  <si>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</si>
  <si>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</si>
  <si>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</si>
  <si>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</si>
  <si>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</si>
  <si>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</si>
  <si>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</si>
  <si>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</si>
  <si>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</si>
  <si>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</si>
  <si>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</si>
  <si>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</si>
  <si>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</si>
  <si>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</si>
  <si>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</si>
  <si>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</si>
  <si>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</si>
  <si>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</si>
  <si>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</si>
  <si>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</si>
  <si>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</si>
  <si>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</si>
  <si>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</si>
  <si>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</si>
  <si>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</si>
  <si>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</si>
  <si>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</si>
  <si>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</si>
  <si>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</si>
  <si>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</si>
  <si>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</si>
  <si>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</si>
  <si>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</si>
  <si>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</si>
  <si>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</si>
  <si>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</si>
  <si>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</si>
  <si>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</si>
  <si>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</si>
  <si>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</si>
  <si>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</si>
  <si>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</si>
  <si>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</si>
  <si>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</si>
  <si>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</si>
  <si>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</si>
  <si>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</si>
  <si>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</si>
  <si>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</si>
  <si>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</si>
  <si>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</si>
  <si>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</si>
  <si>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</si>
  <si>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</si>
  <si>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</si>
  <si>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</si>
  <si>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</si>
  <si>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</si>
  <si>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</si>
  <si>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</si>
  <si>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</si>
  <si>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</si>
  <si>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</si>
  <si>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</si>
  <si>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</si>
  <si>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</si>
  <si>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</si>
  <si>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</si>
  <si>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</si>
  <si>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</si>
  <si>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</si>
  <si>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</si>
  <si>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</si>
  <si>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</si>
  <si>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</si>
  <si>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</si>
  <si>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</si>
  <si>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</si>
  <si>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</si>
  <si>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</si>
  <si>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</si>
  <si>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</si>
  <si>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</si>
  <si>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</si>
  <si>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</si>
  <si>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</si>
  <si>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</si>
  <si>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</si>
  <si>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</si>
  <si>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</si>
  <si>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</si>
  <si>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</si>
  <si>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</si>
  <si>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</si>
  <si>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</si>
  <si>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</si>
  <si>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</si>
  <si>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</si>
  <si>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</si>
  <si>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</si>
  <si>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</si>
  <si>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</si>
  <si>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</si>
  <si>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</si>
  <si>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</si>
  <si>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</si>
  <si>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</si>
  <si>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</si>
  <si>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</si>
  <si>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</si>
  <si>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</si>
  <si>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</si>
  <si>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</si>
  <si>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</si>
  <si>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</si>
  <si>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</si>
  <si>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</si>
  <si>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</si>
  <si>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</si>
  <si>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</si>
  <si>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</si>
  <si>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</si>
  <si>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</si>
  <si>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</si>
  <si>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</si>
  <si>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</si>
  <si>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</si>
  <si>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</si>
  <si>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</si>
  <si>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</si>
  <si>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</si>
  <si>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</si>
  <si>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</si>
  <si>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</si>
  <si>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</si>
  <si>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</si>
  <si>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</si>
  <si>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</si>
  <si>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</si>
  <si>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</si>
  <si>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</si>
  <si>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</si>
  <si>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</si>
  <si>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</si>
  <si>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</si>
  <si>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</si>
  <si>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</si>
  <si>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</si>
  <si>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</si>
  <si>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</si>
  <si>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</si>
  <si>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</si>
  <si>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</si>
  <si>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</si>
  <si>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</si>
  <si>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</si>
  <si>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</si>
  <si>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</si>
  <si>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</si>
  <si>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</si>
  <si>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</si>
  <si>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</si>
  <si>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</si>
  <si>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</si>
  <si>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</si>
  <si>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</si>
  <si>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</si>
  <si>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</si>
  <si>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</si>
  <si>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</si>
  <si>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</si>
  <si>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</si>
  <si>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</si>
  <si>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</si>
  <si>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</si>
  <si>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</si>
  <si>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</si>
  <si>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</si>
  <si>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</si>
  <si>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</si>
  <si>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</si>
  <si>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</si>
  <si>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</si>
  <si>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</si>
  <si>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</si>
  <si>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</si>
  <si>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</si>
  <si>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</si>
  <si>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</si>
  <si>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</si>
  <si>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</si>
  <si>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</si>
  <si>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</si>
  <si>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</si>
  <si>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</si>
  <si>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</si>
  <si>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</si>
  <si>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</si>
  <si>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</si>
  <si>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</si>
  <si>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</si>
  <si>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</si>
  <si>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</si>
  <si>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</si>
  <si>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</si>
  <si>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</si>
  <si>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</si>
  <si>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</si>
  <si>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</si>
  <si>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</si>
  <si>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</si>
  <si>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</si>
  <si>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</si>
  <si>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</si>
  <si>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</si>
  <si>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</si>
  <si>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</si>
  <si>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</si>
  <si>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</si>
  <si>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</si>
  <si>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</si>
  <si>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</si>
  <si>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</si>
  <si>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</si>
  <si>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</si>
  <si>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</si>
  <si>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</si>
  <si>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</si>
  <si>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</si>
  <si>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</si>
  <si>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</si>
  <si>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</si>
  <si>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</si>
  <si>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</si>
  <si>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</si>
  <si>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</si>
  <si>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</si>
  <si>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</si>
  <si>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</si>
  <si>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</si>
  <si>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</si>
  <si>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</si>
  <si>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</si>
  <si>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</si>
  <si>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</si>
  <si>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</si>
  <si>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</si>
  <si>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</si>
  <si>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</si>
  <si>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</si>
  <si>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</si>
  <si>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</si>
  <si>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</si>
  <si>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</si>
  <si>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</si>
  <si>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</si>
  <si>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</si>
  <si>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</si>
  <si>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</si>
  <si>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</si>
  <si>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</si>
  <si>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</si>
  <si>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</si>
  <si>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</si>
  <si>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</si>
  <si>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</si>
  <si>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</si>
  <si>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</si>
  <si>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</si>
  <si>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</si>
  <si>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</si>
  <si>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</si>
  <si>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</si>
  <si>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</si>
  <si>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</si>
  <si>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</si>
  <si>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</si>
  <si>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</si>
  <si>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</si>
  <si>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</si>
  <si>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</si>
  <si>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</si>
  <si>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</si>
  <si>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</si>
  <si>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</si>
  <si>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</si>
  <si>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</si>
  <si>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</si>
  <si>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</si>
  <si>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</si>
  <si>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</si>
  <si>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</si>
  <si>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</si>
  <si>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</si>
  <si>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</si>
  <si>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</si>
  <si>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</si>
  <si>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</si>
  <si>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</si>
  <si>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</si>
  <si>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</si>
  <si>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</si>
  <si>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</si>
  <si>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</si>
  <si>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</si>
  <si>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</si>
  <si>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</si>
  <si>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</si>
  <si>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</si>
  <si>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</si>
  <si>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</si>
  <si>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</si>
  <si>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</si>
  <si>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</si>
  <si>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</si>
  <si>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</si>
  <si>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</si>
  <si>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</si>
  <si>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</si>
  <si>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</si>
  <si>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</si>
  <si>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</si>
  <si>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</si>
  <si>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</si>
  <si>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</si>
  <si>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</si>
  <si>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</si>
  <si>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</si>
  <si>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</si>
  <si>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</si>
  <si>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</si>
  <si>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</si>
  <si>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</si>
  <si>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</si>
  <si>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</si>
  <si>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</si>
  <si>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</si>
  <si>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</si>
  <si>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</si>
  <si>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</si>
  <si>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</si>
  <si>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</si>
  <si>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</si>
  <si>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</si>
  <si>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</si>
  <si>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</si>
  <si>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</si>
  <si>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</si>
  <si>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</si>
  <si>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</si>
  <si>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</si>
  <si>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</si>
  <si>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</si>
  <si>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</si>
  <si>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</si>
  <si>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</si>
  <si>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</si>
  <si>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</si>
  <si>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</si>
  <si>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</si>
  <si>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</si>
  <si>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</si>
  <si>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</si>
  <si>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</si>
  <si>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</si>
  <si>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</si>
  <si>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</si>
  <si>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</si>
  <si>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</si>
  <si>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</si>
  <si>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</si>
  <si>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</si>
  <si>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</si>
  <si>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</si>
  <si>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</si>
  <si>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</si>
  <si>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</si>
  <si>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</si>
  <si>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</si>
  <si>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</si>
  <si>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</si>
  <si>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</si>
  <si>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</si>
  <si>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</si>
  <si>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</si>
  <si>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</si>
  <si>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</si>
  <si>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</si>
  <si>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</si>
  <si>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</si>
  <si>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</si>
  <si>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</si>
  <si>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</si>
  <si>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</si>
  <si>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</si>
  <si>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</si>
  <si>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</si>
  <si>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</si>
  <si>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</si>
  <si>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</si>
  <si>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</si>
  <si>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</si>
  <si>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</si>
  <si>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</si>
  <si>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</si>
  <si>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</si>
  <si>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</si>
  <si>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</si>
  <si>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</si>
  <si>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</si>
  <si>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</si>
  <si>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</si>
  <si>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</si>
  <si>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</si>
  <si>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</si>
  <si>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</si>
  <si>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</si>
  <si>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</si>
  <si>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</si>
  <si>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</si>
  <si>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</si>
  <si>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</si>
  <si>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</si>
  <si>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</si>
  <si>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</si>
  <si>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</si>
  <si>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</si>
  <si>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</si>
  <si>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</si>
  <si>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</si>
  <si>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</si>
  <si>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</si>
  <si>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</si>
  <si>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</si>
  <si>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</si>
  <si>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</si>
  <si>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</si>
  <si>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</si>
  <si>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</si>
  <si>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</si>
  <si>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</si>
  <si>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</si>
  <si>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</si>
  <si>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</si>
  <si>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</si>
  <si>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</si>
  <si>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</si>
  <si>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</si>
  <si>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</si>
  <si>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</si>
  <si>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</si>
  <si>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</si>
  <si>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</si>
  <si>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</si>
  <si>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</si>
  <si>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</si>
  <si>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</si>
  <si>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</si>
  <si>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</si>
  <si>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</si>
  <si>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</si>
  <si>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</si>
  <si>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</si>
  <si>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</si>
  <si>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</si>
  <si>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</si>
  <si>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</si>
  <si>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</si>
  <si>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</si>
  <si>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</si>
  <si>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</si>
  <si>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</si>
  <si>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</si>
  <si>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</si>
  <si>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</si>
  <si>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</si>
  <si>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</si>
  <si>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</si>
  <si>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</si>
  <si>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</si>
  <si>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</si>
  <si>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</si>
  <si>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</si>
  <si>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</si>
  <si>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</si>
  <si>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</si>
  <si>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</si>
  <si>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</si>
  <si>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</si>
  <si>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</si>
  <si>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</si>
  <si>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</si>
  <si>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</si>
  <si>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</si>
  <si>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</si>
  <si>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</si>
  <si>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</si>
  <si>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</si>
  <si>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</si>
  <si>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</si>
  <si>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</si>
  <si>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</si>
  <si>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</si>
  <si>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</si>
  <si>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</si>
  <si>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</si>
  <si>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</si>
  <si>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</si>
  <si>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</si>
  <si>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</si>
  <si>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</si>
  <si>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</si>
  <si>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</si>
  <si>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</si>
  <si>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</si>
  <si>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</si>
  <si>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</si>
  <si>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</si>
  <si>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</si>
  <si>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</si>
  <si>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</si>
  <si>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</si>
  <si>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</si>
  <si>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</si>
  <si>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</si>
  <si>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</si>
  <si>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</si>
  <si>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</si>
  <si>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</si>
  <si>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</si>
  <si>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</si>
  <si>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</si>
  <si>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</si>
  <si>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</si>
  <si>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</si>
  <si>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</si>
  <si>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</si>
  <si>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</si>
  <si>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</si>
  <si>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</si>
  <si>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</si>
  <si>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</si>
  <si>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</si>
  <si>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</si>
  <si>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</si>
  <si>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</si>
  <si>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</si>
  <si>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</si>
  <si>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</si>
  <si>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</si>
  <si>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</si>
  <si>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</si>
  <si>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</si>
  <si>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</si>
  <si>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</si>
  <si>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</si>
  <si>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</si>
  <si>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</si>
  <si>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</si>
  <si>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</si>
  <si>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</si>
  <si>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</si>
  <si>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</si>
  <si>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</si>
  <si>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</si>
  <si>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</si>
  <si>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</si>
  <si>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</si>
  <si>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</si>
  <si>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</si>
  <si>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</si>
  <si>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</si>
  <si>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</si>
  <si>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</si>
  <si>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</si>
  <si>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</si>
  <si>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</si>
  <si>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</si>
  <si>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</si>
  <si>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</si>
  <si>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</si>
  <si>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</si>
  <si>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</si>
  <si>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</si>
  <si>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</si>
  <si>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</si>
  <si>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</si>
  <si>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</si>
  <si>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</si>
  <si>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</si>
  <si>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</si>
  <si>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</si>
  <si>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</si>
  <si>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</si>
  <si>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</si>
  <si>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</si>
  <si>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</si>
  <si>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</si>
  <si>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</si>
  <si>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</si>
  <si>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</si>
  <si>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</si>
  <si>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</si>
  <si>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</si>
  <si>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</si>
  <si>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</si>
  <si>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</si>
  <si>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</si>
  <si>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</si>
  <si>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</si>
  <si>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</si>
  <si>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</si>
  <si>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</si>
  <si>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</si>
  <si>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</si>
  <si>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</si>
  <si>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</si>
  <si>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</si>
  <si>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</si>
  <si>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</si>
  <si>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</si>
  <si>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</si>
  <si>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</si>
  <si>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</si>
  <si>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</si>
  <si>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</si>
  <si>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</si>
  <si>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</si>
  <si>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</si>
  <si>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</si>
  <si>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</si>
  <si>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</si>
  <si>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</si>
  <si>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</si>
  <si>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</si>
  <si>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</si>
  <si>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</si>
  <si>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</si>
  <si>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</si>
  <si>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</si>
  <si>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</si>
  <si>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</si>
  <si>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</si>
  <si>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</si>
  <si>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</si>
  <si>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</si>
  <si>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</si>
  <si>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</si>
  <si>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</si>
  <si>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</si>
  <si>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</si>
  <si>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</si>
  <si>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</si>
  <si>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</si>
  <si>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</si>
  <si>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</si>
  <si>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</si>
  <si>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</si>
  <si>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</si>
  <si>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</si>
  <si>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</si>
  <si>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</si>
  <si>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</si>
  <si>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</si>
  <si>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</si>
  <si>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</si>
  <si>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</si>
  <si>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</si>
  <si>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</si>
  <si>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</si>
  <si>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</si>
  <si>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</si>
  <si>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</si>
  <si>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</si>
  <si>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</si>
  <si>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</si>
  <si>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</si>
  <si>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</si>
  <si>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</si>
  <si>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</si>
  <si>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</si>
  <si>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</si>
  <si>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</si>
  <si>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</si>
  <si>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</si>
  <si>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</si>
  <si>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</si>
  <si>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</si>
  <si>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</si>
  <si>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</si>
  <si>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</si>
  <si>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</si>
  <si>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</si>
  <si>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</si>
  <si>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</si>
  <si>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</si>
  <si>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</si>
  <si>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</si>
  <si>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</si>
  <si>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</si>
  <si>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</si>
  <si>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</si>
  <si>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</si>
  <si>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</si>
  <si>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</si>
  <si>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</si>
  <si>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</si>
  <si>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</si>
  <si>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</si>
  <si>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</si>
  <si>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</si>
  <si>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</si>
  <si>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</si>
  <si>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</si>
  <si>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</si>
  <si>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</si>
  <si>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</si>
  <si>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</si>
  <si>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</si>
  <si>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</si>
  <si>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</si>
  <si>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</si>
  <si>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</si>
  <si>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</si>
  <si>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</si>
  <si>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</si>
  <si>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</si>
  <si>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</si>
  <si>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</si>
  <si>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</si>
  <si>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</si>
  <si>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</si>
  <si>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</si>
  <si>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</si>
  <si>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</si>
  <si>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</si>
  <si>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</si>
  <si>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</si>
  <si>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</si>
  <si>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</si>
  <si>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</si>
  <si>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</si>
  <si>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</si>
  <si>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</si>
  <si>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</si>
  <si>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</si>
  <si>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</si>
  <si>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</si>
  <si>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</si>
  <si>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</si>
  <si>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</si>
  <si>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</si>
  <si>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</si>
  <si>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</si>
  <si>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</si>
  <si>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</si>
  <si>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</si>
  <si>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</si>
  <si>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</si>
  <si>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</si>
  <si>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</si>
  <si>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</si>
  <si>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</si>
  <si>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</si>
  <si>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</si>
  <si>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</si>
  <si>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</si>
  <si>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</si>
  <si>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</si>
  <si>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</si>
  <si>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</si>
  <si>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</si>
  <si>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</si>
  <si>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</si>
  <si>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</si>
  <si>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</si>
  <si>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</si>
  <si>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</si>
  <si>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</si>
  <si>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</si>
  <si>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</si>
  <si>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</si>
  <si>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</si>
  <si>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</si>
  <si>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</si>
  <si>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</si>
  <si>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</si>
  <si>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</si>
  <si>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</si>
  <si>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</si>
  <si>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</si>
  <si>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</si>
  <si>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</si>
  <si>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</si>
  <si>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</si>
  <si>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</si>
  <si>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</si>
  <si>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</si>
  <si>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</si>
  <si>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</si>
  <si>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</si>
  <si>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</si>
  <si>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</si>
  <si>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</si>
  <si>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</si>
  <si>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</si>
  <si>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</si>
  <si>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</si>
  <si>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</si>
  <si>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</si>
  <si>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</si>
  <si>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</si>
  <si>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</si>
  <si>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</si>
  <si>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</si>
  <si>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</si>
  <si>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</si>
  <si>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</si>
  <si>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</si>
  <si>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</si>
  <si>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</si>
  <si>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</si>
  <si>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</si>
  <si>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</si>
  <si>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</si>
  <si>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</si>
  <si>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</si>
  <si>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</si>
  <si>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</si>
  <si>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</si>
  <si>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</si>
  <si>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</si>
  <si>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</si>
  <si>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</si>
  <si>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</si>
  <si>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</si>
  <si>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</si>
  <si>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</si>
  <si>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</si>
  <si>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</si>
  <si>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</si>
  <si>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</si>
  <si>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</si>
  <si>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</si>
  <si>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</si>
  <si>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</si>
  <si>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</si>
  <si>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</si>
  <si>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</si>
  <si>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</si>
  <si>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</si>
  <si>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</si>
  <si>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</si>
  <si>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</si>
  <si>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</si>
  <si>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</si>
  <si>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</si>
  <si>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</si>
  <si>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</si>
  <si>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</si>
  <si>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</si>
  <si>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</si>
  <si>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</si>
  <si>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</si>
  <si>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</si>
  <si>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</si>
  <si>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</si>
  <si>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</si>
  <si>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</si>
  <si>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</si>
  <si>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</si>
  <si>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</si>
  <si>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</si>
  <si>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</si>
  <si>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</si>
  <si>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</si>
  <si>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</si>
  <si>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</si>
  <si>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</si>
  <si>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</si>
  <si>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</si>
  <si>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</si>
  <si>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</si>
  <si>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</si>
  <si>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</si>
  <si>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</si>
  <si>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</si>
  <si>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</si>
  <si>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</si>
  <si>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</si>
  <si>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</si>
  <si>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</si>
  <si>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</si>
  <si>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</si>
  <si>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</si>
  <si>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</si>
  <si>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</si>
  <si>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</si>
  <si>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</si>
  <si>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</si>
  <si>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</si>
  <si>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</si>
  <si>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</si>
  <si>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</si>
  <si>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</si>
  <si>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</si>
  <si>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</si>
  <si>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</si>
  <si>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</si>
  <si>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</si>
  <si>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</si>
  <si>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</si>
  <si>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</si>
  <si>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</si>
  <si>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</si>
  <si>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</si>
  <si>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</si>
  <si>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</si>
  <si>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</si>
  <si>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</si>
  <si>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</si>
  <si>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</si>
  <si>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</si>
  <si>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</si>
  <si>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</si>
  <si>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</si>
  <si>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</si>
  <si>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</si>
  <si>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</si>
  <si>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</si>
  <si>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</si>
  <si>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</si>
  <si>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</si>
  <si>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</si>
  <si>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</si>
  <si>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</si>
  <si>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</si>
  <si>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</si>
  <si>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</si>
  <si>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</si>
  <si>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</si>
  <si>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</si>
  <si>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</si>
  <si>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</si>
  <si>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</si>
  <si>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</si>
  <si>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</si>
  <si>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</si>
  <si>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</si>
  <si>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</si>
  <si>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</si>
  <si>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</si>
  <si>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</si>
  <si>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</si>
  <si>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</si>
  <si>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</si>
  <si>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</si>
  <si>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</si>
  <si>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</si>
  <si>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</si>
  <si>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</si>
  <si>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</si>
  <si>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</si>
  <si>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</si>
  <si>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</si>
  <si>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</si>
  <si>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</si>
  <si>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</si>
  <si>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</si>
  <si>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</si>
  <si>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</si>
  <si>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</si>
  <si>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</si>
  <si>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</si>
  <si>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</si>
  <si>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</si>
  <si>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</si>
  <si>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</si>
  <si>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</si>
  <si>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</si>
  <si>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</si>
  <si>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</si>
  <si>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</si>
  <si>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</si>
  <si>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</si>
  <si>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</si>
  <si>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</si>
  <si>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</si>
  <si>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</si>
  <si>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</si>
  <si>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</si>
  <si>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</si>
  <si>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</si>
  <si>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</si>
  <si>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</si>
  <si>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</si>
  <si>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</si>
  <si>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</si>
  <si>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</si>
  <si>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</si>
  <si>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</si>
  <si>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</si>
  <si>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</si>
  <si>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</si>
  <si>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</si>
  <si>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</si>
  <si>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</si>
  <si>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</si>
  <si>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</si>
  <si>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</si>
  <si>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</si>
  <si>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</si>
  <si>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</si>
  <si>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</si>
  <si>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</si>
  <si>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</si>
  <si>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</si>
  <si>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</si>
  <si>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</si>
  <si>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</si>
  <si>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</si>
  <si>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</si>
  <si>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</si>
  <si>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</si>
  <si>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</si>
  <si>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</si>
  <si>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</si>
  <si>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</si>
  <si>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</si>
  <si>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</si>
  <si>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</si>
  <si>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</si>
  <si>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</si>
  <si>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</si>
  <si>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</si>
  <si>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</si>
  <si>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</si>
  <si>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</si>
  <si>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</si>
  <si>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</si>
  <si>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</si>
  <si>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</si>
  <si>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</si>
  <si>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</si>
  <si>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</si>
  <si>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</si>
  <si>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</si>
  <si>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</si>
  <si>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</si>
  <si>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</si>
  <si>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</si>
  <si>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</si>
  <si>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</si>
  <si>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</si>
  <si>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</si>
  <si>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</si>
  <si>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</si>
  <si>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</si>
  <si>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</si>
  <si>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</si>
  <si>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</si>
  <si>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</si>
  <si>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</si>
  <si>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</si>
  <si>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</si>
  <si>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</si>
  <si>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</si>
  <si>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</si>
  <si>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</si>
  <si>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</si>
  <si>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</si>
  <si>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</si>
  <si>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</si>
  <si>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</si>
  <si>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</si>
  <si>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</si>
  <si>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</si>
  <si>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</si>
  <si>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</si>
  <si>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</si>
  <si>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</si>
  <si>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</si>
  <si>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</si>
  <si>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</si>
  <si>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</si>
  <si>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</si>
  <si>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</si>
  <si>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</si>
  <si>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</si>
  <si>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</si>
  <si>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</si>
  <si>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</si>
  <si>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</si>
  <si>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</si>
  <si>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</si>
  <si>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</si>
  <si>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</si>
  <si>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</si>
  <si>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</si>
  <si>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</si>
  <si>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</si>
  <si>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</si>
  <si>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</si>
  <si>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</si>
  <si>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</si>
  <si>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</si>
  <si>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</si>
  <si>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</si>
  <si>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</si>
  <si>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</si>
  <si>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</si>
  <si>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</si>
  <si>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</si>
  <si>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</si>
  <si>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</si>
  <si>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</si>
  <si>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</si>
  <si>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</si>
  <si>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</si>
  <si>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</si>
  <si>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</si>
  <si>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</si>
  <si>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</si>
  <si>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</si>
  <si>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</si>
  <si>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</si>
  <si>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</si>
  <si>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</si>
  <si>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</si>
  <si>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</si>
  <si>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</si>
  <si>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</si>
  <si>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</si>
  <si>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</si>
  <si>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</si>
  <si>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</si>
  <si>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</si>
  <si>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</si>
  <si>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</si>
  <si>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</si>
  <si>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</si>
  <si>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</si>
  <si>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</si>
  <si>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</si>
  <si>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</si>
  <si>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</si>
  <si>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</si>
  <si>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</si>
  <si>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</si>
  <si>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</si>
  <si>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</si>
  <si>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</si>
  <si>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</si>
  <si>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</si>
  <si>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</si>
  <si>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</si>
  <si>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</si>
  <si>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</si>
  <si>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</si>
  <si>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</si>
  <si>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</si>
  <si>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</si>
  <si>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</si>
  <si>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</si>
  <si>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</si>
  <si>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</si>
  <si>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</si>
  <si>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</si>
  <si>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</si>
  <si>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</si>
  <si>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</si>
  <si>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</si>
  <si>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</si>
  <si>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</si>
  <si>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</si>
  <si>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</si>
  <si>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</si>
  <si>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</si>
  <si>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</si>
  <si>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</si>
  <si>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</si>
  <si>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</si>
  <si>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</si>
  <si>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</si>
  <si>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</si>
  <si>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</si>
  <si>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</si>
  <si>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</si>
  <si>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</si>
  <si>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</si>
  <si>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</si>
  <si>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</si>
  <si>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</si>
  <si>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</si>
  <si>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</si>
  <si>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</si>
  <si>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</si>
  <si>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</si>
  <si>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</si>
  <si>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</si>
  <si>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</si>
  <si>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</si>
  <si>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</si>
  <si>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</si>
  <si>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</si>
  <si>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</si>
  <si>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</si>
  <si>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</si>
  <si>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</si>
  <si>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</si>
  <si>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</si>
  <si>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</si>
  <si>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</si>
  <si>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</si>
  <si>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</si>
  <si>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</si>
  <si>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</si>
  <si>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</si>
  <si>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</si>
  <si>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</si>
  <si>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</si>
  <si>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</si>
  <si>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</si>
  <si>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</si>
  <si>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</si>
  <si>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</si>
  <si>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</si>
  <si>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</si>
  <si>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</si>
  <si>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</si>
  <si>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</si>
  <si>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</si>
  <si>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</si>
  <si>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</si>
  <si>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</si>
  <si>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</si>
  <si>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</si>
  <si>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</si>
  <si>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</si>
  <si>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</si>
  <si>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</si>
  <si>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</si>
  <si>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</si>
  <si>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</si>
  <si>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</si>
  <si>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</si>
  <si>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</si>
  <si>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</si>
  <si>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</si>
  <si>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</si>
  <si>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</si>
  <si>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</si>
  <si>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</si>
  <si>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</si>
  <si>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</si>
  <si>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</si>
  <si>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</si>
  <si>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</si>
  <si>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</si>
  <si>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</si>
  <si>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</si>
  <si>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</si>
  <si>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</si>
  <si>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</si>
  <si>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</si>
  <si>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</si>
  <si>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</si>
  <si>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</si>
  <si>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</si>
  <si>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</si>
  <si>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</si>
  <si>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</si>
  <si>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</si>
  <si>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</si>
  <si>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</si>
  <si>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</si>
  <si>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</si>
  <si>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</si>
  <si>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</si>
  <si>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</si>
  <si>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</si>
  <si>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</si>
  <si>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</si>
  <si>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</si>
  <si>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</si>
  <si>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</si>
  <si>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</si>
  <si>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</si>
  <si>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</si>
  <si>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</si>
  <si>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</si>
  <si>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</si>
  <si>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</si>
  <si>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</si>
  <si>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</si>
  <si>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</si>
  <si>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</si>
  <si>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</si>
  <si>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</si>
  <si>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</si>
  <si>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</si>
  <si>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</si>
  <si>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</si>
  <si>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</si>
  <si>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</si>
  <si>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</si>
  <si>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</si>
  <si>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</si>
  <si>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</si>
  <si>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</si>
  <si>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</si>
  <si>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</si>
  <si>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</si>
  <si>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</si>
  <si>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</si>
  <si>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</si>
  <si>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</si>
  <si>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</si>
  <si>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</si>
  <si>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</si>
  <si>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</si>
  <si>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</si>
  <si>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</si>
  <si>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</si>
  <si>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</si>
  <si>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</si>
  <si>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</si>
  <si>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</si>
  <si>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</si>
  <si>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</si>
  <si>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</si>
  <si>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</si>
  <si>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</si>
  <si>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</si>
  <si>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</si>
  <si>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</si>
  <si>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</si>
  <si>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</si>
  <si>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</si>
  <si>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</si>
  <si>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</si>
  <si>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</si>
  <si>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</si>
  <si>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</si>
  <si>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</si>
  <si>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</si>
  <si>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</si>
  <si>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</si>
  <si>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</si>
  <si>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</si>
  <si>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</si>
  <si>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</si>
  <si>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</si>
  <si>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</si>
  <si>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</si>
  <si>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</si>
  <si>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</si>
  <si>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</si>
  <si>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</si>
  <si>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</si>
  <si>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</si>
  <si>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</si>
  <si>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</si>
  <si>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</si>
  <si>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</si>
  <si>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</si>
  <si>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</si>
  <si>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</si>
  <si>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</si>
  <si>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</si>
  <si>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</si>
  <si>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</si>
  <si>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</si>
  <si>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</si>
  <si>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</si>
  <si>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</si>
  <si>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</si>
  <si>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</si>
  <si>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</si>
  <si>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</si>
  <si>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</si>
  <si>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</si>
  <si>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</si>
  <si>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</si>
  <si>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</si>
  <si>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</si>
  <si>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</si>
  <si>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</si>
  <si>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</si>
  <si>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</si>
  <si>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</si>
  <si>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</si>
  <si>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</si>
  <si>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</si>
  <si>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</si>
  <si>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</si>
  <si>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</si>
  <si>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</si>
  <si>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</si>
  <si>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</si>
  <si>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</si>
  <si>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</si>
  <si>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</si>
  <si>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</si>
  <si>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</si>
  <si>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</si>
  <si>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</si>
  <si>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</si>
  <si>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</si>
  <si>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</si>
  <si>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</si>
  <si>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</si>
  <si>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</si>
  <si>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</si>
  <si>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</si>
  <si>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</si>
  <si>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</si>
  <si>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</si>
  <si>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</si>
  <si>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</si>
  <si>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</si>
  <si>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</si>
  <si>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</si>
  <si>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</si>
  <si>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</si>
  <si>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</si>
  <si>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</si>
  <si>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</si>
  <si>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</si>
  <si>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</si>
  <si>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</si>
  <si>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</si>
  <si>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</si>
  <si>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</si>
  <si>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</si>
  <si>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</si>
  <si>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</si>
  <si>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</si>
  <si>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</si>
  <si>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</si>
  <si>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</si>
  <si>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</si>
  <si>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</si>
  <si>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</si>
  <si>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</si>
  <si>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</si>
  <si>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</si>
  <si>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</si>
  <si>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</si>
  <si>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</si>
  <si>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</si>
  <si>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</si>
  <si>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</si>
  <si>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</si>
  <si>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</si>
  <si>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</si>
  <si>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</si>
  <si>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</si>
  <si>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</si>
  <si>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</si>
  <si>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</si>
  <si>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</si>
  <si>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</si>
  <si>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</si>
  <si>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</si>
  <si>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</si>
  <si>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</si>
  <si>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</si>
  <si>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</si>
  <si>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</si>
  <si>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</si>
  <si>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</si>
  <si>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</si>
  <si>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</si>
  <si>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</si>
  <si>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</si>
  <si>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</si>
  <si>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</si>
  <si>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</si>
  <si>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</si>
  <si>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</si>
  <si>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</si>
  <si>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</si>
  <si>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</si>
  <si>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</si>
  <si>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</si>
  <si>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</si>
  <si>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</si>
  <si>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</si>
  <si>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</si>
  <si>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</si>
  <si>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</si>
  <si>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</si>
  <si>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</si>
  <si>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</si>
  <si>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</si>
  <si>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</si>
  <si>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</si>
  <si>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</si>
  <si>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</si>
  <si>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</si>
  <si>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</si>
  <si>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</si>
  <si>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</si>
  <si>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</si>
  <si>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</si>
  <si>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</si>
  <si>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</si>
  <si>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</si>
  <si>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</si>
  <si>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</si>
  <si>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</si>
  <si>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</si>
  <si>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</si>
  <si>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</si>
  <si>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</si>
  <si>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</si>
  <si>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</si>
  <si>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</si>
  <si>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</si>
  <si>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</si>
  <si>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</si>
  <si>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</si>
  <si>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</si>
  <si>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</si>
  <si>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</si>
  <si>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</si>
  <si>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</si>
  <si>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</si>
  <si>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</si>
  <si>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</si>
  <si>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</si>
  <si>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</si>
  <si>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</si>
  <si>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</si>
  <si>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</si>
  <si>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</si>
  <si>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</si>
  <si>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</si>
  <si>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</si>
  <si>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</si>
  <si>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</si>
  <si>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</si>
  <si>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</si>
  <si>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</si>
  <si>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</si>
  <si>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</si>
  <si>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</si>
  <si>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</si>
  <si>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</si>
  <si>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</si>
  <si>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</si>
  <si>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</si>
  <si>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</si>
  <si>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</si>
  <si>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</si>
  <si>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</si>
  <si>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</si>
  <si>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</si>
  <si>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</si>
  <si>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</si>
  <si>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</si>
  <si>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</si>
  <si>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</si>
  <si>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</si>
  <si>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</si>
  <si>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</si>
  <si>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</si>
  <si>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</si>
  <si>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</si>
  <si>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</si>
  <si>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</si>
  <si>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</si>
  <si>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</si>
  <si>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</si>
  <si>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</si>
  <si>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</si>
  <si>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</si>
  <si>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</si>
  <si>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</si>
  <si>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</si>
  <si>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</si>
  <si>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</si>
  <si>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</si>
  <si>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</si>
  <si>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</si>
  <si>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</si>
  <si>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</si>
  <si>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</si>
  <si>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</si>
  <si>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</si>
  <si>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</si>
  <si>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</si>
  <si>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</si>
  <si>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</si>
  <si>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</si>
  <si>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</si>
  <si>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</si>
  <si>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</si>
  <si>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</si>
  <si>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</si>
  <si>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</si>
  <si>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</si>
  <si>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</si>
  <si>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</si>
  <si>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</si>
  <si>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</si>
  <si>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</si>
  <si>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</si>
  <si>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</si>
  <si>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</si>
  <si>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</si>
  <si>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</si>
  <si>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</si>
  <si>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</si>
  <si>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</si>
  <si>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</si>
  <si>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</si>
  <si>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</si>
  <si>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</si>
  <si>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</si>
  <si>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</si>
  <si>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</si>
  <si>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</si>
  <si>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</si>
  <si>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</si>
  <si>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</si>
  <si>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</si>
  <si>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</si>
  <si>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</si>
  <si>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</si>
  <si>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</si>
  <si>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</si>
  <si>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</si>
  <si>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</si>
  <si>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</si>
  <si>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</si>
  <si>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</si>
  <si>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</si>
  <si>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</si>
  <si>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</si>
  <si>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</si>
  <si>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</si>
  <si>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</si>
  <si>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</si>
  <si>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</si>
  <si>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</si>
  <si>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</si>
  <si>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</si>
  <si>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</si>
  <si>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</si>
  <si>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</si>
  <si>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</si>
  <si>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</si>
  <si>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</si>
  <si>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</si>
  <si>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</si>
  <si>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</si>
  <si>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</si>
  <si>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</si>
  <si>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</si>
  <si>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</si>
  <si>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</si>
  <si>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</si>
  <si>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</si>
  <si>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</si>
  <si>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</si>
  <si>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</si>
  <si>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</si>
  <si>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</si>
  <si>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</si>
  <si>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</si>
  <si>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</si>
  <si>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</si>
  <si>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</si>
  <si>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</si>
  <si>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</si>
  <si>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</si>
  <si>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</si>
  <si>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</si>
  <si>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</si>
  <si>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</si>
  <si>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</si>
  <si>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</si>
  <si>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</si>
  <si>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</si>
  <si>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</si>
  <si>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</si>
  <si>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</si>
  <si>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</si>
  <si>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</si>
  <si>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</si>
  <si>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</si>
  <si>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</si>
  <si>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</si>
  <si>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</si>
  <si>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</si>
  <si>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</si>
  <si>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</si>
  <si>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</si>
  <si>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</si>
  <si>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</si>
  <si>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</si>
  <si>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</si>
  <si>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</si>
  <si>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</si>
  <si>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</si>
  <si>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</si>
  <si>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</si>
  <si>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</si>
  <si>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</si>
  <si>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</si>
  <si>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</si>
  <si>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</si>
  <si>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</si>
  <si>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</si>
  <si>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</si>
  <si>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</si>
  <si>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</si>
  <si>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</si>
  <si>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</si>
  <si>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</si>
  <si>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</si>
  <si>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</si>
  <si>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</si>
  <si>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</si>
  <si>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</si>
  <si>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</si>
  <si>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</si>
  <si>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</si>
  <si>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</si>
  <si>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</si>
  <si>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</si>
  <si>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</si>
  <si>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</si>
  <si>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</si>
  <si>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</si>
  <si>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</si>
  <si>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</si>
  <si>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</si>
  <si>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</si>
  <si>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</si>
  <si>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</si>
  <si>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</si>
  <si>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</si>
  <si>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</si>
  <si>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</si>
  <si>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</si>
  <si>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</si>
  <si>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</si>
  <si>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</si>
  <si>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</si>
  <si>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</si>
  <si>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</si>
  <si>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</si>
  <si>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通路</t>
  </si>
  <si>
    <t>通电</t>
  </si>
  <si>
    <t>通讯</t>
  </si>
  <si>
    <t>通上水</t>
  </si>
  <si>
    <t>通下水</t>
  </si>
  <si>
    <t>燃气</t>
  </si>
  <si>
    <t>现房</t>
  </si>
  <si>
    <t>办公项目</t>
  </si>
  <si>
    <t>无</t>
  </si>
  <si>
    <t>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</si>
  <si>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</si>
  <si>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</si>
  <si>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</si>
  <si>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</si>
  <si>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</si>
  <si>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</si>
  <si>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</si>
  <si>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</si>
  <si>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</si>
  <si>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</si>
  <si>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</si>
  <si>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</si>
  <si>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</si>
  <si>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</si>
  <si>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</si>
  <si>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</si>
  <si>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</si>
  <si>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</si>
  <si>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</si>
  <si>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</si>
  <si>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</si>
  <si>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</si>
  <si>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地上</t>
  </si>
  <si>
    <t>办公楼</t>
  </si>
  <si>
    <t>地下</t>
  </si>
  <si>
    <t>车库—办公</t>
  </si>
  <si>
    <t>成新度</t>
  </si>
  <si>
    <t>押一</t>
  </si>
  <si>
    <t>按租金收入计税</t>
  </si>
  <si>
    <t>钢混</t>
  </si>
  <si>
    <t>非生产用房</t>
  </si>
  <si>
    <t>收益法-办公</t>
  </si>
  <si>
    <t>收益法-办公</t>
    <phoneticPr fontId="16" type="noConversion"/>
  </si>
  <si>
    <t>收益法-车库</t>
    <phoneticPr fontId="16" type="noConversion"/>
  </si>
  <si>
    <t>利息：取LPR加浮动点数</t>
  </si>
  <si>
    <t>比较法-办公</t>
  </si>
  <si>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</si>
  <si>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</si>
  <si>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</si>
  <si>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</si>
  <si>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</si>
  <si>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</si>
  <si>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塔楼</t>
  </si>
  <si>
    <t>塔楼</t>
    <phoneticPr fontId="32" type="noConversion"/>
  </si>
  <si>
    <t>钢混</t>
    <phoneticPr fontId="32" type="noConversion"/>
  </si>
  <si>
    <t>精装</t>
  </si>
  <si>
    <t>精装</t>
    <phoneticPr fontId="32" type="noConversion"/>
  </si>
  <si>
    <t>甲</t>
  </si>
  <si>
    <t>甲</t>
    <phoneticPr fontId="32" type="noConversion"/>
  </si>
  <si>
    <t>专业</t>
  </si>
  <si>
    <t>专业</t>
    <phoneticPr fontId="32" type="noConversion"/>
  </si>
  <si>
    <t>七通</t>
  </si>
  <si>
    <t>六通</t>
  </si>
  <si>
    <t>五通</t>
  </si>
  <si>
    <t>四通</t>
  </si>
  <si>
    <t>三通</t>
  </si>
  <si>
    <t>办公</t>
    <phoneticPr fontId="32" type="noConversion"/>
  </si>
  <si>
    <t>20-30（含）</t>
  </si>
  <si>
    <t>正常</t>
  </si>
  <si>
    <t>较好</t>
  </si>
  <si>
    <t>高区</t>
  </si>
  <si>
    <t>高区</t>
    <phoneticPr fontId="32" type="noConversion"/>
  </si>
  <si>
    <t>中区</t>
  </si>
  <si>
    <t>中区</t>
    <phoneticPr fontId="32" type="noConversion"/>
  </si>
  <si>
    <t>低区</t>
  </si>
  <si>
    <t>低区</t>
    <phoneticPr fontId="32" type="noConversion"/>
  </si>
  <si>
    <t>5层</t>
    <phoneticPr fontId="3" type="noConversion"/>
  </si>
  <si>
    <t>高区</t>
    <phoneticPr fontId="3" type="noConversion"/>
  </si>
  <si>
    <t>中区</t>
    <phoneticPr fontId="3" type="noConversion"/>
  </si>
  <si>
    <t>低区</t>
    <phoneticPr fontId="3" type="noConversion"/>
  </si>
  <si>
    <t>科贸电子城</t>
    <phoneticPr fontId="3" type="noConversion"/>
  </si>
  <si>
    <t>银网中心</t>
    <phoneticPr fontId="3" type="noConversion"/>
  </si>
  <si>
    <t>简装</t>
  </si>
  <si>
    <t>简装</t>
    <phoneticPr fontId="32" type="noConversion"/>
  </si>
  <si>
    <t>毛坯</t>
    <phoneticPr fontId="32" type="noConversion"/>
  </si>
  <si>
    <t>售价</t>
  </si>
  <si>
    <t>办公</t>
    <phoneticPr fontId="3" type="noConversion"/>
  </si>
  <si>
    <t>办公其他</t>
    <phoneticPr fontId="7" type="noConversion"/>
  </si>
  <si>
    <t>好</t>
  </si>
  <si>
    <t>高档</t>
    <phoneticPr fontId="32" type="noConversion"/>
  </si>
  <si>
    <t>中档</t>
    <phoneticPr fontId="32" type="noConversion"/>
  </si>
  <si>
    <t>一般</t>
  </si>
  <si>
    <t>中国技术交流大厦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</si>
</sst>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0" fontId="55" fillId="0" borderId="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10" fontId="46" fillId="0" borderId="1" xfId="0" applyNumberFormat="1"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86" fillId="0" borderId="1" xfId="0"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179" fontId="118" fillId="5" borderId="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6032;&#19996;&#26041;&#2133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032;&#19996;&#26041;&#21335;&#27004;-&#28006;&#21457;-&#23828;&#20029;&#26032;20210902-1656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53413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比较法-办公"/>
      <sheetName val="收益法-办公"/>
      <sheetName val="收益法-车库"/>
      <sheetName val="典型户型修正"/>
      <sheetName val="租户"/>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C24">
            <v>101</v>
          </cell>
          <cell r="I24">
            <v>931.44</v>
          </cell>
        </row>
        <row r="25">
          <cell r="C25">
            <v>201</v>
          </cell>
          <cell r="I25">
            <v>950.88</v>
          </cell>
        </row>
        <row r="26">
          <cell r="C26">
            <v>301</v>
          </cell>
          <cell r="I26">
            <v>630.82000000000005</v>
          </cell>
        </row>
        <row r="27">
          <cell r="I27">
            <v>1506.52</v>
          </cell>
        </row>
        <row r="28">
          <cell r="C28">
            <v>601</v>
          </cell>
          <cell r="I28">
            <v>1506.52</v>
          </cell>
        </row>
        <row r="29">
          <cell r="C29">
            <v>701</v>
          </cell>
          <cell r="I29">
            <v>1506.52</v>
          </cell>
        </row>
        <row r="30">
          <cell r="C30">
            <v>801</v>
          </cell>
          <cell r="I30">
            <v>1506.52</v>
          </cell>
        </row>
        <row r="31">
          <cell r="C31">
            <v>901</v>
          </cell>
          <cell r="I31">
            <v>1506.52</v>
          </cell>
        </row>
        <row r="32">
          <cell r="C32">
            <v>1001</v>
          </cell>
          <cell r="I32">
            <v>1506.52</v>
          </cell>
        </row>
        <row r="33">
          <cell r="C33">
            <v>1101</v>
          </cell>
          <cell r="I33">
            <v>1506.52</v>
          </cell>
        </row>
        <row r="34">
          <cell r="C34">
            <v>1201</v>
          </cell>
          <cell r="I34">
            <v>1506.52</v>
          </cell>
        </row>
        <row r="35">
          <cell r="C35">
            <v>1301</v>
          </cell>
          <cell r="I35">
            <v>1506.52</v>
          </cell>
        </row>
        <row r="36">
          <cell r="C36">
            <v>1401</v>
          </cell>
          <cell r="I36">
            <v>1506.52</v>
          </cell>
        </row>
        <row r="37">
          <cell r="C37">
            <v>1501</v>
          </cell>
          <cell r="I37">
            <v>1506.52</v>
          </cell>
        </row>
        <row r="38">
          <cell r="C38">
            <v>1601</v>
          </cell>
          <cell r="I38">
            <v>1506.52</v>
          </cell>
        </row>
        <row r="39">
          <cell r="C39">
            <v>1701</v>
          </cell>
          <cell r="I39">
            <v>1506.52</v>
          </cell>
        </row>
        <row r="40">
          <cell r="C40">
            <v>1801</v>
          </cell>
          <cell r="I40">
            <v>1383.57</v>
          </cell>
        </row>
        <row r="41">
          <cell r="C41">
            <v>1901</v>
          </cell>
          <cell r="I41">
            <v>1383.57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估价对象为北京市房地产，为所有。根据《国有土地使用证》[]，估价对象（分摊）出让国有建设用地使用权面积为1899.7平方米，建筑面积为24865.04平方米。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2022年9月1日</v>
      </c>
    </row>
    <row r="13" spans="1:2" s="1314" customFormat="1">
      <c r="A13" s="1312" t="s">
        <v>954</v>
      </c>
      <c r="B13" s="1313" t="str">
        <f>'预评函-1'!A18</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t="e">
        <f ca="1">'预评函-2'!D5</f>
        <v>#REF!</v>
      </c>
    </row>
    <row r="21" spans="1:2" s="1314" customFormat="1">
      <c r="A21" s="1312" t="s">
        <v>962</v>
      </c>
      <c r="B21" s="1313" t="e">
        <f ca="1">'预评函-2'!D7</f>
        <v>#REF!</v>
      </c>
    </row>
    <row r="22" spans="1:2" s="1314" customFormat="1">
      <c r="A22" s="1312" t="s">
        <v>963</v>
      </c>
      <c r="B22" s="1313" t="e">
        <f ca="1">'预评函-2'!D6</f>
        <v>#REF!</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t="e">
        <f ca="1">'预评函-2'!D13</f>
        <v>#REF!</v>
      </c>
    </row>
    <row r="31" spans="1:2" s="1314" customFormat="1">
      <c r="A31" s="1312" t="s">
        <v>1001</v>
      </c>
      <c r="B31" s="1313" t="e">
        <f ca="1">'预评函-2'!D15</f>
        <v>#REF!</v>
      </c>
    </row>
    <row r="32" spans="1:2" s="1314" customFormat="1">
      <c r="A32" s="1312" t="s">
        <v>968</v>
      </c>
      <c r="B32" s="1313" t="e">
        <f ca="1">'预评函-2'!D14</f>
        <v>#REF!</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24865.040000000005</v>
      </c>
    </row>
    <row r="44" spans="1:2" s="1314" customFormat="1">
      <c r="A44" s="1312" t="s">
        <v>1000</v>
      </c>
      <c r="B44" s="1313" t="str">
        <f>'预评函-3'!C2</f>
        <v>(分摊)土地面积</v>
      </c>
    </row>
    <row r="45" spans="1:2" s="1314" customFormat="1">
      <c r="A45" s="1312" t="s">
        <v>972</v>
      </c>
      <c r="B45" s="1313">
        <f>'预评函-3'!C4</f>
        <v>1899.7</v>
      </c>
    </row>
    <row r="46" spans="1:2" s="1314" customFormat="1">
      <c r="A46" s="1312" t="s">
        <v>998</v>
      </c>
      <c r="B46" s="1313" t="str">
        <f>'预评函-3'!D2</f>
        <v>出让国有建设用地使用权价值</v>
      </c>
    </row>
    <row r="47" spans="1:2" s="1314" customFormat="1">
      <c r="A47" s="1312" t="s">
        <v>973</v>
      </c>
      <c r="B47" s="1313" t="e">
        <f ca="1">'预评函-3'!D4</f>
        <v>#REF!</v>
      </c>
    </row>
    <row r="48" spans="1:2" s="1314" customFormat="1">
      <c r="A48" s="1312" t="s">
        <v>974</v>
      </c>
      <c r="B48" s="1313" t="e">
        <f ca="1">'预评函-3'!E4</f>
        <v>#REF!</v>
      </c>
    </row>
    <row r="49" spans="1:2" s="1314" customFormat="1">
      <c r="A49" s="1312" t="s">
        <v>975</v>
      </c>
      <c r="B49" s="1313" t="e">
        <f ca="1">'预评函-3'!D5</f>
        <v>#REF!</v>
      </c>
    </row>
    <row r="50" spans="1:2" s="1314" customFormat="1">
      <c r="A50" s="1312" t="s">
        <v>999</v>
      </c>
      <c r="B50" s="1313" t="str">
        <f>'预评函-3'!F2</f>
        <v>在建建筑物价值</v>
      </c>
    </row>
    <row r="51" spans="1:2" s="1314" customFormat="1">
      <c r="A51" s="1312" t="s">
        <v>976</v>
      </c>
      <c r="B51" s="1313" t="e">
        <f ca="1">'预评函-3'!F4</f>
        <v>#REF!</v>
      </c>
    </row>
    <row r="52" spans="1:2" s="1314" customFormat="1">
      <c r="A52" s="1312" t="s">
        <v>977</v>
      </c>
      <c r="B52" s="1313" t="e">
        <f ca="1">'预评函-3'!G4</f>
        <v>#REF!</v>
      </c>
    </row>
    <row r="53" spans="1:2" s="1314" customFormat="1">
      <c r="A53" s="1312" t="s">
        <v>1005</v>
      </c>
      <c r="B53" s="1313" t="e">
        <f ca="1">'预评函-3'!F5</f>
        <v>#REF!</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81" t="s">
        <v>3221</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2792</v>
      </c>
      <c r="C17" s="1679"/>
    </row>
    <row r="18" spans="1:3">
      <c r="A18" s="1678" t="s">
        <v>1490</v>
      </c>
      <c r="B18" s="1678" t="s">
        <v>2936</v>
      </c>
      <c r="C18" s="1679"/>
    </row>
    <row r="19" spans="1:3">
      <c r="A19" s="1678" t="s">
        <v>1491</v>
      </c>
      <c r="B19" s="1681" t="s">
        <v>3222</v>
      </c>
      <c r="C19" s="1679"/>
    </row>
    <row r="20" spans="1:3">
      <c r="A20" s="1678" t="s">
        <v>1492</v>
      </c>
      <c r="B20" s="1678" t="s">
        <v>577</v>
      </c>
      <c r="C20" s="1679"/>
    </row>
    <row r="21" spans="1:3">
      <c r="A21" s="1678" t="s">
        <v>1493</v>
      </c>
      <c r="B21" s="1678" t="s">
        <v>577</v>
      </c>
      <c r="C21" s="1679"/>
    </row>
    <row r="22" spans="1:3">
      <c r="A22" s="1678" t="s">
        <v>1494</v>
      </c>
      <c r="B22" s="1678" t="s">
        <v>577</v>
      </c>
      <c r="C22" s="1679"/>
    </row>
    <row r="23" spans="1:3">
      <c r="A23" s="1678" t="s">
        <v>1495</v>
      </c>
      <c r="B23" s="1678" t="s">
        <v>577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04"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686" t="s">
        <v>651</v>
      </c>
      <c r="C54" s="1683" t="s">
        <v>1008</v>
      </c>
    </row>
    <row r="55" spans="1:4">
      <c r="A55" s="3304"/>
      <c r="B55" s="1686" t="s">
        <v>652</v>
      </c>
      <c r="C55" s="1683" t="s">
        <v>1009</v>
      </c>
    </row>
    <row r="56" spans="1:4">
      <c r="A56" s="3304"/>
      <c r="B56" s="1686" t="s">
        <v>653</v>
      </c>
      <c r="C56" s="1683" t="s">
        <v>1013</v>
      </c>
    </row>
    <row r="57" spans="1:4">
      <c r="A57" s="3304"/>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30" zoomScaleNormal="100" zoomScaleSheetLayoutView="130" workbookViewId="0">
      <selection activeCell="F13" sqref="F13:G13"/>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1" customWidth="1"/>
    <col min="12" max="13" width="10" style="2802"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2667</v>
      </c>
      <c r="B1" s="3313" t="str">
        <f>IF(B10="北京市","北京市",C10)&amp;F10&amp;IF(结果表!G1="在建","出让国有建设用地使用权及在建建筑物",IF(结果表!G1="土地","出让国有建设用地使用权",))&amp;B9&amp;"预评估"</f>
        <v>北京市房地产抵押价值预评估</v>
      </c>
      <c r="C1" s="3314"/>
      <c r="D1" s="3314"/>
      <c r="E1" s="3314"/>
      <c r="F1" s="3314"/>
      <c r="G1" s="3314"/>
      <c r="H1" s="3314"/>
      <c r="I1" s="3315"/>
      <c r="J1" s="2643"/>
      <c r="K1" s="2538"/>
      <c r="L1" s="2539"/>
      <c r="M1" s="2539"/>
      <c r="N1" s="2540"/>
      <c r="O1" s="1708"/>
      <c r="P1" s="2540"/>
      <c r="Q1" s="2540"/>
      <c r="R1" s="2540"/>
      <c r="S1" s="1815"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2668</v>
      </c>
      <c r="B2" s="2541"/>
      <c r="C2" s="2542"/>
      <c r="D2" s="2845"/>
      <c r="E2" s="2835"/>
      <c r="F2" s="2835"/>
      <c r="G2" s="2836"/>
      <c r="H2" s="2836"/>
      <c r="I2" s="2836"/>
      <c r="J2" s="2643"/>
      <c r="K2" s="2538"/>
      <c r="L2" s="2539"/>
      <c r="M2" s="2539"/>
      <c r="N2" s="2540"/>
      <c r="O2" s="1708"/>
      <c r="P2" s="2540"/>
      <c r="Q2" s="2540"/>
      <c r="R2" s="2540"/>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7" t="s">
        <v>2669</v>
      </c>
      <c r="B3" s="2543"/>
      <c r="C3" s="2544" t="s">
        <v>2670</v>
      </c>
      <c r="D3" s="2543">
        <v>44805</v>
      </c>
      <c r="E3" s="2836"/>
      <c r="F3" s="2836"/>
      <c r="G3" s="2836"/>
      <c r="H3" s="2836"/>
      <c r="I3" s="2836"/>
      <c r="J3" s="2643"/>
      <c r="K3" s="2538"/>
      <c r="L3" s="2539"/>
      <c r="M3" s="2539"/>
      <c r="N3" s="2540"/>
      <c r="O3" s="1708"/>
      <c r="P3" s="2540"/>
      <c r="Q3" s="2540"/>
      <c r="R3" s="2540"/>
      <c r="S3" s="1815"/>
      <c r="T3" s="1878"/>
      <c r="U3" s="1878"/>
      <c r="V3" s="1878"/>
      <c r="W3" s="1878"/>
      <c r="X3" s="1878"/>
      <c r="Y3" s="1878"/>
      <c r="Z3" s="1878"/>
      <c r="AA3" s="1878"/>
      <c r="AB3" s="1878"/>
    </row>
    <row r="4" spans="1:28" ht="13.5" thickBot="1">
      <c r="A4" s="1199" t="s">
        <v>2671</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8"/>
      <c r="P4" s="2540"/>
      <c r="Q4" s="2540"/>
      <c r="R4" s="2540"/>
      <c r="S4" s="1815"/>
      <c r="T4" s="1878"/>
      <c r="U4" s="1878"/>
      <c r="V4" s="1878"/>
      <c r="W4" s="1878"/>
      <c r="X4" s="1878"/>
      <c r="Y4" s="1878"/>
      <c r="Z4" s="1878"/>
      <c r="AA4" s="1878"/>
      <c r="AB4" s="1878"/>
    </row>
    <row r="5" spans="1:28" ht="13.5" thickTop="1">
      <c r="A5" s="2549" t="s">
        <v>2672</v>
      </c>
      <c r="B5" s="2550"/>
      <c r="C5" s="2551"/>
      <c r="D5" s="2552"/>
      <c r="E5" s="2837"/>
      <c r="F5" s="2837"/>
      <c r="G5" s="2837"/>
      <c r="H5" s="2837"/>
      <c r="I5" s="2837"/>
      <c r="J5" s="2611"/>
      <c r="K5" s="2548" t="str">
        <f>IF(F4="——","",IF(H4="——",F4&amp;"（注册号："&amp;G4&amp;")",CONCATENATE(F4,"（注册号：",G4,")、",H4,"（注册号：",I4,")")))</f>
        <v>（注册号：0)、（注册号：0)</v>
      </c>
      <c r="L5" s="2539"/>
      <c r="M5" s="2539"/>
      <c r="N5" s="2540"/>
      <c r="O5" s="1708"/>
      <c r="P5" s="2540"/>
      <c r="Q5" s="2540"/>
      <c r="R5" s="2540"/>
      <c r="S5" s="1878"/>
      <c r="T5" s="1878"/>
      <c r="U5" s="1878"/>
      <c r="V5" s="1878"/>
      <c r="W5" s="1878"/>
      <c r="X5" s="1878"/>
      <c r="Y5" s="1878"/>
      <c r="Z5" s="1878"/>
      <c r="AA5" s="1878"/>
      <c r="AB5" s="1878"/>
    </row>
    <row r="6" spans="1:28">
      <c r="A6" s="2553" t="s">
        <v>2673</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2674</v>
      </c>
      <c r="B7" s="2557"/>
      <c r="C7" s="2555"/>
      <c r="D7" s="2556"/>
      <c r="E7" s="2835"/>
      <c r="F7" s="2837"/>
      <c r="G7" s="2837"/>
      <c r="H7" s="2837"/>
      <c r="I7" s="2837"/>
      <c r="J7" s="2611"/>
      <c r="K7" s="2788"/>
      <c r="L7" s="2785"/>
      <c r="M7" s="2785"/>
      <c r="N7" s="2611"/>
      <c r="O7" s="2622"/>
      <c r="P7" s="2611"/>
      <c r="Q7" s="2611"/>
      <c r="R7" s="2611"/>
    </row>
    <row r="8" spans="1:28">
      <c r="A8" s="2558" t="s">
        <v>2675</v>
      </c>
      <c r="B8" s="2559" t="s">
        <v>3173</v>
      </c>
      <c r="C8" s="2560"/>
      <c r="D8" s="3316" t="s">
        <v>2676</v>
      </c>
      <c r="E8" s="2561" t="s">
        <v>3174</v>
      </c>
      <c r="F8" s="2562"/>
      <c r="G8" s="2836"/>
      <c r="H8" s="2836"/>
      <c r="I8" s="2836"/>
      <c r="J8" s="2611"/>
      <c r="K8" s="2786"/>
      <c r="L8" s="2785"/>
      <c r="M8" s="2785"/>
      <c r="N8" s="2611"/>
      <c r="O8" s="2622"/>
      <c r="P8" s="2611"/>
      <c r="Q8" s="2611"/>
      <c r="R8" s="2611"/>
    </row>
    <row r="9" spans="1:28" ht="13.5" thickBot="1">
      <c r="A9" s="2563" t="s">
        <v>2677</v>
      </c>
      <c r="B9" s="2564" t="s">
        <v>3174</v>
      </c>
      <c r="C9" s="2565"/>
      <c r="D9" s="3317"/>
      <c r="E9" s="2564"/>
      <c r="F9" s="2566"/>
      <c r="G9" s="2838"/>
      <c r="H9" s="2838"/>
      <c r="I9" s="2838"/>
      <c r="J9" s="2611"/>
      <c r="K9" s="2788"/>
      <c r="L9" s="2785"/>
      <c r="M9" s="2785"/>
      <c r="N9" s="2611"/>
      <c r="O9" s="2622"/>
      <c r="P9" s="2611"/>
      <c r="Q9" s="2611"/>
      <c r="R9" s="2611"/>
    </row>
    <row r="10" spans="1:28" ht="13.5" thickTop="1">
      <c r="A10" s="2567" t="s">
        <v>2678</v>
      </c>
      <c r="B10" s="2568" t="s">
        <v>3175</v>
      </c>
      <c r="C10" s="2569"/>
      <c r="D10" s="2552"/>
      <c r="E10" s="2570" t="s">
        <v>2679</v>
      </c>
      <c r="F10" s="2839"/>
      <c r="G10" s="2840"/>
      <c r="H10" s="2841"/>
      <c r="I10" s="2842"/>
      <c r="J10" s="2611"/>
      <c r="K10" s="2788"/>
      <c r="L10" s="2785"/>
      <c r="M10" s="2785"/>
      <c r="N10" s="2611"/>
      <c r="O10" s="2622"/>
      <c r="P10" s="2611"/>
      <c r="Q10" s="2611"/>
      <c r="R10" s="2611"/>
    </row>
    <row r="11" spans="1:28">
      <c r="A11" s="2571" t="s">
        <v>2680</v>
      </c>
      <c r="B11" s="2572" t="s">
        <v>3176</v>
      </c>
      <c r="C11" s="2573"/>
      <c r="D11" s="2574"/>
      <c r="E11" s="2540"/>
      <c r="F11" s="2540"/>
      <c r="G11" s="2540"/>
      <c r="H11" s="2540"/>
      <c r="I11" s="2540"/>
      <c r="J11" s="2611"/>
      <c r="K11" s="2788"/>
      <c r="L11" s="2785"/>
      <c r="M11" s="2785"/>
      <c r="N11" s="2611"/>
      <c r="O11" s="2622"/>
      <c r="P11" s="2611"/>
      <c r="Q11" s="2611"/>
      <c r="R11" s="2611"/>
    </row>
    <row r="12" spans="1:28">
      <c r="A12" s="2575" t="s">
        <v>2681</v>
      </c>
      <c r="B12" s="2572" t="s">
        <v>3177</v>
      </c>
      <c r="C12" s="328" t="s">
        <v>2682</v>
      </c>
      <c r="D12" s="2576" t="s">
        <v>2683</v>
      </c>
      <c r="E12" s="2576" t="s">
        <v>2684</v>
      </c>
      <c r="F12" s="2576" t="s">
        <v>2685</v>
      </c>
      <c r="G12" s="2576" t="s">
        <v>2686</v>
      </c>
      <c r="H12" s="2576" t="s">
        <v>2687</v>
      </c>
      <c r="I12" s="2576" t="s">
        <v>2688</v>
      </c>
      <c r="J12" s="2611"/>
      <c r="K12" s="2788"/>
      <c r="L12" s="2785"/>
      <c r="M12" s="2785"/>
      <c r="N12" s="2611"/>
      <c r="O12" s="2622"/>
      <c r="P12" s="2611"/>
      <c r="Q12" s="2611"/>
      <c r="R12" s="2611"/>
    </row>
    <row r="13" spans="1:28" ht="15">
      <c r="A13" s="1190"/>
      <c r="B13" s="2577"/>
      <c r="C13" s="2578" t="s">
        <v>2689</v>
      </c>
      <c r="D13" s="943"/>
      <c r="E13" s="943"/>
      <c r="F13" s="3238">
        <v>55285</v>
      </c>
      <c r="G13" s="3238">
        <v>55285</v>
      </c>
      <c r="H13" s="943"/>
      <c r="I13" s="943"/>
      <c r="J13" s="2611"/>
      <c r="K13" s="2788"/>
      <c r="L13" s="2785"/>
      <c r="M13" s="2785"/>
      <c r="N13" s="2611"/>
      <c r="O13" s="2622"/>
      <c r="P13" s="2611"/>
      <c r="Q13" s="2611"/>
      <c r="R13" s="2611"/>
    </row>
    <row r="14" spans="1:28">
      <c r="A14" s="1190"/>
      <c r="B14" s="2577"/>
      <c r="C14" s="2578" t="s">
        <v>2690</v>
      </c>
      <c r="D14" s="2579"/>
      <c r="E14" s="2579"/>
      <c r="F14" s="2579">
        <v>50</v>
      </c>
      <c r="G14" s="2579">
        <v>50</v>
      </c>
      <c r="H14" s="2579"/>
      <c r="I14" s="2579"/>
      <c r="J14" s="2611"/>
      <c r="K14" s="2789"/>
      <c r="L14" s="2785"/>
      <c r="M14" s="2785"/>
      <c r="N14" s="2611"/>
      <c r="O14" s="2622"/>
      <c r="P14" s="2611"/>
      <c r="Q14" s="2611"/>
      <c r="R14" s="2611"/>
    </row>
    <row r="15" spans="1:28">
      <c r="A15" s="325"/>
      <c r="B15" s="2580"/>
      <c r="C15" s="2581" t="s">
        <v>2691</v>
      </c>
      <c r="D15" s="2582" t="str">
        <f>IF(B12="出让",IF(D13="","",ROUNDDOWN(MIN((D13-$D$3)/365,D14),2)),D14)</f>
        <v/>
      </c>
      <c r="E15" s="2582" t="str">
        <f>IF(B12="出让",IF(E13="","",ROUNDDOWN(MIN((E13-$D$3)/365,E14),2)),E14)</f>
        <v/>
      </c>
      <c r="F15" s="2582">
        <f>IF(B12="出让",IF(F13="","",ROUNDDOWN(MIN((F13-$D$3)/365,F14),2)),F14)</f>
        <v>28.71</v>
      </c>
      <c r="G15" s="2582">
        <f>IF(B12="出让",IF(G13="","",ROUNDDOWN(MIN((G13-$D$3)/365,G14),2)),G14)</f>
        <v>28.71</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2692</v>
      </c>
      <c r="B16" s="3323"/>
      <c r="C16" s="3324"/>
      <c r="D16" s="3325"/>
      <c r="E16" s="2585" t="s">
        <v>2693</v>
      </c>
      <c r="F16" s="3326"/>
      <c r="G16" s="3327"/>
      <c r="H16" s="3327"/>
      <c r="I16" s="3328"/>
      <c r="J16" s="2611"/>
      <c r="K16" s="2790"/>
      <c r="L16" s="2623"/>
      <c r="M16" s="2623"/>
      <c r="N16" s="2681"/>
      <c r="O16" s="2623"/>
      <c r="P16" s="2681"/>
      <c r="Q16" s="2611"/>
      <c r="R16" s="2611"/>
    </row>
    <row r="17" spans="1:28">
      <c r="A17" s="318" t="s">
        <v>2694</v>
      </c>
      <c r="B17" s="307" t="s">
        <v>2695</v>
      </c>
      <c r="C17" s="11">
        <f>'数据-汇总表'!E3</f>
        <v>24865.040000000005</v>
      </c>
      <c r="D17" s="2492" t="s">
        <v>2696</v>
      </c>
      <c r="E17" s="3329" t="s">
        <v>2697</v>
      </c>
      <c r="F17" s="3330"/>
      <c r="G17" s="3330"/>
      <c r="H17" s="3330"/>
      <c r="I17" s="3331"/>
      <c r="J17" s="2611"/>
      <c r="K17" s="2791"/>
      <c r="L17" s="2623"/>
      <c r="M17" s="2623"/>
      <c r="N17" s="2681"/>
      <c r="O17" s="2623"/>
      <c r="P17" s="2681"/>
      <c r="Q17" s="2611"/>
      <c r="R17" s="2611"/>
      <c r="S17" s="2611"/>
      <c r="T17" s="2611"/>
      <c r="U17" s="2611"/>
      <c r="V17" s="2611"/>
    </row>
    <row r="18" spans="1:28" ht="24.75" thickBot="1">
      <c r="A18" s="2586" t="s">
        <v>2698</v>
      </c>
      <c r="B18" s="1199" t="s">
        <v>2699</v>
      </c>
      <c r="C18" s="2587">
        <f>'数据-汇总表'!D3</f>
        <v>1899.7</v>
      </c>
      <c r="D18" s="1201" t="s">
        <v>2700</v>
      </c>
      <c r="E18" s="3332" t="s">
        <v>2701</v>
      </c>
      <c r="F18" s="3333"/>
      <c r="G18" s="3333"/>
      <c r="H18" s="3333"/>
      <c r="I18" s="3334"/>
      <c r="J18" s="2611"/>
      <c r="K18" s="2791"/>
      <c r="L18" s="2623"/>
      <c r="M18" s="2623"/>
      <c r="N18" s="2681"/>
      <c r="O18" s="2623"/>
      <c r="P18" s="2681"/>
      <c r="Q18" s="2611"/>
      <c r="R18" s="2611"/>
      <c r="S18" s="2611"/>
      <c r="T18" s="2611"/>
      <c r="U18" s="2611"/>
      <c r="V18" s="2611"/>
    </row>
    <row r="19" spans="1:28" ht="37.5" thickTop="1" thickBot="1">
      <c r="A19" s="332" t="s">
        <v>1499</v>
      </c>
      <c r="B19" s="312" t="s">
        <v>2702</v>
      </c>
      <c r="C19" s="1695" t="s">
        <v>3178</v>
      </c>
      <c r="D19" s="1696" t="s">
        <v>2703</v>
      </c>
      <c r="E19" s="1697"/>
      <c r="F19" s="1698" t="str">
        <f>IF(AND(C19="是",E19="否"),"是否提供他项权证或相关说明","")</f>
        <v/>
      </c>
      <c r="G19" s="1699"/>
      <c r="H19" s="2837"/>
      <c r="I19" s="2837"/>
      <c r="J19" s="2611"/>
      <c r="K19" s="2788"/>
      <c r="L19" s="2785"/>
      <c r="M19" s="2785"/>
      <c r="N19" s="2681"/>
      <c r="O19" s="2623"/>
      <c r="P19" s="2681"/>
      <c r="Q19" s="2611"/>
      <c r="R19" s="2611"/>
      <c r="S19" s="2611"/>
      <c r="T19" s="2611"/>
      <c r="U19" s="2611"/>
      <c r="V19" s="2611"/>
    </row>
    <row r="20" spans="1:28">
      <c r="A20" s="2805" t="s">
        <v>2704</v>
      </c>
      <c r="B20" s="3319" t="s">
        <v>2705</v>
      </c>
      <c r="C20" s="3320"/>
      <c r="D20" s="3321" t="s">
        <v>2706</v>
      </c>
      <c r="E20" s="3322"/>
      <c r="F20" s="2820" t="s">
        <v>1500</v>
      </c>
      <c r="G20" s="2837"/>
      <c r="H20" s="2837"/>
      <c r="I20" s="2837"/>
      <c r="J20" s="2611"/>
      <c r="K20" s="3318" t="s">
        <v>2707</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8"/>
      <c r="X20" s="1878"/>
      <c r="Y20" s="1878"/>
      <c r="Z20" s="1878"/>
      <c r="AA20" s="1878"/>
      <c r="AB20" s="1878"/>
    </row>
    <row r="21" spans="1:28" ht="24.75" thickBot="1">
      <c r="A21" s="2805"/>
      <c r="B21" s="2806" t="s">
        <v>2708</v>
      </c>
      <c r="C21" s="2807" t="s">
        <v>1501</v>
      </c>
      <c r="D21" s="1700" t="s">
        <v>2709</v>
      </c>
      <c r="E21" s="2808" t="s">
        <v>1501</v>
      </c>
      <c r="F21" s="2821"/>
      <c r="G21" s="2837"/>
      <c r="H21" s="2837"/>
      <c r="I21" s="2837"/>
      <c r="J21" s="2611"/>
      <c r="K21" s="331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5"/>
      <c r="B22" s="2809" t="s">
        <v>2710</v>
      </c>
      <c r="C22" s="2807" t="s">
        <v>1502</v>
      </c>
      <c r="D22" s="2836"/>
      <c r="E22" s="2836"/>
      <c r="F22" s="2836"/>
      <c r="G22" s="2837"/>
      <c r="H22" s="2837"/>
      <c r="I22" s="2837"/>
      <c r="J22" s="2611"/>
      <c r="K22" s="331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10" t="s">
        <v>2711</v>
      </c>
      <c r="B23" s="2674" t="s">
        <v>2712</v>
      </c>
      <c r="C23" s="2811"/>
      <c r="D23" s="2812" t="s">
        <v>2712</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1503</v>
      </c>
      <c r="C24" s="2814"/>
      <c r="D24" s="2810" t="s">
        <v>1503</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1504</v>
      </c>
      <c r="C25" s="2814"/>
      <c r="D25" s="2810" t="s">
        <v>1504</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1505</v>
      </c>
      <c r="C26" s="2818"/>
      <c r="D26" s="2816" t="s">
        <v>1505</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06" t="s">
        <v>2713</v>
      </c>
      <c r="B27" s="325" t="s">
        <v>2714</v>
      </c>
      <c r="C27" s="2588" t="s">
        <v>3186</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306"/>
      <c r="B28" s="307" t="s">
        <v>2715</v>
      </c>
      <c r="C28" s="2590" t="s">
        <v>3187</v>
      </c>
      <c r="D28" s="2591"/>
      <c r="E28" s="2837"/>
      <c r="F28" s="2837"/>
      <c r="G28" s="2837"/>
      <c r="H28" s="2837"/>
      <c r="I28" s="2837"/>
      <c r="J28" s="2611"/>
      <c r="K28" s="2788"/>
      <c r="L28" s="2785"/>
      <c r="M28" s="2785"/>
      <c r="N28" s="2611"/>
      <c r="O28" s="2622"/>
      <c r="P28" s="2611"/>
      <c r="Q28" s="2611"/>
      <c r="R28" s="2611"/>
      <c r="S28" s="2611"/>
      <c r="T28" s="2611"/>
      <c r="U28" s="2611"/>
      <c r="V28" s="2611"/>
    </row>
    <row r="29" spans="1:28">
      <c r="A29" s="3306"/>
      <c r="B29" s="307" t="s">
        <v>2716</v>
      </c>
      <c r="C29" s="2592" t="s">
        <v>3188</v>
      </c>
      <c r="D29" s="2593"/>
      <c r="E29" s="2837"/>
      <c r="F29" s="2837"/>
      <c r="G29" s="2837"/>
      <c r="H29" s="2837"/>
      <c r="I29" s="2837"/>
      <c r="J29" s="2611"/>
      <c r="K29" s="2788"/>
      <c r="L29" s="2785"/>
      <c r="M29" s="2785"/>
      <c r="N29" s="2611"/>
      <c r="O29" s="2622"/>
      <c r="P29" s="2611"/>
      <c r="Q29" s="2611"/>
      <c r="R29" s="2611"/>
      <c r="S29" s="2611"/>
      <c r="T29" s="2611"/>
      <c r="U29" s="2611"/>
      <c r="V29" s="2611"/>
    </row>
    <row r="30" spans="1:28">
      <c r="A30" s="3307"/>
      <c r="B30" s="307" t="s">
        <v>2717</v>
      </c>
      <c r="C30" s="3308"/>
      <c r="D30" s="3309"/>
      <c r="E30" s="2837"/>
      <c r="F30" s="2837"/>
      <c r="G30" s="2837"/>
      <c r="H30" s="2837"/>
      <c r="I30" s="2837"/>
      <c r="J30" s="2611"/>
      <c r="K30" s="2788"/>
      <c r="L30" s="2785"/>
      <c r="M30" s="2785"/>
      <c r="N30" s="2611"/>
      <c r="O30" s="2622"/>
      <c r="P30" s="2611"/>
      <c r="Q30" s="2611"/>
      <c r="R30" s="2611"/>
      <c r="S30" s="2611"/>
      <c r="T30" s="2611"/>
      <c r="U30" s="2611"/>
      <c r="V30" s="2611"/>
    </row>
    <row r="31" spans="1:28">
      <c r="A31" s="3310" t="s">
        <v>2718</v>
      </c>
      <c r="B31" s="2594" t="s">
        <v>3185</v>
      </c>
      <c r="C31" s="2493" t="str">
        <f>IF(B31="现房","成新及维护状况正常否",IF(B31="在建","工程状态是否正常",IF(B31="土地","是否闲置","-")))</f>
        <v>成新及维护状况正常否</v>
      </c>
      <c r="D31" s="1504"/>
      <c r="E31" s="2595"/>
      <c r="F31" s="2837"/>
      <c r="G31" s="2837"/>
      <c r="H31" s="2837"/>
      <c r="I31" s="2837"/>
      <c r="J31" s="2611"/>
      <c r="K31" s="2787"/>
      <c r="L31" s="2785"/>
      <c r="M31" s="2785"/>
      <c r="N31" s="2611"/>
      <c r="O31" s="2622"/>
      <c r="P31" s="2611"/>
      <c r="Q31" s="2611"/>
      <c r="R31" s="2611"/>
      <c r="S31" s="2611"/>
      <c r="T31" s="2611"/>
      <c r="U31" s="2611"/>
      <c r="V31" s="2611"/>
    </row>
    <row r="32" spans="1:28">
      <c r="A32" s="3311"/>
      <c r="B32" s="2594"/>
      <c r="C32" s="2493" t="str">
        <f>IF(B32="现房","成新及维护状况是否正常",IF(B32="在建","工程状态是否正常",IF(B32="土地","是否闲置","-")))</f>
        <v>-</v>
      </c>
      <c r="D32" s="1504"/>
      <c r="E32" s="2595"/>
      <c r="F32" s="2837"/>
      <c r="G32" s="2837"/>
      <c r="H32" s="2837"/>
      <c r="I32" s="2837"/>
      <c r="J32" s="2611"/>
      <c r="K32" s="2788"/>
      <c r="L32" s="2785"/>
      <c r="M32" s="2785"/>
      <c r="N32" s="2611"/>
      <c r="O32" s="2622"/>
      <c r="P32" s="2611"/>
      <c r="Q32" s="2611"/>
      <c r="R32" s="2611"/>
      <c r="S32" s="2611"/>
      <c r="T32" s="2611"/>
      <c r="U32" s="2611"/>
      <c r="V32" s="2611"/>
    </row>
    <row r="33" spans="1:30">
      <c r="A33" s="3311"/>
      <c r="B33" s="2597"/>
      <c r="C33" s="1722" t="str">
        <f>IF(B33="现房","成新及维护状况是否正常",IF(B33="在建","工程状态是否正常",IF(B33="土地","是否闲置","-")))</f>
        <v>-</v>
      </c>
      <c r="D33" s="1496"/>
      <c r="E33" s="2598"/>
      <c r="F33" s="2837"/>
      <c r="G33" s="2837"/>
      <c r="H33" s="2837"/>
      <c r="I33" s="2837"/>
      <c r="J33" s="2611"/>
      <c r="K33" s="2788"/>
      <c r="L33" s="2785"/>
      <c r="M33" s="2785"/>
      <c r="N33" s="2611"/>
      <c r="O33" s="2622"/>
      <c r="P33" s="2611"/>
      <c r="Q33" s="2611"/>
      <c r="R33" s="2611"/>
      <c r="S33" s="2611"/>
      <c r="T33" s="2611"/>
      <c r="U33" s="2611"/>
      <c r="V33" s="2611"/>
    </row>
    <row r="34" spans="1:30">
      <c r="A34" s="307" t="s">
        <v>2719</v>
      </c>
      <c r="B34" s="2161" t="s">
        <v>3179</v>
      </c>
      <c r="C34" s="2161" t="s">
        <v>3180</v>
      </c>
      <c r="D34" s="2161" t="s">
        <v>3181</v>
      </c>
      <c r="E34" s="2161" t="s">
        <v>3182</v>
      </c>
      <c r="F34" s="2161" t="s">
        <v>3183</v>
      </c>
      <c r="G34" s="2161" t="s">
        <v>3184</v>
      </c>
      <c r="H34" s="2161"/>
      <c r="I34" s="2837"/>
      <c r="J34" s="2611"/>
      <c r="K34" s="2599">
        <f>COUNTIF(B34:H34,"——")</f>
        <v>0</v>
      </c>
      <c r="L34" s="328" t="s">
        <v>2720</v>
      </c>
      <c r="M34" s="328" t="s">
        <v>2721</v>
      </c>
      <c r="N34" s="328" t="s">
        <v>2722</v>
      </c>
      <c r="O34" s="328" t="s">
        <v>2723</v>
      </c>
      <c r="P34" s="328" t="s">
        <v>2724</v>
      </c>
      <c r="Q34" s="328" t="s">
        <v>2725</v>
      </c>
      <c r="R34" s="328" t="s">
        <v>2726</v>
      </c>
      <c r="S34" s="3305" t="s">
        <v>2727</v>
      </c>
      <c r="T34" s="2600" t="str">
        <f>NUMBERSTRING(7-K34,1)&amp;"通"</f>
        <v>七通</v>
      </c>
      <c r="U34" s="2611"/>
      <c r="V34" s="2611"/>
    </row>
    <row r="35" spans="1:30">
      <c r="A35" s="2601"/>
      <c r="B35" s="3312" t="s">
        <v>2728</v>
      </c>
      <c r="C35" s="3312"/>
      <c r="D35" s="3312"/>
      <c r="E35" s="3312"/>
      <c r="F35" s="670">
        <f>C10</f>
        <v>0</v>
      </c>
      <c r="G35" s="2837"/>
      <c r="H35" s="2837"/>
      <c r="I35" s="2837"/>
      <c r="J35" s="2611"/>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305"/>
      <c r="T35" s="334" t="str">
        <f>IF(T34="一通",L35,IF(T34="二通",M35,IF(T34="三通",N35,IF(T34="四通",O35,IF(T34="五通",P35,IF(T34="六通",Q35,R35))))))</f>
        <v>通路、通电、通讯、通上水、通下水、燃气、</v>
      </c>
      <c r="U35" s="2611"/>
      <c r="V35" s="2611"/>
    </row>
    <row r="36" spans="1:30">
      <c r="A36" s="2602"/>
      <c r="B36" s="670" t="s">
        <v>2684</v>
      </c>
      <c r="C36" s="670" t="s">
        <v>2685</v>
      </c>
      <c r="D36" s="670" t="s">
        <v>2683</v>
      </c>
      <c r="E36" s="670" t="s">
        <v>2688</v>
      </c>
      <c r="F36" s="2843"/>
      <c r="G36" s="2837"/>
      <c r="H36" s="2837"/>
      <c r="I36" s="2837"/>
      <c r="J36" s="2611"/>
      <c r="K36" s="2788"/>
      <c r="L36" s="2785"/>
      <c r="M36" s="2785"/>
      <c r="N36" s="2611"/>
      <c r="O36" s="2622"/>
      <c r="P36" s="2611"/>
      <c r="Q36" s="2611"/>
      <c r="R36" s="2611"/>
      <c r="S36" s="2611"/>
      <c r="T36" s="2611"/>
      <c r="U36" s="2611"/>
      <c r="V36" s="2611"/>
    </row>
    <row r="37" spans="1:30">
      <c r="A37" s="2803" t="s">
        <v>2729</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2730</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2731</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0"/>
      <c r="J40" s="2681"/>
      <c r="K40" s="2787"/>
      <c r="L40" s="2623"/>
      <c r="M40" s="2623"/>
      <c r="N40" s="2681"/>
      <c r="O40" s="2623"/>
      <c r="P40" s="2611"/>
      <c r="Q40" s="2611"/>
      <c r="R40" s="2611"/>
      <c r="S40" s="2611"/>
      <c r="T40" s="2611"/>
      <c r="U40" s="2611"/>
      <c r="V40" s="2611"/>
    </row>
    <row r="41" spans="1:30">
      <c r="A41" s="2608" t="s">
        <v>2732</v>
      </c>
      <c r="B41" s="1890"/>
      <c r="C41" s="1504"/>
      <c r="D41" s="2540"/>
      <c r="E41" s="2540"/>
      <c r="F41" s="2540"/>
      <c r="G41" s="2540"/>
      <c r="H41" s="2540"/>
      <c r="I41" s="1708"/>
      <c r="J41" s="2611"/>
      <c r="K41" s="2788"/>
      <c r="L41" s="2785"/>
      <c r="M41" s="2785"/>
      <c r="N41" s="2611"/>
      <c r="O41" s="2622"/>
      <c r="P41" s="2611"/>
      <c r="Q41" s="2611"/>
      <c r="R41" s="2611"/>
      <c r="S41" s="2611"/>
      <c r="T41" s="2611"/>
      <c r="U41" s="2611"/>
      <c r="V41" s="2611"/>
    </row>
    <row r="42" spans="1:30" ht="25.5">
      <c r="A42" s="328" t="s">
        <v>2733</v>
      </c>
      <c r="B42" s="11" t="s">
        <v>2734</v>
      </c>
      <c r="C42" s="11" t="s">
        <v>2735</v>
      </c>
      <c r="D42" s="11" t="s">
        <v>2736</v>
      </c>
      <c r="E42" s="11" t="s">
        <v>2737</v>
      </c>
      <c r="F42" s="11" t="s">
        <v>2738</v>
      </c>
      <c r="G42" s="11" t="s">
        <v>2739</v>
      </c>
      <c r="H42" s="11" t="s">
        <v>2740</v>
      </c>
      <c r="I42" s="11" t="s">
        <v>2741</v>
      </c>
      <c r="J42" s="2799" t="s">
        <v>2742</v>
      </c>
      <c r="K42" s="2800" t="s">
        <v>2743</v>
      </c>
      <c r="L42" s="2800" t="s">
        <v>2744</v>
      </c>
      <c r="M42" s="2800" t="s">
        <v>2745</v>
      </c>
      <c r="N42" s="2793" t="s">
        <v>2746</v>
      </c>
      <c r="O42" s="2793" t="s">
        <v>2747</v>
      </c>
      <c r="P42" s="2793" t="s">
        <v>2748</v>
      </c>
      <c r="Q42" s="2794" t="s">
        <v>2749</v>
      </c>
      <c r="R42" s="2794" t="s">
        <v>2750</v>
      </c>
      <c r="S42" s="2611"/>
      <c r="T42" s="2611"/>
      <c r="U42" s="2611"/>
      <c r="V42" s="2611"/>
    </row>
    <row r="43" spans="1:30" s="1876" customFormat="1">
      <c r="A43" s="1702"/>
      <c r="B43" s="1159"/>
      <c r="C43" s="1159"/>
      <c r="D43" s="1159"/>
      <c r="E43" s="1159"/>
      <c r="F43" s="1159"/>
      <c r="G43" s="1159"/>
      <c r="H43" s="1159"/>
      <c r="I43" s="1159"/>
      <c r="J43" s="2609"/>
      <c r="K43" s="2610"/>
      <c r="L43" s="2610"/>
      <c r="M43" s="1159"/>
      <c r="N43" s="1159"/>
      <c r="O43" s="1159"/>
      <c r="P43" s="1159"/>
      <c r="Q43" s="1159"/>
      <c r="R43" s="1159"/>
      <c r="S43" s="2611"/>
      <c r="T43" s="2611"/>
      <c r="U43" s="2611"/>
      <c r="V43" s="2611"/>
    </row>
    <row r="44" spans="1:30" s="1876" customFormat="1">
      <c r="A44" s="1702"/>
      <c r="B44" s="1702"/>
      <c r="C44" s="1159"/>
      <c r="D44" s="1159"/>
      <c r="E44" s="1159"/>
      <c r="F44" s="1159"/>
      <c r="G44" s="1159"/>
      <c r="H44" s="1159"/>
      <c r="I44" s="1159"/>
      <c r="J44" s="2609"/>
      <c r="K44" s="2610"/>
      <c r="L44" s="2610"/>
      <c r="M44" s="1159"/>
      <c r="N44" s="1159"/>
      <c r="O44" s="1159"/>
      <c r="P44" s="1159"/>
      <c r="Q44" s="1159"/>
      <c r="R44" s="1159"/>
      <c r="S44" s="2611"/>
      <c r="T44" s="2611"/>
      <c r="U44" s="2611"/>
      <c r="V44" s="2611"/>
    </row>
    <row r="45" spans="1:30" s="1876" customFormat="1">
      <c r="A45" s="1702"/>
      <c r="B45" s="1702"/>
      <c r="C45" s="1159"/>
      <c r="D45" s="1159"/>
      <c r="E45" s="1159"/>
      <c r="F45" s="1159"/>
      <c r="G45" s="1159"/>
      <c r="H45" s="1159"/>
      <c r="I45" s="1159"/>
      <c r="J45" s="2609"/>
      <c r="K45" s="2610"/>
      <c r="L45" s="2610"/>
      <c r="M45" s="1159"/>
      <c r="N45" s="1159"/>
      <c r="O45" s="1159"/>
      <c r="P45" s="1159"/>
      <c r="Q45" s="1159"/>
      <c r="R45" s="1159"/>
      <c r="S45" s="2611"/>
      <c r="T45" s="2611"/>
      <c r="U45" s="2611"/>
      <c r="V45" s="2611"/>
    </row>
    <row r="46" spans="1:30" s="1876" customFormat="1">
      <c r="A46" s="1702"/>
      <c r="B46" s="1702"/>
      <c r="C46" s="1159"/>
      <c r="D46" s="1159"/>
      <c r="E46" s="1159"/>
      <c r="F46" s="1159"/>
      <c r="G46" s="1159"/>
      <c r="H46" s="1159"/>
      <c r="I46" s="1159"/>
      <c r="J46" s="2609"/>
      <c r="K46" s="2610"/>
      <c r="L46" s="2610"/>
      <c r="M46" s="1159"/>
      <c r="N46" s="1159"/>
      <c r="O46" s="1159"/>
      <c r="P46" s="1159"/>
      <c r="Q46" s="1159"/>
      <c r="R46" s="1159"/>
      <c r="S46" s="2611"/>
      <c r="T46" s="2611"/>
      <c r="U46" s="2611"/>
      <c r="V46" s="2611"/>
    </row>
    <row r="47" spans="1:30" s="1876" customFormat="1">
      <c r="A47" s="1702"/>
      <c r="B47" s="1702"/>
      <c r="C47" s="1159"/>
      <c r="D47" s="1159"/>
      <c r="E47" s="1159"/>
      <c r="F47" s="1159"/>
      <c r="G47" s="1159"/>
      <c r="H47" s="1159"/>
      <c r="I47" s="1159"/>
      <c r="J47" s="2609"/>
      <c r="K47" s="2610"/>
      <c r="L47" s="2610"/>
      <c r="M47" s="1159"/>
      <c r="N47" s="1159"/>
      <c r="O47" s="1159"/>
      <c r="P47" s="1159"/>
      <c r="Q47" s="1159"/>
      <c r="R47" s="1159"/>
      <c r="S47" s="2611"/>
      <c r="T47" s="2611"/>
      <c r="U47" s="2611"/>
      <c r="V47" s="2611"/>
    </row>
    <row r="48" spans="1:30" s="1876" customFormat="1">
      <c r="A48" s="1702"/>
      <c r="B48" s="1702"/>
      <c r="C48" s="1159"/>
      <c r="D48" s="1159"/>
      <c r="E48" s="1159"/>
      <c r="F48" s="1159"/>
      <c r="G48" s="1159"/>
      <c r="H48" s="1159"/>
      <c r="I48" s="1159"/>
      <c r="J48" s="2609"/>
      <c r="K48" s="2610"/>
      <c r="L48" s="2610"/>
      <c r="M48" s="1159"/>
      <c r="N48" s="1159"/>
      <c r="O48" s="1159"/>
      <c r="P48" s="1159"/>
      <c r="Q48" s="1159"/>
      <c r="R48" s="1159"/>
      <c r="S48" s="2611"/>
      <c r="T48" s="2611"/>
      <c r="U48" s="2611"/>
      <c r="V48" s="2611"/>
    </row>
    <row r="49" spans="1:22" s="1876" customFormat="1">
      <c r="A49" s="1702"/>
      <c r="B49" s="1702"/>
      <c r="C49" s="1159"/>
      <c r="D49" s="1159"/>
      <c r="E49" s="1159"/>
      <c r="F49" s="1159"/>
      <c r="G49" s="1159"/>
      <c r="H49" s="1159"/>
      <c r="I49" s="1159"/>
      <c r="J49" s="2609"/>
      <c r="K49" s="2610"/>
      <c r="L49" s="2610"/>
      <c r="M49" s="1159"/>
      <c r="N49" s="1159"/>
      <c r="O49" s="1159"/>
      <c r="P49" s="1159"/>
      <c r="Q49" s="1159"/>
      <c r="R49" s="1159"/>
      <c r="S49" s="2611"/>
      <c r="T49" s="2611"/>
      <c r="U49" s="2611"/>
      <c r="V49" s="2611"/>
    </row>
    <row r="50" spans="1:22" s="1876" customFormat="1">
      <c r="A50" s="1702"/>
      <c r="B50" s="1702"/>
      <c r="C50" s="1159"/>
      <c r="D50" s="1159"/>
      <c r="E50" s="1159"/>
      <c r="F50" s="1159"/>
      <c r="G50" s="1159"/>
      <c r="H50" s="1159"/>
      <c r="I50" s="1159"/>
      <c r="J50" s="2609"/>
      <c r="K50" s="2610"/>
      <c r="L50" s="2610"/>
      <c r="M50" s="1159"/>
      <c r="N50" s="1159"/>
      <c r="O50" s="1159"/>
      <c r="P50" s="1159"/>
      <c r="Q50" s="1159"/>
      <c r="R50" s="1159"/>
      <c r="S50" s="2611"/>
      <c r="T50" s="2611"/>
      <c r="U50" s="2611"/>
      <c r="V50" s="2611"/>
    </row>
    <row r="51" spans="1:22" s="1876" customFormat="1">
      <c r="A51" s="1702"/>
      <c r="B51" s="1702"/>
      <c r="C51" s="1159"/>
      <c r="D51" s="1159"/>
      <c r="E51" s="1159"/>
      <c r="F51" s="1159"/>
      <c r="G51" s="1159"/>
      <c r="H51" s="1159"/>
      <c r="I51" s="1159"/>
      <c r="J51" s="2609"/>
      <c r="K51" s="2610"/>
      <c r="L51" s="2610"/>
      <c r="M51" s="1159"/>
      <c r="N51" s="1159"/>
      <c r="O51" s="1159"/>
      <c r="P51" s="1159"/>
      <c r="Q51" s="1159"/>
      <c r="R51" s="1159"/>
    </row>
    <row r="52" spans="1:22" s="1876" customFormat="1">
      <c r="A52" s="1702"/>
      <c r="B52" s="1702"/>
      <c r="C52" s="1702"/>
      <c r="D52" s="1702"/>
      <c r="E52" s="1702"/>
      <c r="F52" s="1159"/>
      <c r="G52" s="1702"/>
      <c r="H52" s="1702"/>
      <c r="I52" s="1702"/>
      <c r="J52" s="2612"/>
      <c r="K52" s="2610"/>
      <c r="L52" s="2610"/>
      <c r="M52" s="2610"/>
      <c r="N52" s="1702"/>
      <c r="O52" s="1702"/>
      <c r="P52" s="1702"/>
      <c r="Q52" s="1702"/>
      <c r="R52" s="1702"/>
    </row>
    <row r="53" spans="1:22" s="1876" customFormat="1">
      <c r="A53" s="1702"/>
      <c r="B53" s="1702"/>
      <c r="C53" s="1702"/>
      <c r="D53" s="1702"/>
      <c r="E53" s="1702"/>
      <c r="F53" s="1159"/>
      <c r="G53" s="1702"/>
      <c r="H53" s="1702"/>
      <c r="I53" s="1702"/>
      <c r="J53" s="2612"/>
      <c r="K53" s="2610"/>
      <c r="L53" s="2610"/>
      <c r="M53" s="2610"/>
      <c r="N53" s="1702"/>
      <c r="O53" s="1702"/>
      <c r="P53" s="1702"/>
      <c r="Q53" s="1702"/>
      <c r="R53" s="1702"/>
    </row>
    <row r="54" spans="1:22" s="1876" customFormat="1">
      <c r="A54" s="1702"/>
      <c r="B54" s="1702"/>
      <c r="C54" s="1702"/>
      <c r="D54" s="1702"/>
      <c r="E54" s="1702"/>
      <c r="F54" s="1159"/>
      <c r="G54" s="1702"/>
      <c r="H54" s="1702"/>
      <c r="I54" s="1702"/>
      <c r="J54" s="2612"/>
      <c r="K54" s="2610"/>
      <c r="L54" s="2610"/>
      <c r="M54" s="2610"/>
      <c r="N54" s="1702"/>
      <c r="O54" s="1702"/>
      <c r="P54" s="1702"/>
      <c r="Q54" s="1702"/>
      <c r="R54" s="1702"/>
    </row>
    <row r="55" spans="1:22" s="1876" customFormat="1">
      <c r="A55" s="1702"/>
      <c r="B55" s="1702"/>
      <c r="C55" s="1702"/>
      <c r="D55" s="1702"/>
      <c r="E55" s="1702"/>
      <c r="F55" s="1159"/>
      <c r="G55" s="1702"/>
      <c r="H55" s="1702"/>
      <c r="I55" s="1702"/>
      <c r="J55" s="2612"/>
      <c r="K55" s="2610"/>
      <c r="L55" s="2610"/>
      <c r="M55" s="2610"/>
      <c r="N55" s="1702"/>
      <c r="O55" s="1702"/>
      <c r="P55" s="1702"/>
      <c r="Q55" s="1702"/>
      <c r="R55" s="1702"/>
    </row>
    <row r="56" spans="1:22" s="1876" customFormat="1">
      <c r="A56" s="1702"/>
      <c r="B56" s="1702"/>
      <c r="C56" s="1702"/>
      <c r="D56" s="1702"/>
      <c r="E56" s="1702"/>
      <c r="F56" s="1159"/>
      <c r="G56" s="1702"/>
      <c r="H56" s="1702"/>
      <c r="I56" s="1702"/>
      <c r="J56" s="2612"/>
      <c r="K56" s="2610"/>
      <c r="L56" s="2610"/>
      <c r="M56" s="2610"/>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hidden="1" customWidth="1"/>
    <col min="16" max="16" width="9.75" style="1705" hidden="1" customWidth="1"/>
    <col min="17" max="17" width="9.375" style="1705" hidden="1" customWidth="1"/>
    <col min="18" max="18" width="9.25" style="1705" hidden="1" customWidth="1"/>
    <col min="19" max="19" width="10.875" style="1705" hidden="1" customWidth="1"/>
    <col min="20" max="21" width="10.75" style="1705" hidden="1" customWidth="1"/>
    <col min="22" max="22" width="10.875" style="1705" hidden="1" customWidth="1"/>
    <col min="23" max="27" width="10.75" style="1705" hidden="1" customWidth="1"/>
    <col min="28" max="28" width="10.875" style="1705" hidden="1"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258">
        <v>2729.06</v>
      </c>
      <c r="B3" s="13">
        <f>IF(C3="否",G5-AT5,G5)</f>
        <v>35720.530000000006</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35720.530000000006</v>
      </c>
      <c r="H5" s="15">
        <f t="shared" ref="H5:AT5" si="0">SUM(H13:H656)</f>
        <v>34365.160000000003</v>
      </c>
      <c r="I5" s="15">
        <f t="shared" si="0"/>
        <v>24865.040000000005</v>
      </c>
      <c r="J5" s="15">
        <f t="shared" si="0"/>
        <v>0</v>
      </c>
      <c r="K5" s="15">
        <f t="shared" si="0"/>
        <v>2476.71</v>
      </c>
      <c r="L5" s="15">
        <f t="shared" si="0"/>
        <v>0</v>
      </c>
      <c r="M5" s="15">
        <f t="shared" si="0"/>
        <v>7023.41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1355.37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1355.37</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24865.040000000005</v>
      </c>
      <c r="BA5" s="17">
        <f t="shared" si="1"/>
        <v>24865.040000000005</v>
      </c>
      <c r="BB5" s="17">
        <f t="shared" si="1"/>
        <v>24865.040000000005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2729.0600000000004</v>
      </c>
      <c r="F6" s="15" t="s">
        <v>1</v>
      </c>
      <c r="G6" s="15" t="s">
        <v>2</v>
      </c>
      <c r="H6" s="19">
        <f>SUMIF(I$12:AB$12,"总值",I6:AB6)</f>
        <v>2625.51</v>
      </c>
      <c r="I6" s="15">
        <f t="shared" ref="I6:AB6" si="2">ROUND($A$3*I5/$B$3,2)</f>
        <v>1899.7</v>
      </c>
      <c r="J6" s="15">
        <f t="shared" si="2"/>
        <v>0</v>
      </c>
      <c r="K6" s="15">
        <f t="shared" si="2"/>
        <v>189.22</v>
      </c>
      <c r="L6" s="15">
        <f t="shared" si="2"/>
        <v>0</v>
      </c>
      <c r="M6" s="15">
        <f t="shared" si="2"/>
        <v>536.59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103.55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103.55</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1899.7</v>
      </c>
      <c r="AZ6" s="15" t="s">
        <v>3</v>
      </c>
      <c r="BA6" s="15">
        <f>ROUND($AY$6*BA5/$AZ$5,2)</f>
        <v>1899.7</v>
      </c>
      <c r="BB6" s="15">
        <f>ROUND($AY$6*BB5/$AZ$5,2)</f>
        <v>1899.7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6"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3211</v>
      </c>
      <c r="J9" s="896"/>
      <c r="K9" s="1735" t="s">
        <v>3213</v>
      </c>
      <c r="L9" s="896"/>
      <c r="M9" s="1735" t="s">
        <v>3213</v>
      </c>
      <c r="N9" s="896"/>
      <c r="O9" s="1735"/>
      <c r="P9" s="896"/>
      <c r="Q9" s="1735"/>
      <c r="R9" s="896"/>
      <c r="S9" s="1735"/>
      <c r="T9" s="896"/>
      <c r="U9" s="1735"/>
      <c r="V9" s="896"/>
      <c r="W9" s="1735"/>
      <c r="X9" s="1736"/>
      <c r="Y9" s="1735"/>
      <c r="Z9" s="896"/>
      <c r="AA9" s="1735"/>
      <c r="AB9" s="896"/>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27</v>
      </c>
      <c r="J10" s="896"/>
      <c r="K10" s="1741" t="s">
        <v>27</v>
      </c>
      <c r="L10" s="896"/>
      <c r="M10" s="1741" t="s">
        <v>3214</v>
      </c>
      <c r="N10" s="896"/>
      <c r="O10" s="1741"/>
      <c r="P10" s="896"/>
      <c r="Q10" s="1741"/>
      <c r="R10" s="896"/>
      <c r="S10" s="1741"/>
      <c r="T10" s="896"/>
      <c r="U10" s="1741"/>
      <c r="V10" s="896"/>
      <c r="W10" s="1741"/>
      <c r="X10" s="896"/>
      <c r="Y10" s="1741"/>
      <c r="Z10" s="896"/>
      <c r="AA10" s="1741"/>
      <c r="AB10" s="896"/>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地下</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3212</v>
      </c>
      <c r="J11" s="1747"/>
      <c r="K11" s="1746" t="s">
        <v>3212</v>
      </c>
      <c r="L11" s="1747"/>
      <c r="M11" s="1746"/>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办公</v>
      </c>
      <c r="BC11" s="1731" t="str">
        <f>K10</f>
        <v>办公</v>
      </c>
      <c r="BD11" s="1731" t="str">
        <f>M10</f>
        <v>车库—办公</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办公楼</v>
      </c>
      <c r="BC12" s="1756" t="str">
        <f>K11</f>
        <v>办公楼</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51">
      <c r="A13" s="1159"/>
      <c r="B13" s="1159" t="s">
        <v>3189</v>
      </c>
      <c r="C13" s="3239">
        <v>-401</v>
      </c>
      <c r="D13" s="1757" t="s">
        <v>3188</v>
      </c>
      <c r="E13" s="15">
        <f>IF($C$3="是",ROUND($A$3*G13/$B$3,2),ROUND($A$3*(G13-AT13)/$B$3,2))</f>
        <v>54.29</v>
      </c>
      <c r="F13" s="31"/>
      <c r="G13" s="32">
        <f>H13+AC13+AT13</f>
        <v>710.56</v>
      </c>
      <c r="H13" s="19">
        <f>SUMIF(I$12:AB$12,"总值",I13:AB13)</f>
        <v>710.56</v>
      </c>
      <c r="I13" s="3241"/>
      <c r="J13" s="3241"/>
      <c r="K13" s="3241">
        <v>710.56</v>
      </c>
      <c r="L13" s="3241"/>
      <c r="M13" s="3241"/>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t="str">
        <f t="shared" si="6"/>
        <v>京（2016）海淀区不动产权第0047728号</v>
      </c>
      <c r="AX13" s="11">
        <f t="shared" si="6"/>
        <v>-401</v>
      </c>
      <c r="AY13" s="148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3239">
        <v>-402</v>
      </c>
      <c r="D14" s="1757" t="s">
        <v>3188</v>
      </c>
      <c r="E14" s="15">
        <f>IF($C$3="是",ROUND($A$3*G14/$B$3,2),ROUND($A$3*(G14-AT14)/$B$3,2))</f>
        <v>2.81</v>
      </c>
      <c r="F14" s="31"/>
      <c r="G14" s="32">
        <f>H14+AC14+AT14</f>
        <v>36.729999999999997</v>
      </c>
      <c r="H14" s="19">
        <f>SUMIF(I$12:AB$12,"总值",I14:AB14)</f>
        <v>36.729999999999997</v>
      </c>
      <c r="I14" s="3241"/>
      <c r="J14" s="3241"/>
      <c r="K14" s="3241">
        <v>36.729999999999997</v>
      </c>
      <c r="L14" s="3241"/>
      <c r="M14" s="3241"/>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-402</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51">
      <c r="A15" s="1159"/>
      <c r="B15" s="1159" t="s">
        <v>3190</v>
      </c>
      <c r="C15" s="3239">
        <v>-301</v>
      </c>
      <c r="D15" s="1757" t="s">
        <v>3188</v>
      </c>
      <c r="E15" s="15">
        <f>IF($C$3="是",ROUND($A$3*G15/$B$3,2),ROUND($A$3*(G15-AT15)/$B$3,2))</f>
        <v>418.14</v>
      </c>
      <c r="F15" s="31"/>
      <c r="G15" s="32">
        <f>H15+AC15+AT15</f>
        <v>5472.99</v>
      </c>
      <c r="H15" s="19">
        <f>SUMIF(I$12:AB$12,"总值",I15:AB15)</f>
        <v>5472.99</v>
      </c>
      <c r="I15" s="3241"/>
      <c r="J15" s="3241"/>
      <c r="K15" s="3241"/>
      <c r="L15" s="3241"/>
      <c r="M15" s="3241">
        <v>5472.99</v>
      </c>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t="str">
        <f t="shared" si="6"/>
        <v>京（2016）海淀区不动产权第0047727号</v>
      </c>
      <c r="AX15" s="11">
        <f t="shared" si="6"/>
        <v>-301</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3239">
        <v>-302</v>
      </c>
      <c r="D16" s="1757" t="s">
        <v>3188</v>
      </c>
      <c r="E16" s="15">
        <f>IF($C$3="是",ROUND($A$3*G16/$B$3,2),ROUND($A$3*(G16-AT16)/$B$3,2))</f>
        <v>23.53</v>
      </c>
      <c r="F16" s="31"/>
      <c r="G16" s="32">
        <f>H16+AC16+AT16</f>
        <v>308.01</v>
      </c>
      <c r="H16" s="19">
        <f>SUMIF(I$12:AB$12,"总值",I16:AB16)</f>
        <v>308.01</v>
      </c>
      <c r="I16" s="3241"/>
      <c r="J16" s="3241"/>
      <c r="K16" s="3241">
        <v>308.01</v>
      </c>
      <c r="L16" s="3241"/>
      <c r="M16" s="3241"/>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-302</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3239">
        <v>-303</v>
      </c>
      <c r="D17" s="1757" t="s">
        <v>3188</v>
      </c>
      <c r="E17" s="15">
        <f>IF($C$3="是",ROUND($A$3*G17/$B$3,2),ROUND($A$3*(G17-AT17)/$B$3,2))</f>
        <v>2.12</v>
      </c>
      <c r="F17" s="31"/>
      <c r="G17" s="32">
        <f>H17+AC17+AT17</f>
        <v>27.7</v>
      </c>
      <c r="H17" s="19">
        <f>SUMIF(I$12:AB$12,"总值",I17:AB17)</f>
        <v>27.7</v>
      </c>
      <c r="I17" s="3241"/>
      <c r="J17" s="3241"/>
      <c r="K17" s="3241">
        <v>27.7</v>
      </c>
      <c r="L17" s="3241"/>
      <c r="M17" s="3241"/>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-303</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240">
        <v>-304</v>
      </c>
      <c r="D18" s="1757" t="s">
        <v>3188</v>
      </c>
      <c r="E18" s="34">
        <f t="shared" ref="E18:E112" si="7">IF($C$3="是",ROUND($A$3*G18/$B$3,2),ROUND($A$3*(G18-AT18)/$B$3,2))</f>
        <v>17.13</v>
      </c>
      <c r="F18" s="35"/>
      <c r="G18" s="36">
        <f t="shared" ref="G18:G109" si="8">H18+AC18+AT18</f>
        <v>224.18</v>
      </c>
      <c r="H18" s="37">
        <f t="shared" ref="H18:H109" si="9">SUMIF(I$12:AB$12,"总值",I18:AB18)</f>
        <v>224.18</v>
      </c>
      <c r="I18" s="3242"/>
      <c r="J18" s="3242"/>
      <c r="K18" s="3242">
        <v>224.18</v>
      </c>
      <c r="L18" s="3242"/>
      <c r="M18" s="3242"/>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-304</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71.25">
      <c r="A19" s="9"/>
      <c r="B19" s="33" t="s">
        <v>3191</v>
      </c>
      <c r="C19" s="3240">
        <v>-201</v>
      </c>
      <c r="D19" s="1757" t="s">
        <v>3188</v>
      </c>
      <c r="E19" s="34">
        <f t="shared" si="7"/>
        <v>87.36</v>
      </c>
      <c r="F19" s="35"/>
      <c r="G19" s="36">
        <f t="shared" si="8"/>
        <v>1143.42</v>
      </c>
      <c r="H19" s="37">
        <f t="shared" si="9"/>
        <v>1143.42</v>
      </c>
      <c r="I19" s="3242"/>
      <c r="J19" s="3242"/>
      <c r="K19" s="3242"/>
      <c r="L19" s="3242"/>
      <c r="M19" s="3242">
        <v>1143.42</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t="str">
        <f t="shared" si="12"/>
        <v>京（2016）海淀区不动产权第0047708号</v>
      </c>
      <c r="AX19" s="1474">
        <f t="shared" si="13"/>
        <v>-201</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240">
        <v>-202</v>
      </c>
      <c r="D20" s="1757" t="s">
        <v>3188</v>
      </c>
      <c r="E20" s="34">
        <f t="shared" si="7"/>
        <v>74.069999999999993</v>
      </c>
      <c r="F20" s="35"/>
      <c r="G20" s="36">
        <f t="shared" si="8"/>
        <v>969.44</v>
      </c>
      <c r="H20" s="37">
        <f t="shared" si="9"/>
        <v>969.44</v>
      </c>
      <c r="I20" s="3242"/>
      <c r="J20" s="3242"/>
      <c r="K20" s="3242">
        <v>969.44</v>
      </c>
      <c r="L20" s="3242"/>
      <c r="M20" s="3242"/>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-202</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71.25">
      <c r="A21" s="9"/>
      <c r="B21" s="33" t="s">
        <v>3192</v>
      </c>
      <c r="C21" s="3240">
        <v>-101</v>
      </c>
      <c r="D21" s="1757" t="s">
        <v>3188</v>
      </c>
      <c r="E21" s="34">
        <f t="shared" si="7"/>
        <v>103.55</v>
      </c>
      <c r="F21" s="35"/>
      <c r="G21" s="36">
        <f t="shared" si="8"/>
        <v>1355.37</v>
      </c>
      <c r="H21" s="37">
        <f t="shared" si="9"/>
        <v>0</v>
      </c>
      <c r="I21" s="3242"/>
      <c r="J21" s="3242"/>
      <c r="K21" s="3242"/>
      <c r="L21" s="3242"/>
      <c r="M21" s="3242"/>
      <c r="N21" s="38"/>
      <c r="O21" s="38"/>
      <c r="P21" s="38"/>
      <c r="Q21" s="38"/>
      <c r="R21" s="38"/>
      <c r="S21" s="38"/>
      <c r="T21" s="38"/>
      <c r="U21" s="38"/>
      <c r="V21" s="38"/>
      <c r="W21" s="38"/>
      <c r="X21" s="38"/>
      <c r="Y21" s="38"/>
      <c r="Z21" s="38"/>
      <c r="AA21" s="38"/>
      <c r="AB21" s="38"/>
      <c r="AC21" s="34">
        <f t="shared" si="10"/>
        <v>1355.37</v>
      </c>
      <c r="AD21" s="39"/>
      <c r="AE21" s="39"/>
      <c r="AF21" s="39"/>
      <c r="AG21" s="39"/>
      <c r="AH21" s="39"/>
      <c r="AI21" s="39"/>
      <c r="AJ21" s="39"/>
      <c r="AK21" s="39"/>
      <c r="AL21" s="39">
        <v>1355.37</v>
      </c>
      <c r="AM21" s="39"/>
      <c r="AN21" s="39"/>
      <c r="AO21" s="39"/>
      <c r="AP21" s="39"/>
      <c r="AQ21" s="39"/>
      <c r="AR21" s="39"/>
      <c r="AS21" s="39"/>
      <c r="AT21" s="40"/>
      <c r="AU21" s="1763"/>
      <c r="AV21" s="1474">
        <f t="shared" si="11"/>
        <v>0</v>
      </c>
      <c r="AW21" s="1474" t="str">
        <f t="shared" si="12"/>
        <v>京（2016）海淀区不动产权第0047699号</v>
      </c>
      <c r="AX21" s="1474">
        <f t="shared" si="13"/>
        <v>-101</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240">
        <v>-102</v>
      </c>
      <c r="D22" s="1757" t="s">
        <v>3188</v>
      </c>
      <c r="E22" s="34">
        <f t="shared" si="7"/>
        <v>15.29</v>
      </c>
      <c r="F22" s="35"/>
      <c r="G22" s="36">
        <f t="shared" si="8"/>
        <v>200.09</v>
      </c>
      <c r="H22" s="37">
        <f t="shared" si="9"/>
        <v>200.09</v>
      </c>
      <c r="I22" s="3242"/>
      <c r="J22" s="3242"/>
      <c r="K22" s="3242">
        <v>200.09</v>
      </c>
      <c r="L22" s="3242"/>
      <c r="M22" s="3242"/>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-102</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240">
        <v>-103</v>
      </c>
      <c r="D23" s="1757" t="s">
        <v>3188</v>
      </c>
      <c r="E23" s="34">
        <f t="shared" si="7"/>
        <v>31.09</v>
      </c>
      <c r="F23" s="35"/>
      <c r="G23" s="36">
        <f t="shared" si="8"/>
        <v>407</v>
      </c>
      <c r="H23" s="37">
        <f t="shared" si="9"/>
        <v>407</v>
      </c>
      <c r="I23" s="3242"/>
      <c r="J23" s="3242"/>
      <c r="K23" s="3242"/>
      <c r="L23" s="3242"/>
      <c r="M23" s="3242">
        <v>407</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-103</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71.25">
      <c r="A24" s="9"/>
      <c r="B24" s="33" t="s">
        <v>3193</v>
      </c>
      <c r="C24" s="3240">
        <v>101</v>
      </c>
      <c r="D24" s="1757" t="s">
        <v>3178</v>
      </c>
      <c r="E24" s="34">
        <f t="shared" si="7"/>
        <v>71.16</v>
      </c>
      <c r="F24" s="35"/>
      <c r="G24" s="36">
        <f t="shared" si="8"/>
        <v>931.44</v>
      </c>
      <c r="H24" s="37">
        <f t="shared" si="9"/>
        <v>931.44</v>
      </c>
      <c r="I24" s="3242">
        <v>931.44</v>
      </c>
      <c r="J24" s="3242"/>
      <c r="K24" s="3242"/>
      <c r="L24" s="3242"/>
      <c r="M24" s="3242"/>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t="str">
        <f t="shared" si="12"/>
        <v>京（2016）海淀区不动产证第0047731号</v>
      </c>
      <c r="AX24" s="1474">
        <f t="shared" si="13"/>
        <v>101</v>
      </c>
      <c r="AY24" s="41">
        <f t="shared" si="14"/>
        <v>71.16</v>
      </c>
      <c r="AZ24" s="34">
        <f t="shared" si="15"/>
        <v>931.44</v>
      </c>
      <c r="BA24" s="34">
        <f t="shared" si="16"/>
        <v>931.44</v>
      </c>
      <c r="BB24" s="34">
        <f t="shared" si="17"/>
        <v>931.44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71.25">
      <c r="A25" s="9"/>
      <c r="B25" s="33" t="s">
        <v>3194</v>
      </c>
      <c r="C25" s="3240">
        <v>201</v>
      </c>
      <c r="D25" s="1757" t="s">
        <v>3178</v>
      </c>
      <c r="E25" s="34">
        <f t="shared" si="7"/>
        <v>72.650000000000006</v>
      </c>
      <c r="F25" s="35"/>
      <c r="G25" s="36">
        <f t="shared" si="8"/>
        <v>950.88</v>
      </c>
      <c r="H25" s="37">
        <f t="shared" si="9"/>
        <v>950.88</v>
      </c>
      <c r="I25" s="3242">
        <v>950.88</v>
      </c>
      <c r="J25" s="3242"/>
      <c r="K25" s="3242"/>
      <c r="L25" s="3242"/>
      <c r="M25" s="3242"/>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t="str">
        <f t="shared" si="12"/>
        <v>京（2016）海淀区不动产证第0047730号</v>
      </c>
      <c r="AX25" s="1474">
        <f t="shared" si="13"/>
        <v>201</v>
      </c>
      <c r="AY25" s="41">
        <f t="shared" si="14"/>
        <v>72.650000000000006</v>
      </c>
      <c r="AZ25" s="34">
        <f t="shared" si="15"/>
        <v>950.88</v>
      </c>
      <c r="BA25" s="34">
        <f t="shared" si="16"/>
        <v>950.88</v>
      </c>
      <c r="BB25" s="34">
        <f t="shared" si="17"/>
        <v>950.88</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71.25">
      <c r="A26" s="9"/>
      <c r="B26" s="33" t="s">
        <v>3195</v>
      </c>
      <c r="C26" s="3240">
        <v>301</v>
      </c>
      <c r="D26" s="1757" t="s">
        <v>3178</v>
      </c>
      <c r="E26" s="34">
        <f t="shared" si="7"/>
        <v>48.19</v>
      </c>
      <c r="F26" s="35"/>
      <c r="G26" s="36">
        <f t="shared" si="8"/>
        <v>630.82000000000005</v>
      </c>
      <c r="H26" s="37">
        <f t="shared" si="9"/>
        <v>630.82000000000005</v>
      </c>
      <c r="I26" s="3242">
        <v>630.82000000000005</v>
      </c>
      <c r="J26" s="3242"/>
      <c r="K26" s="3242"/>
      <c r="L26" s="3242"/>
      <c r="M26" s="3242"/>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t="str">
        <f t="shared" si="12"/>
        <v>京（2016）海淀区不动产证第0047732号</v>
      </c>
      <c r="AX26" s="1474">
        <f t="shared" si="13"/>
        <v>301</v>
      </c>
      <c r="AY26" s="41">
        <f t="shared" si="14"/>
        <v>48.19</v>
      </c>
      <c r="AZ26" s="34">
        <f t="shared" si="15"/>
        <v>630.82000000000005</v>
      </c>
      <c r="BA26" s="34">
        <f t="shared" si="16"/>
        <v>630.82000000000005</v>
      </c>
      <c r="BB26" s="34">
        <f t="shared" si="17"/>
        <v>630.82000000000005</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71.25">
      <c r="A27" s="9"/>
      <c r="B27" s="33" t="s">
        <v>3196</v>
      </c>
      <c r="C27" s="3240">
        <v>501</v>
      </c>
      <c r="D27" s="1757" t="s">
        <v>3178</v>
      </c>
      <c r="E27" s="34">
        <f t="shared" si="7"/>
        <v>115.1</v>
      </c>
      <c r="F27" s="35"/>
      <c r="G27" s="36">
        <f t="shared" si="8"/>
        <v>1506.52</v>
      </c>
      <c r="H27" s="37">
        <f t="shared" si="9"/>
        <v>1506.52</v>
      </c>
      <c r="I27" s="3242">
        <v>1506.52</v>
      </c>
      <c r="J27" s="3242"/>
      <c r="K27" s="3242"/>
      <c r="L27" s="3242"/>
      <c r="M27" s="3242"/>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t="str">
        <f t="shared" si="12"/>
        <v>京（2016）海淀区不动产证第0047747号</v>
      </c>
      <c r="AX27" s="1474">
        <f t="shared" si="13"/>
        <v>501</v>
      </c>
      <c r="AY27" s="41">
        <f t="shared" si="14"/>
        <v>115.1</v>
      </c>
      <c r="AZ27" s="34">
        <f t="shared" si="15"/>
        <v>1506.52</v>
      </c>
      <c r="BA27" s="34">
        <f t="shared" si="16"/>
        <v>1506.52</v>
      </c>
      <c r="BB27" s="34">
        <f t="shared" si="17"/>
        <v>1506.52</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71.25">
      <c r="A28" s="9"/>
      <c r="B28" s="33" t="s">
        <v>3197</v>
      </c>
      <c r="C28" s="3240">
        <v>601</v>
      </c>
      <c r="D28" s="1757" t="s">
        <v>3178</v>
      </c>
      <c r="E28" s="34">
        <f t="shared" si="7"/>
        <v>115.1</v>
      </c>
      <c r="F28" s="35"/>
      <c r="G28" s="36">
        <f t="shared" si="8"/>
        <v>1506.52</v>
      </c>
      <c r="H28" s="37">
        <f t="shared" si="9"/>
        <v>1506.52</v>
      </c>
      <c r="I28" s="3242">
        <v>1506.52</v>
      </c>
      <c r="J28" s="3242"/>
      <c r="K28" s="3242"/>
      <c r="L28" s="3242"/>
      <c r="M28" s="3242"/>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t="str">
        <f t="shared" si="12"/>
        <v>京（2016）海淀区不动产证第0047748号</v>
      </c>
      <c r="AX28" s="1474">
        <f t="shared" si="13"/>
        <v>601</v>
      </c>
      <c r="AY28" s="41">
        <f t="shared" si="14"/>
        <v>115.1</v>
      </c>
      <c r="AZ28" s="34">
        <f t="shared" si="15"/>
        <v>1506.52</v>
      </c>
      <c r="BA28" s="34">
        <f t="shared" si="16"/>
        <v>1506.52</v>
      </c>
      <c r="BB28" s="34">
        <f t="shared" si="17"/>
        <v>1506.52</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71.25">
      <c r="A29" s="9"/>
      <c r="B29" s="33" t="s">
        <v>3198</v>
      </c>
      <c r="C29" s="3240">
        <v>701</v>
      </c>
      <c r="D29" s="1757" t="s">
        <v>3178</v>
      </c>
      <c r="E29" s="34">
        <f t="shared" si="7"/>
        <v>115.1</v>
      </c>
      <c r="F29" s="35"/>
      <c r="G29" s="36">
        <f t="shared" si="8"/>
        <v>1506.52</v>
      </c>
      <c r="H29" s="37">
        <f t="shared" si="9"/>
        <v>1506.52</v>
      </c>
      <c r="I29" s="3242">
        <v>1506.52</v>
      </c>
      <c r="J29" s="3242"/>
      <c r="K29" s="3242"/>
      <c r="L29" s="3242"/>
      <c r="M29" s="3242"/>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t="str">
        <f t="shared" si="12"/>
        <v>京（2016）海淀区不动产证第0047768号</v>
      </c>
      <c r="AX29" s="1474">
        <f t="shared" si="13"/>
        <v>701</v>
      </c>
      <c r="AY29" s="41">
        <f t="shared" si="14"/>
        <v>115.1</v>
      </c>
      <c r="AZ29" s="34">
        <f t="shared" si="15"/>
        <v>1506.52</v>
      </c>
      <c r="BA29" s="34">
        <f t="shared" si="16"/>
        <v>1506.52</v>
      </c>
      <c r="BB29" s="34">
        <f t="shared" si="17"/>
        <v>1506.52</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71.25">
      <c r="A30" s="9"/>
      <c r="B30" s="33" t="s">
        <v>3199</v>
      </c>
      <c r="C30" s="3240">
        <v>801</v>
      </c>
      <c r="D30" s="1757" t="s">
        <v>3178</v>
      </c>
      <c r="E30" s="34">
        <f t="shared" si="7"/>
        <v>115.1</v>
      </c>
      <c r="F30" s="35"/>
      <c r="G30" s="36">
        <f t="shared" si="8"/>
        <v>1506.52</v>
      </c>
      <c r="H30" s="37">
        <f t="shared" si="9"/>
        <v>1506.52</v>
      </c>
      <c r="I30" s="3242">
        <v>1506.52</v>
      </c>
      <c r="J30" s="3242"/>
      <c r="K30" s="3242"/>
      <c r="L30" s="3242"/>
      <c r="M30" s="3242"/>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t="str">
        <f t="shared" si="12"/>
        <v>京（2016）海淀区不动产证第0047765号</v>
      </c>
      <c r="AX30" s="1474">
        <f t="shared" si="13"/>
        <v>801</v>
      </c>
      <c r="AY30" s="41">
        <f t="shared" si="14"/>
        <v>115.1</v>
      </c>
      <c r="AZ30" s="34">
        <f t="shared" si="15"/>
        <v>1506.52</v>
      </c>
      <c r="BA30" s="34">
        <f t="shared" si="16"/>
        <v>1506.52</v>
      </c>
      <c r="BB30" s="34">
        <f t="shared" si="17"/>
        <v>1506.52</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71.25">
      <c r="A31" s="9"/>
      <c r="B31" s="33" t="s">
        <v>3200</v>
      </c>
      <c r="C31" s="3240">
        <v>901</v>
      </c>
      <c r="D31" s="1757" t="s">
        <v>3178</v>
      </c>
      <c r="E31" s="34">
        <f t="shared" si="7"/>
        <v>115.1</v>
      </c>
      <c r="F31" s="35"/>
      <c r="G31" s="36">
        <f t="shared" si="8"/>
        <v>1506.52</v>
      </c>
      <c r="H31" s="37">
        <f t="shared" si="9"/>
        <v>1506.52</v>
      </c>
      <c r="I31" s="3242">
        <v>1506.52</v>
      </c>
      <c r="J31" s="3242"/>
      <c r="K31" s="3242"/>
      <c r="L31" s="3242"/>
      <c r="M31" s="3242"/>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t="str">
        <f t="shared" si="12"/>
        <v>京（2016）海淀区不动产证第0047764号</v>
      </c>
      <c r="AX31" s="1474">
        <f t="shared" si="13"/>
        <v>901</v>
      </c>
      <c r="AY31" s="41">
        <f t="shared" si="14"/>
        <v>115.1</v>
      </c>
      <c r="AZ31" s="34">
        <f t="shared" si="15"/>
        <v>1506.52</v>
      </c>
      <c r="BA31" s="34">
        <f t="shared" si="16"/>
        <v>1506.52</v>
      </c>
      <c r="BB31" s="34">
        <f t="shared" si="17"/>
        <v>1506.52</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71.25">
      <c r="A32" s="9"/>
      <c r="B32" s="33" t="s">
        <v>3201</v>
      </c>
      <c r="C32" s="3240">
        <v>1001</v>
      </c>
      <c r="D32" s="1757" t="s">
        <v>3178</v>
      </c>
      <c r="E32" s="34">
        <f t="shared" si="7"/>
        <v>115.1</v>
      </c>
      <c r="F32" s="35"/>
      <c r="G32" s="36">
        <f t="shared" si="8"/>
        <v>1506.52</v>
      </c>
      <c r="H32" s="37">
        <f t="shared" si="9"/>
        <v>1506.52</v>
      </c>
      <c r="I32" s="3242">
        <v>1506.52</v>
      </c>
      <c r="J32" s="3242"/>
      <c r="K32" s="3242"/>
      <c r="L32" s="3242"/>
      <c r="M32" s="3242"/>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t="str">
        <f t="shared" si="12"/>
        <v>京（2016）海淀区不动产证第0047763号</v>
      </c>
      <c r="AX32" s="1474">
        <f t="shared" si="13"/>
        <v>1001</v>
      </c>
      <c r="AY32" s="41">
        <f t="shared" si="14"/>
        <v>115.1</v>
      </c>
      <c r="AZ32" s="34">
        <f t="shared" si="15"/>
        <v>1506.52</v>
      </c>
      <c r="BA32" s="34">
        <f t="shared" si="16"/>
        <v>1506.52</v>
      </c>
      <c r="BB32" s="34">
        <f t="shared" si="17"/>
        <v>1506.52</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71.25">
      <c r="A33" s="9"/>
      <c r="B33" s="33" t="s">
        <v>3202</v>
      </c>
      <c r="C33" s="3240">
        <v>1101</v>
      </c>
      <c r="D33" s="1757" t="s">
        <v>3178</v>
      </c>
      <c r="E33" s="34">
        <f t="shared" si="7"/>
        <v>115.1</v>
      </c>
      <c r="F33" s="35"/>
      <c r="G33" s="36">
        <f t="shared" si="8"/>
        <v>1506.52</v>
      </c>
      <c r="H33" s="37">
        <f t="shared" si="9"/>
        <v>1506.52</v>
      </c>
      <c r="I33" s="3242">
        <v>1506.52</v>
      </c>
      <c r="J33" s="3242"/>
      <c r="K33" s="3242"/>
      <c r="L33" s="3242"/>
      <c r="M33" s="3242"/>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t="str">
        <f t="shared" si="12"/>
        <v>京（2016）海淀区不动产证第0047760号</v>
      </c>
      <c r="AX33" s="1474">
        <f t="shared" si="13"/>
        <v>1101</v>
      </c>
      <c r="AY33" s="41">
        <f t="shared" si="14"/>
        <v>115.1</v>
      </c>
      <c r="AZ33" s="34">
        <f t="shared" si="15"/>
        <v>1506.52</v>
      </c>
      <c r="BA33" s="34">
        <f t="shared" si="16"/>
        <v>1506.52</v>
      </c>
      <c r="BB33" s="34">
        <f t="shared" si="17"/>
        <v>1506.52</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71.25">
      <c r="A34" s="9"/>
      <c r="B34" s="33" t="s">
        <v>3203</v>
      </c>
      <c r="C34" s="3240">
        <v>1201</v>
      </c>
      <c r="D34" s="1757" t="s">
        <v>3178</v>
      </c>
      <c r="E34" s="34">
        <f t="shared" si="7"/>
        <v>115.1</v>
      </c>
      <c r="F34" s="35"/>
      <c r="G34" s="36">
        <f t="shared" si="8"/>
        <v>1506.52</v>
      </c>
      <c r="H34" s="37">
        <f t="shared" si="9"/>
        <v>1506.52</v>
      </c>
      <c r="I34" s="3242">
        <v>1506.52</v>
      </c>
      <c r="J34" s="3242"/>
      <c r="K34" s="3242"/>
      <c r="L34" s="3242"/>
      <c r="M34" s="3242"/>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t="str">
        <f t="shared" si="12"/>
        <v>京（2016）海淀区不动产证第0047759号</v>
      </c>
      <c r="AX34" s="1474">
        <f t="shared" si="13"/>
        <v>1201</v>
      </c>
      <c r="AY34" s="41">
        <f t="shared" si="14"/>
        <v>115.1</v>
      </c>
      <c r="AZ34" s="34">
        <f t="shared" si="15"/>
        <v>1506.52</v>
      </c>
      <c r="BA34" s="34">
        <f t="shared" si="16"/>
        <v>1506.52</v>
      </c>
      <c r="BB34" s="34">
        <f t="shared" si="17"/>
        <v>1506.52</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71.25">
      <c r="A35" s="9"/>
      <c r="B35" s="33" t="s">
        <v>3204</v>
      </c>
      <c r="C35" s="3240">
        <v>1301</v>
      </c>
      <c r="D35" s="1757" t="s">
        <v>3178</v>
      </c>
      <c r="E35" s="34">
        <f t="shared" si="7"/>
        <v>115.1</v>
      </c>
      <c r="F35" s="35"/>
      <c r="G35" s="36">
        <f t="shared" si="8"/>
        <v>1506.52</v>
      </c>
      <c r="H35" s="37">
        <f t="shared" si="9"/>
        <v>1506.52</v>
      </c>
      <c r="I35" s="3242">
        <v>1506.52</v>
      </c>
      <c r="J35" s="3242"/>
      <c r="K35" s="3242"/>
      <c r="L35" s="3242"/>
      <c r="M35" s="3242"/>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t="str">
        <f t="shared" si="12"/>
        <v>京（2016）海淀区不动产证第0047758号</v>
      </c>
      <c r="AX35" s="1474">
        <f t="shared" si="13"/>
        <v>1301</v>
      </c>
      <c r="AY35" s="41">
        <f t="shared" si="14"/>
        <v>115.1</v>
      </c>
      <c r="AZ35" s="34">
        <f t="shared" si="15"/>
        <v>1506.52</v>
      </c>
      <c r="BA35" s="34">
        <f t="shared" si="16"/>
        <v>1506.52</v>
      </c>
      <c r="BB35" s="34">
        <f t="shared" si="17"/>
        <v>1506.52</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71.25">
      <c r="A36" s="9"/>
      <c r="B36" s="33" t="s">
        <v>3205</v>
      </c>
      <c r="C36" s="3240">
        <v>1401</v>
      </c>
      <c r="D36" s="1757" t="s">
        <v>3178</v>
      </c>
      <c r="E36" s="34">
        <f t="shared" si="7"/>
        <v>115.1</v>
      </c>
      <c r="F36" s="35"/>
      <c r="G36" s="36">
        <f t="shared" si="8"/>
        <v>1506.52</v>
      </c>
      <c r="H36" s="37">
        <f t="shared" si="9"/>
        <v>1506.52</v>
      </c>
      <c r="I36" s="3242">
        <v>1506.52</v>
      </c>
      <c r="J36" s="3242"/>
      <c r="K36" s="3242"/>
      <c r="L36" s="3242"/>
      <c r="M36" s="3242"/>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t="str">
        <f t="shared" si="12"/>
        <v>京（2016）海淀区不动产证第0047757号</v>
      </c>
      <c r="AX36" s="1474">
        <f t="shared" si="13"/>
        <v>1401</v>
      </c>
      <c r="AY36" s="41">
        <f t="shared" si="14"/>
        <v>115.1</v>
      </c>
      <c r="AZ36" s="34">
        <f t="shared" si="15"/>
        <v>1506.52</v>
      </c>
      <c r="BA36" s="34">
        <f t="shared" si="16"/>
        <v>1506.52</v>
      </c>
      <c r="BB36" s="34">
        <f t="shared" si="17"/>
        <v>1506.52</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71.25">
      <c r="A37" s="9"/>
      <c r="B37" s="33" t="s">
        <v>3206</v>
      </c>
      <c r="C37" s="3240">
        <v>1501</v>
      </c>
      <c r="D37" s="1757" t="s">
        <v>3178</v>
      </c>
      <c r="E37" s="34">
        <f t="shared" si="7"/>
        <v>115.1</v>
      </c>
      <c r="F37" s="35"/>
      <c r="G37" s="36">
        <f t="shared" si="8"/>
        <v>1506.52</v>
      </c>
      <c r="H37" s="37">
        <f t="shared" si="9"/>
        <v>1506.52</v>
      </c>
      <c r="I37" s="3242">
        <v>1506.52</v>
      </c>
      <c r="J37" s="3242"/>
      <c r="K37" s="3242"/>
      <c r="L37" s="3242"/>
      <c r="M37" s="3242"/>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t="str">
        <f t="shared" si="12"/>
        <v>京（2016）海淀区不动产证第0047750号</v>
      </c>
      <c r="AX37" s="1474">
        <f t="shared" si="13"/>
        <v>1501</v>
      </c>
      <c r="AY37" s="41">
        <f t="shared" si="14"/>
        <v>115.1</v>
      </c>
      <c r="AZ37" s="34">
        <f t="shared" si="15"/>
        <v>1506.52</v>
      </c>
      <c r="BA37" s="34">
        <f t="shared" si="16"/>
        <v>1506.52</v>
      </c>
      <c r="BB37" s="34">
        <f t="shared" si="17"/>
        <v>1506.52</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71.25">
      <c r="A38" s="9"/>
      <c r="B38" s="33" t="s">
        <v>3207</v>
      </c>
      <c r="C38" s="3240">
        <v>1601</v>
      </c>
      <c r="D38" s="1757" t="s">
        <v>3178</v>
      </c>
      <c r="E38" s="34">
        <f t="shared" si="7"/>
        <v>115.1</v>
      </c>
      <c r="F38" s="35"/>
      <c r="G38" s="36">
        <f t="shared" si="8"/>
        <v>1506.52</v>
      </c>
      <c r="H38" s="37">
        <f t="shared" si="9"/>
        <v>1506.52</v>
      </c>
      <c r="I38" s="3242">
        <v>1506.52</v>
      </c>
      <c r="J38" s="3242"/>
      <c r="K38" s="3242"/>
      <c r="L38" s="3242"/>
      <c r="M38" s="3242"/>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t="str">
        <f t="shared" si="12"/>
        <v>京（2016）海淀区不动产证第0047751号</v>
      </c>
      <c r="AX38" s="1474">
        <f t="shared" si="13"/>
        <v>1601</v>
      </c>
      <c r="AY38" s="41">
        <f t="shared" si="14"/>
        <v>115.1</v>
      </c>
      <c r="AZ38" s="34">
        <f t="shared" si="15"/>
        <v>1506.52</v>
      </c>
      <c r="BA38" s="34">
        <f t="shared" si="16"/>
        <v>1506.52</v>
      </c>
      <c r="BB38" s="34">
        <f t="shared" si="17"/>
        <v>1506.52</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71.25">
      <c r="A39" s="9"/>
      <c r="B39" s="33" t="s">
        <v>3208</v>
      </c>
      <c r="C39" s="3240">
        <v>1701</v>
      </c>
      <c r="D39" s="1757" t="s">
        <v>3178</v>
      </c>
      <c r="E39" s="34">
        <f t="shared" si="7"/>
        <v>115.1</v>
      </c>
      <c r="F39" s="35"/>
      <c r="G39" s="36">
        <f t="shared" si="8"/>
        <v>1506.52</v>
      </c>
      <c r="H39" s="37">
        <f t="shared" si="9"/>
        <v>1506.52</v>
      </c>
      <c r="I39" s="3242">
        <v>1506.52</v>
      </c>
      <c r="J39" s="3242"/>
      <c r="K39" s="3242"/>
      <c r="L39" s="3242"/>
      <c r="M39" s="3242"/>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t="str">
        <f t="shared" si="12"/>
        <v>京（2016）海淀区不动产证第0047753号</v>
      </c>
      <c r="AX39" s="1474">
        <f t="shared" si="13"/>
        <v>1701</v>
      </c>
      <c r="AY39" s="41">
        <f t="shared" si="14"/>
        <v>115.1</v>
      </c>
      <c r="AZ39" s="34">
        <f t="shared" si="15"/>
        <v>1506.52</v>
      </c>
      <c r="BA39" s="34">
        <f t="shared" si="16"/>
        <v>1506.52</v>
      </c>
      <c r="BB39" s="34">
        <f t="shared" si="17"/>
        <v>1506.52</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71.25">
      <c r="A40" s="9"/>
      <c r="B40" s="33" t="s">
        <v>3209</v>
      </c>
      <c r="C40" s="3240">
        <v>1801</v>
      </c>
      <c r="D40" s="1757" t="s">
        <v>3178</v>
      </c>
      <c r="E40" s="34">
        <f t="shared" si="7"/>
        <v>105.71</v>
      </c>
      <c r="F40" s="35"/>
      <c r="G40" s="36">
        <f t="shared" si="8"/>
        <v>1383.57</v>
      </c>
      <c r="H40" s="37">
        <f t="shared" si="9"/>
        <v>1383.57</v>
      </c>
      <c r="I40" s="3242">
        <v>1383.57</v>
      </c>
      <c r="J40" s="3242"/>
      <c r="K40" s="3242"/>
      <c r="L40" s="3242"/>
      <c r="M40" s="3242"/>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t="str">
        <f t="shared" si="12"/>
        <v>京（2016）海淀区不动产证第0047755号</v>
      </c>
      <c r="AX40" s="1474">
        <f t="shared" si="13"/>
        <v>1801</v>
      </c>
      <c r="AY40" s="41">
        <f t="shared" si="14"/>
        <v>105.71</v>
      </c>
      <c r="AZ40" s="34">
        <f t="shared" si="15"/>
        <v>1383.57</v>
      </c>
      <c r="BA40" s="34">
        <f t="shared" si="16"/>
        <v>1383.57</v>
      </c>
      <c r="BB40" s="34">
        <f t="shared" si="17"/>
        <v>1383.57</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71.25">
      <c r="A41" s="9"/>
      <c r="B41" s="33" t="s">
        <v>3210</v>
      </c>
      <c r="C41" s="3240">
        <v>1901</v>
      </c>
      <c r="D41" s="1757" t="s">
        <v>3178</v>
      </c>
      <c r="E41" s="34">
        <f t="shared" si="7"/>
        <v>105.71</v>
      </c>
      <c r="F41" s="35"/>
      <c r="G41" s="36">
        <f t="shared" si="8"/>
        <v>1383.57</v>
      </c>
      <c r="H41" s="37">
        <f t="shared" si="9"/>
        <v>1383.57</v>
      </c>
      <c r="I41" s="3242">
        <v>1383.57</v>
      </c>
      <c r="J41" s="3242"/>
      <c r="K41" s="3242"/>
      <c r="L41" s="3242"/>
      <c r="M41" s="3242"/>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t="str">
        <f t="shared" si="12"/>
        <v>京（2016）海淀区不动产证第0045332号</v>
      </c>
      <c r="AX41" s="1474">
        <f t="shared" si="13"/>
        <v>1901</v>
      </c>
      <c r="AY41" s="41">
        <f t="shared" si="14"/>
        <v>105.71</v>
      </c>
      <c r="AZ41" s="34">
        <f t="shared" si="15"/>
        <v>1383.57</v>
      </c>
      <c r="BA41" s="34">
        <f t="shared" si="16"/>
        <v>1383.57</v>
      </c>
      <c r="BB41" s="34">
        <f t="shared" si="17"/>
        <v>1383.57</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2"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346" t="s">
        <v>1575</v>
      </c>
      <c r="B2" s="3346"/>
      <c r="C2" s="3346"/>
      <c r="D2" s="882" t="s">
        <v>1551</v>
      </c>
      <c r="E2" s="1771" t="s">
        <v>1552</v>
      </c>
      <c r="F2" s="2832"/>
      <c r="G2" s="2823"/>
      <c r="H2" s="2824"/>
      <c r="I2" s="2495" t="s">
        <v>1576</v>
      </c>
      <c r="J2" s="2832"/>
      <c r="K2" s="2832"/>
      <c r="L2" s="2832"/>
      <c r="M2" s="2832"/>
      <c r="N2" s="2834"/>
      <c r="O2" s="2832"/>
      <c r="P2" s="2832"/>
    </row>
    <row r="3" spans="1:16" ht="15.75" thickBot="1">
      <c r="A3" s="3347" t="s">
        <v>1549</v>
      </c>
      <c r="B3" s="3347"/>
      <c r="C3" s="3347"/>
      <c r="D3" s="45">
        <f>'数据-基础表'!AY6</f>
        <v>1899.7</v>
      </c>
      <c r="E3" s="45">
        <f>'数据-基础表'!AZ5</f>
        <v>24865.040000000005</v>
      </c>
      <c r="F3" s="2832"/>
      <c r="G3" s="1256"/>
      <c r="H3" s="1134" t="s">
        <v>1550</v>
      </c>
      <c r="I3" s="942">
        <f>ROUND('数据-基础表'!B3/'数据-基础表'!A3,2)</f>
        <v>13.09</v>
      </c>
      <c r="J3" s="2832"/>
      <c r="K3" s="2832"/>
      <c r="L3" s="2832"/>
      <c r="M3" s="2832"/>
      <c r="N3" s="2834"/>
      <c r="O3" s="2832"/>
      <c r="P3" s="2832"/>
    </row>
    <row r="4" spans="1:16" ht="15">
      <c r="A4" s="3348"/>
      <c r="B4" s="3349"/>
      <c r="C4" s="3350"/>
      <c r="D4" s="1773" t="s">
        <v>1551</v>
      </c>
      <c r="E4" s="1774" t="s">
        <v>1552</v>
      </c>
      <c r="F4" s="2832"/>
      <c r="G4" s="2825" t="s">
        <v>1577</v>
      </c>
      <c r="H4" s="1134" t="s">
        <v>1557</v>
      </c>
      <c r="I4" s="942">
        <f>ROUND(SUMIF('数据-基础表'!I9:AS9,"地上",'数据-基础表'!I5:AS5)/'数据-基础表'!A3,2)</f>
        <v>9.61</v>
      </c>
      <c r="J4" s="2832"/>
      <c r="K4" s="2832"/>
      <c r="L4" s="2832"/>
      <c r="M4" s="2832"/>
      <c r="N4" s="2834"/>
      <c r="O4" s="2832"/>
      <c r="P4" s="2832"/>
    </row>
    <row r="5" spans="1:16">
      <c r="A5" s="46" t="s">
        <v>1553</v>
      </c>
      <c r="B5" s="3351" t="s">
        <v>1554</v>
      </c>
      <c r="C5" s="3351"/>
      <c r="D5" s="47">
        <f>ROUND($D$3*E5/$E$3,2)</f>
        <v>0</v>
      </c>
      <c r="E5" s="48">
        <f>SUMIF('数据-基础表'!$11:$11,"住宅",'数据-基础表'!$5:$5)</f>
        <v>0</v>
      </c>
      <c r="F5" s="2832"/>
      <c r="G5" s="1256"/>
      <c r="H5" s="1134" t="s">
        <v>1550</v>
      </c>
      <c r="I5" s="942">
        <f>ROUND(E31/D31,2)</f>
        <v>13.09</v>
      </c>
      <c r="J5" s="2832"/>
      <c r="K5" s="2832"/>
      <c r="L5" s="2832"/>
      <c r="M5" s="2832"/>
      <c r="N5" s="2832"/>
      <c r="O5" s="2832"/>
      <c r="P5" s="2832"/>
    </row>
    <row r="6" spans="1:16" ht="15" thickBot="1">
      <c r="A6" s="1776"/>
      <c r="B6" s="3351" t="s">
        <v>1555</v>
      </c>
      <c r="C6" s="3351"/>
      <c r="D6" s="47">
        <f>ROUND($D$3*E6/$E$3,2)</f>
        <v>1899.7</v>
      </c>
      <c r="E6" s="48">
        <f>E3-E5</f>
        <v>24865.040000000005</v>
      </c>
      <c r="F6" s="2832"/>
      <c r="G6" s="2826" t="s">
        <v>1556</v>
      </c>
      <c r="H6" s="1257" t="s">
        <v>1557</v>
      </c>
      <c r="I6" s="2827">
        <f>ROUND(F31/D31,2)</f>
        <v>13.09</v>
      </c>
      <c r="J6" s="2832"/>
      <c r="K6" s="2832"/>
      <c r="L6" s="2832"/>
      <c r="M6" s="2832"/>
      <c r="N6" s="2832"/>
      <c r="O6" s="2832"/>
      <c r="P6" s="2832"/>
    </row>
    <row r="7" spans="1:16" ht="15.75" thickBot="1">
      <c r="A7" s="3343"/>
      <c r="B7" s="3344"/>
      <c r="C7" s="3345"/>
      <c r="D7" s="1773" t="s">
        <v>1551</v>
      </c>
      <c r="E7" s="1777" t="s">
        <v>1558</v>
      </c>
      <c r="F7" s="2832"/>
      <c r="G7" s="2828" t="s">
        <v>1559</v>
      </c>
      <c r="H7" s="2829"/>
      <c r="I7" s="2830"/>
      <c r="J7" s="2832"/>
      <c r="K7" s="2832"/>
      <c r="L7" s="2832"/>
      <c r="M7" s="2832"/>
      <c r="N7" s="2832"/>
      <c r="O7" s="2832"/>
      <c r="P7" s="2832"/>
    </row>
    <row r="8" spans="1:16">
      <c r="A8" s="46" t="s">
        <v>1560</v>
      </c>
      <c r="B8" s="49" t="s">
        <v>1561</v>
      </c>
      <c r="C8" s="47" t="s">
        <v>1562</v>
      </c>
      <c r="D8" s="47">
        <f t="shared" ref="D8:D15" si="0">ROUND($D$3*E8/$E$3,2)</f>
        <v>1899.7</v>
      </c>
      <c r="E8" s="50">
        <f>SUMIF('数据-基础表'!BB10:BK10,"地上",'数据-基础表'!BB5:BK5)</f>
        <v>24865.040000000005</v>
      </c>
      <c r="F8" s="2832"/>
      <c r="G8" s="2833"/>
      <c r="H8" s="2833"/>
      <c r="I8" s="2832"/>
      <c r="J8" s="2832"/>
      <c r="K8" s="2832"/>
      <c r="L8" s="2832"/>
      <c r="M8" s="2832"/>
      <c r="N8" s="2832"/>
      <c r="O8" s="2832"/>
      <c r="P8" s="2832"/>
    </row>
    <row r="9" spans="1:16">
      <c r="A9" s="1778"/>
      <c r="B9" s="1779"/>
      <c r="C9" s="47" t="s">
        <v>1563</v>
      </c>
      <c r="D9" s="47">
        <f t="shared" si="0"/>
        <v>0</v>
      </c>
      <c r="E9" s="51">
        <v>0</v>
      </c>
      <c r="F9" s="2832"/>
      <c r="G9" s="2833"/>
      <c r="H9" s="2833"/>
      <c r="I9" s="2832"/>
      <c r="J9" s="2832"/>
      <c r="K9" s="2832"/>
      <c r="L9" s="2832"/>
      <c r="M9" s="2832"/>
      <c r="N9" s="2832"/>
      <c r="O9" s="2832"/>
      <c r="P9" s="2832"/>
    </row>
    <row r="10" spans="1:16">
      <c r="A10" s="1778"/>
      <c r="B10" s="1779"/>
      <c r="C10" s="47" t="s">
        <v>1572</v>
      </c>
      <c r="D10" s="47">
        <f t="shared" si="0"/>
        <v>0</v>
      </c>
      <c r="E10" s="50">
        <f>SUMPRODUCT(('数据-基础表'!BB10:BK10="地下")*('数据-基础表'!BB11:BK11="商业")*('数据-基础表'!BB5:BK5))</f>
        <v>0</v>
      </c>
      <c r="F10" s="2832"/>
      <c r="G10" s="2833"/>
      <c r="H10" s="2833"/>
      <c r="I10" s="2832"/>
      <c r="J10" s="2832"/>
      <c r="K10" s="2832"/>
      <c r="L10" s="2832"/>
      <c r="M10" s="2832"/>
      <c r="N10" s="2832"/>
      <c r="O10" s="2832"/>
      <c r="P10" s="2832"/>
    </row>
    <row r="11" spans="1:16">
      <c r="A11" s="1778"/>
      <c r="B11" s="1779"/>
      <c r="C11" s="47" t="s">
        <v>1564</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8"/>
      <c r="B12" s="1779"/>
      <c r="C12" s="47" t="s">
        <v>1565</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78"/>
      <c r="B13" s="1779"/>
      <c r="C13" s="47" t="s">
        <v>1566</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78"/>
      <c r="B14" s="1779"/>
      <c r="C14" s="47" t="s">
        <v>1578</v>
      </c>
      <c r="D14" s="47">
        <f t="shared" si="0"/>
        <v>0</v>
      </c>
      <c r="E14" s="50">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8"/>
      <c r="B15" s="1779"/>
      <c r="C15" s="47" t="s">
        <v>1573</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6"/>
      <c r="B16" s="1779"/>
      <c r="C16" s="49" t="s">
        <v>1567</v>
      </c>
      <c r="D16" s="49">
        <f>SUM(D8:D15)</f>
        <v>1899.7</v>
      </c>
      <c r="E16" s="52">
        <f>SUM(E8:E15)</f>
        <v>24865.040000000005</v>
      </c>
      <c r="F16" s="2832"/>
      <c r="G16" s="2833"/>
      <c r="H16" s="1780" t="s">
        <v>1579</v>
      </c>
      <c r="I16" s="1781"/>
      <c r="J16" s="1250"/>
      <c r="K16" s="3340" t="s">
        <v>1579</v>
      </c>
      <c r="L16" s="3341"/>
      <c r="M16" s="3341"/>
      <c r="N16" s="3341"/>
      <c r="O16" s="3341"/>
      <c r="P16" s="3342"/>
    </row>
    <row r="17" spans="1:19" ht="15">
      <c r="A17" s="1782" t="s">
        <v>1580</v>
      </c>
      <c r="B17" s="1783" t="s">
        <v>1581</v>
      </c>
      <c r="C17" s="1784" t="s">
        <v>1582</v>
      </c>
      <c r="D17" s="1785" t="s">
        <v>1570</v>
      </c>
      <c r="E17" s="1786" t="s">
        <v>1571</v>
      </c>
      <c r="F17" s="1787"/>
      <c r="G17" s="1788"/>
      <c r="H17" s="1789" t="s">
        <v>1583</v>
      </c>
      <c r="I17" s="1790" t="s">
        <v>1568</v>
      </c>
      <c r="J17" s="1250"/>
      <c r="K17" s="3337" t="s">
        <v>1584</v>
      </c>
      <c r="L17" s="3338"/>
      <c r="M17" s="3339"/>
      <c r="N17" s="3337" t="s">
        <v>1585</v>
      </c>
      <c r="O17" s="3338"/>
      <c r="P17" s="3339"/>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2" t="s">
        <v>1594</v>
      </c>
      <c r="N18" s="1149" t="s">
        <v>1592</v>
      </c>
      <c r="O18" s="1798" t="s">
        <v>1593</v>
      </c>
      <c r="P18" s="942" t="s">
        <v>1594</v>
      </c>
      <c r="R18" s="1134" t="s">
        <v>1595</v>
      </c>
      <c r="S18" s="1134" t="s">
        <v>1596</v>
      </c>
    </row>
    <row r="19" spans="1:19">
      <c r="A19" s="1799"/>
      <c r="B19" s="49" t="s">
        <v>1569</v>
      </c>
      <c r="C19" s="3243" t="s">
        <v>3265</v>
      </c>
      <c r="D19" s="47">
        <f>ROUND($D$3*E19/$E$3,2)</f>
        <v>115.1</v>
      </c>
      <c r="E19" s="55">
        <f t="shared" ref="E19:E26" si="1">SUM(F19:G19)</f>
        <v>1506.52</v>
      </c>
      <c r="F19" s="3244">
        <f>1506.52</f>
        <v>1506.52</v>
      </c>
      <c r="G19" s="3245"/>
      <c r="H19" s="676">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115.1</v>
      </c>
      <c r="S19" s="1135">
        <f t="shared" si="5"/>
        <v>1506.52</v>
      </c>
    </row>
    <row r="20" spans="1:19">
      <c r="A20" s="1803"/>
      <c r="B20" s="49" t="s">
        <v>1597</v>
      </c>
      <c r="C20" s="3243" t="s">
        <v>3266</v>
      </c>
      <c r="D20" s="47">
        <f t="shared" ref="D20:D26" si="6">ROUND($D$3*E20/$E$3,2)</f>
        <v>1784.6</v>
      </c>
      <c r="E20" s="55">
        <f t="shared" si="1"/>
        <v>23358.520000000004</v>
      </c>
      <c r="F20" s="3244">
        <f>'数据-基础表'!I5-'数据-汇总表'!F19</f>
        <v>23358.520000000004</v>
      </c>
      <c r="G20" s="3245"/>
      <c r="H20" s="676">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1784.6</v>
      </c>
      <c r="S20" s="1135">
        <f t="shared" si="5"/>
        <v>23358.520000000004</v>
      </c>
    </row>
    <row r="21" spans="1:19">
      <c r="A21" s="1803"/>
      <c r="B21" s="49" t="s">
        <v>1597</v>
      </c>
      <c r="C21" s="1800"/>
      <c r="D21" s="47">
        <f t="shared" si="6"/>
        <v>0</v>
      </c>
      <c r="E21" s="55">
        <f t="shared" si="1"/>
        <v>0</v>
      </c>
      <c r="F21" s="2972"/>
      <c r="G21" s="2973"/>
      <c r="H21" s="676">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57"/>
      <c r="D22" s="47">
        <f t="shared" si="6"/>
        <v>0</v>
      </c>
      <c r="E22" s="55">
        <f t="shared" si="1"/>
        <v>0</v>
      </c>
      <c r="F22" s="2974"/>
      <c r="G22" s="2975"/>
      <c r="H22" s="676">
        <f t="shared" si="7"/>
        <v>0</v>
      </c>
      <c r="I22" s="50">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49" t="s">
        <v>1597</v>
      </c>
      <c r="C23" s="57"/>
      <c r="D23" s="47">
        <f>ROUND($D$3*E23/$E$3,2)</f>
        <v>0</v>
      </c>
      <c r="E23" s="55">
        <f>SUM(F23:G23)</f>
        <v>0</v>
      </c>
      <c r="F23" s="2974"/>
      <c r="G23" s="2975"/>
      <c r="H23" s="676">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4"/>
      <c r="G24" s="2975"/>
      <c r="H24" s="676">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4"/>
      <c r="G25" s="2975"/>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4"/>
      <c r="G26" s="2975"/>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1899.6999999999998</v>
      </c>
      <c r="E27" s="1252">
        <f>IF(SUM(E19:E26)='数据-基础表'!BA5,SUM(E19:E26),IF(F27="地上面积有误","面积有误","地下面积有误"))</f>
        <v>24865.040000000005</v>
      </c>
      <c r="F27" s="1251">
        <f>IF(SUM(F19:F26)=E8,SUM(F19:F26),"地上面积有误")</f>
        <v>24865.040000000005</v>
      </c>
      <c r="G27" s="1253">
        <f>SUM(G19:G26)</f>
        <v>0</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1899.6999999999998</v>
      </c>
      <c r="S27" s="1134">
        <f>IF(SUM(S19:S26)=$E$3,SUM(S19:S26),SUM(S19:S26)&amp;"误差"&amp;ROUND(SUM(S19:S26)-E3,2))</f>
        <v>24865.040000000005</v>
      </c>
    </row>
    <row r="28" spans="1:19">
      <c r="A28" s="1803"/>
      <c r="B28" s="49" t="s">
        <v>1599</v>
      </c>
      <c r="C28" s="1146" t="s">
        <v>1600</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3"/>
      <c r="B29" s="49" t="s">
        <v>1599</v>
      </c>
      <c r="C29" s="1807" t="s">
        <v>1601</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3"/>
      <c r="B30" s="49"/>
      <c r="C30" s="1808" t="s">
        <v>1598</v>
      </c>
      <c r="D30" s="1251">
        <f>SUM(D28:D29)</f>
        <v>0</v>
      </c>
      <c r="E30" s="1251">
        <f>SUM(E28:E29)</f>
        <v>0</v>
      </c>
      <c r="F30" s="1251">
        <f>SUM(F28:F29)</f>
        <v>0</v>
      </c>
      <c r="G30" s="1253">
        <f>SUM(G28:G29)</f>
        <v>0</v>
      </c>
      <c r="H30" s="2832"/>
      <c r="I30" s="2832"/>
      <c r="J30" s="2832"/>
      <c r="K30" s="2832"/>
      <c r="L30" s="2832"/>
      <c r="M30" s="2832"/>
      <c r="N30" s="2832"/>
      <c r="O30" s="2832"/>
      <c r="P30" s="2832"/>
    </row>
    <row r="31" spans="1:19" ht="15.75" thickBot="1">
      <c r="A31" s="1809"/>
      <c r="B31" s="1810"/>
      <c r="C31" s="922" t="s">
        <v>1602</v>
      </c>
      <c r="D31" s="682">
        <f>D27+D30</f>
        <v>1899.6999999999998</v>
      </c>
      <c r="E31" s="682">
        <f>E27+E30</f>
        <v>24865.040000000005</v>
      </c>
      <c r="F31" s="683">
        <f>F27+F30</f>
        <v>24865.040000000005</v>
      </c>
      <c r="G31" s="684">
        <f>G27+G30</f>
        <v>0</v>
      </c>
      <c r="H31" s="2832"/>
      <c r="I31" s="2832"/>
      <c r="J31" s="2832"/>
      <c r="K31" s="2832"/>
      <c r="L31" s="2832"/>
      <c r="M31" s="2832"/>
      <c r="N31" s="2832"/>
      <c r="O31" s="2832"/>
      <c r="P31" s="2832"/>
    </row>
    <row r="32" spans="1:19">
      <c r="A32" s="1775"/>
      <c r="B32" s="1775" t="s">
        <v>1603</v>
      </c>
      <c r="C32" s="1775"/>
      <c r="D32" s="1775"/>
      <c r="E32" s="1161">
        <f>SUMIF(C19:C26,"*住宅*",E19:E26)</f>
        <v>0</v>
      </c>
      <c r="F32" s="1775"/>
      <c r="G32" s="1775"/>
      <c r="H32" s="2832"/>
      <c r="I32" s="2832"/>
      <c r="J32" s="2832"/>
      <c r="K32" s="2832"/>
      <c r="L32" s="2832"/>
      <c r="M32" s="2832"/>
      <c r="N32" s="2832"/>
      <c r="O32" s="2832"/>
      <c r="P32" s="2832"/>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5"/>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6"/>
      <c r="AO1" s="2846"/>
      <c r="AP1" s="2846"/>
      <c r="AQ1" s="2846"/>
      <c r="AR1" s="2846"/>
    </row>
    <row r="2" spans="1:67" s="1691" customFormat="1" ht="15.75" thickBot="1">
      <c r="A2" s="1816" t="s">
        <v>1605</v>
      </c>
      <c r="B2" s="1153">
        <f>项目基本情况!D3</f>
        <v>44805</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8"/>
      <c r="AO2" s="2848"/>
      <c r="AP2" s="2848"/>
      <c r="AQ2" s="2848"/>
      <c r="AR2" s="2848"/>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8"/>
      <c r="AO3" s="2848"/>
      <c r="AP3" s="2848"/>
      <c r="AQ3" s="2848"/>
      <c r="AR3" s="2848"/>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31"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8"/>
      <c r="AO4" s="2848"/>
      <c r="AP4" s="2848"/>
      <c r="AQ4" s="2848"/>
      <c r="AR4" s="2848"/>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1837" t="s">
        <v>3215</v>
      </c>
      <c r="O5" s="1835" t="s">
        <v>1625</v>
      </c>
      <c r="P5" s="1838" t="s">
        <v>1626</v>
      </c>
      <c r="Q5" s="64" t="s">
        <v>1627</v>
      </c>
      <c r="R5" s="1839" t="s">
        <v>1628</v>
      </c>
      <c r="S5" s="1840" t="s">
        <v>1629</v>
      </c>
      <c r="T5" s="1841" t="s">
        <v>1630</v>
      </c>
      <c r="U5" s="1154" t="s">
        <v>1631</v>
      </c>
      <c r="V5" s="1155" t="s">
        <v>1632</v>
      </c>
      <c r="W5" s="1155" t="s">
        <v>1633</v>
      </c>
      <c r="X5" s="66"/>
      <c r="Y5" s="65" t="s">
        <v>1634</v>
      </c>
      <c r="Z5" s="1842" t="s">
        <v>1631</v>
      </c>
      <c r="AA5" s="1155" t="s">
        <v>1632</v>
      </c>
      <c r="AB5" s="1155" t="s">
        <v>1633</v>
      </c>
      <c r="AC5" s="66"/>
      <c r="AD5" s="66" t="s">
        <v>1634</v>
      </c>
      <c r="AE5" s="1154" t="s">
        <v>1635</v>
      </c>
      <c r="AF5" s="1155" t="s">
        <v>1636</v>
      </c>
      <c r="AG5" s="65" t="s">
        <v>1637</v>
      </c>
      <c r="AH5" s="1154" t="s">
        <v>1638</v>
      </c>
      <c r="AI5" s="1842" t="s">
        <v>1639</v>
      </c>
      <c r="AJ5" s="1842" t="s">
        <v>1640</v>
      </c>
      <c r="AK5" s="1155" t="s">
        <v>1641</v>
      </c>
      <c r="AL5" s="1155" t="s">
        <v>1642</v>
      </c>
      <c r="AM5" s="65" t="s">
        <v>1643</v>
      </c>
      <c r="AN5" s="1843" t="s">
        <v>1644</v>
      </c>
      <c r="AO5" s="1694" t="s">
        <v>1645</v>
      </c>
      <c r="AP5" s="1136" t="s">
        <v>1646</v>
      </c>
      <c r="AQ5" s="1844" t="s">
        <v>1647</v>
      </c>
      <c r="AR5" s="1844"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办公</v>
      </c>
      <c r="B6" s="1846" t="str">
        <f>IF(A6=0,"","经营性")</f>
        <v>经营性</v>
      </c>
      <c r="C6" s="1847" t="s">
        <v>27</v>
      </c>
      <c r="D6" s="945">
        <f>SUMIF(项目基本情况!D$12:I$12,C6,项目基本情况!D$14:I$14)</f>
        <v>50</v>
      </c>
      <c r="E6" s="944">
        <f>IF(B6="","",SUMIF(项目基本情况!D$12:I$12,C6,项目基本情况!D$13:I$13))</f>
        <v>55285</v>
      </c>
      <c r="F6" s="67">
        <f>SUMIF(项目基本情况!D$12:I$12,C6,项目基本情况!D$15:I$15)</f>
        <v>28.71</v>
      </c>
      <c r="G6" s="68">
        <f>IF(ISERROR(ROUND(POWER(1+H6,D6-F6)*(POWER(1+H6,F6)-1)/(POWER(1+H6,D6)-1),3)),0,ROUND(POWER(1+H6,D6-F6)*(POWER(1+H6,F6)-1)/(POWER(1+H6,D6)-1),3))</f>
        <v>0.82599999999999996</v>
      </c>
      <c r="H6" s="3246">
        <v>0.05</v>
      </c>
      <c r="I6" s="3246">
        <v>0.06</v>
      </c>
      <c r="J6" s="3247">
        <v>8.5000000000000006E-2</v>
      </c>
      <c r="K6" s="1138">
        <f>SUMIF('数据-汇总表'!C$19:C$33,A6,'数据-汇总表'!E$19:E$33)</f>
        <v>1506.52</v>
      </c>
      <c r="L6" s="3248">
        <v>4500</v>
      </c>
      <c r="M6" s="70">
        <f t="shared" ref="M6:M14" si="0">ROUND(K6*L6/10000,0)</f>
        <v>678</v>
      </c>
      <c r="N6" s="87">
        <f>ROUND(1-(1-0%)*(2022-2008)/60,2)</f>
        <v>0.77</v>
      </c>
      <c r="O6" s="70" t="str">
        <f>IF($N$5="成新度","——",ROUND(M6*N6,0))</f>
        <v>——</v>
      </c>
      <c r="P6" s="71" t="str">
        <f>IF($N$5="成新度","——",M6-O6)</f>
        <v>——</v>
      </c>
      <c r="Q6" s="740">
        <v>0.2</v>
      </c>
      <c r="R6" s="72">
        <f ca="1">SUMIF('数据-汇总表'!C$19:C$33,A6,'数据-汇总表'!R$19:R$27)</f>
        <v>115.1</v>
      </c>
      <c r="S6" s="53">
        <f>IF('数据-汇总表'!$I$17="按面积比例",SUMIF('数据-汇总表'!C$19:C$33,A6,'数据-汇总表'!K$19:K$33),SUMIF('数据-汇总表'!C$19:C$33,A6,'数据-汇总表'!N$19:N$33))</f>
        <v>0</v>
      </c>
      <c r="T6" s="1283">
        <f>ROUND($L$14*S6/10000,0)</f>
        <v>0</v>
      </c>
      <c r="U6" s="3249">
        <v>11</v>
      </c>
      <c r="V6" s="3250">
        <v>0.03</v>
      </c>
      <c r="W6" s="3250">
        <v>0.1</v>
      </c>
      <c r="X6" s="1148"/>
      <c r="Y6" s="75">
        <f>N6</f>
        <v>0.77</v>
      </c>
      <c r="Z6" s="76"/>
      <c r="AA6" s="69"/>
      <c r="AB6" s="69"/>
      <c r="AC6" s="1148"/>
      <c r="AD6" s="77"/>
      <c r="AE6" s="1149">
        <f ca="1">IF(AN6="",0,SUMIF(INDIRECT("'"&amp;AN6&amp;"'"&amp;"!E:E"),$AE$5,INDIRECT("'"&amp;AN6&amp;"'"&amp;"!F:F")))</f>
        <v>28.71</v>
      </c>
      <c r="AF6" s="1479"/>
      <c r="AG6" s="142">
        <f>IF(AF6="",0,AE6-AF6)</f>
        <v>0</v>
      </c>
      <c r="AH6" s="78"/>
      <c r="AI6" s="80">
        <v>365</v>
      </c>
      <c r="AJ6" s="81"/>
      <c r="AK6" s="82">
        <v>0.02</v>
      </c>
      <c r="AL6" s="83">
        <v>2E-3</v>
      </c>
      <c r="AM6" s="84">
        <v>2.5000000000000001E-2</v>
      </c>
      <c r="AN6" s="1848" t="s">
        <v>3220</v>
      </c>
      <c r="AO6" s="54">
        <f ca="1">SUMIF(INDIRECT("'"&amp;AN6&amp;"'"&amp;"!A:A"),"总价",INDIRECT("'"&amp;AN6&amp;"'"&amp;"!B:B"))</f>
        <v>7823</v>
      </c>
      <c r="AP6" s="1849">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办公其他</v>
      </c>
      <c r="B7" s="1846" t="str">
        <f t="shared" ref="B7:B13" si="1">IF(A7=0,"","经营性")</f>
        <v>经营性</v>
      </c>
      <c r="C7" s="1847"/>
      <c r="D7" s="945">
        <f>SUMIF(项目基本情况!D$12:I$12,C7,项目基本情况!D$14:I$14)</f>
        <v>0</v>
      </c>
      <c r="E7" s="944">
        <f>IF(B7="","",SUMIF(项目基本情况!D$12:I$12,C7,项目基本情况!D$13:I$13))</f>
        <v>0</v>
      </c>
      <c r="F7" s="67">
        <f>SUMIF(项目基本情况!D$12:I$12,C7,项目基本情况!D$15:I$15)</f>
        <v>0</v>
      </c>
      <c r="G7" s="68">
        <f t="shared" ref="G7:G11" si="2">IF(ISERROR(ROUND(POWER(1+H7,D7-F7)*(POWER(1+H7,F7)-1)/(POWER(1+H7,D7)-1),3)),0,ROUND(POWER(1+H7,D7-F7)*(POWER(1+H7,F7)-1)/(POWER(1+H7,D7)-1),3))</f>
        <v>0</v>
      </c>
      <c r="H7" s="3246"/>
      <c r="I7" s="3246"/>
      <c r="J7" s="3247"/>
      <c r="K7" s="1138">
        <f>SUMIF('数据-汇总表'!C$19:C$33,A7,'数据-汇总表'!E$19:E$33)</f>
        <v>23358.520000000004</v>
      </c>
      <c r="L7" s="3248"/>
      <c r="M7" s="70">
        <f t="shared" si="0"/>
        <v>0</v>
      </c>
      <c r="N7" s="87"/>
      <c r="O7" s="70" t="str">
        <f t="shared" ref="O7:O14" si="3">IF($N$5="成新度","——",ROUND(M7*N7,0))</f>
        <v>——</v>
      </c>
      <c r="P7" s="71" t="str">
        <f t="shared" ref="P7:P14" si="4">IF($N$5="成新度","——",M7-O7)</f>
        <v>——</v>
      </c>
      <c r="Q7" s="740"/>
      <c r="R7" s="72">
        <f ca="1">SUMIF('数据-汇总表'!C$19:C$33,A7,'数据-汇总表'!R$19:R$27)</f>
        <v>1784.6</v>
      </c>
      <c r="S7" s="53">
        <f>IF('数据-汇总表'!$I$17="按面积比例",SUMIF('数据-汇总表'!C$19:C$33,A7,'数据-汇总表'!K$19:K$33),SUMIF('数据-汇总表'!C$19:C$33,A7,'数据-汇总表'!N$19:N$33))</f>
        <v>0</v>
      </c>
      <c r="T7" s="1283">
        <f t="shared" ref="T7:T13" si="5">ROUND($L$14*S7/10000,0)</f>
        <v>0</v>
      </c>
      <c r="U7" s="3249"/>
      <c r="V7" s="3250"/>
      <c r="W7" s="3250"/>
      <c r="X7" s="1148"/>
      <c r="Y7" s="75"/>
      <c r="Z7" s="76"/>
      <c r="AA7" s="69"/>
      <c r="AB7" s="69"/>
      <c r="AC7" s="1148"/>
      <c r="AD7" s="77"/>
      <c r="AE7" s="1149">
        <f t="shared" ref="AE7:AE13" ca="1" si="6">IF(AN7="",0,SUMIF(INDIRECT("'"&amp;AN7&amp;"'"&amp;"!E:E"),$AE$5,INDIRECT("'"&amp;AN7&amp;"'"&amp;"!F:F")))</f>
        <v>0</v>
      </c>
      <c r="AF7" s="1479"/>
      <c r="AG7" s="142">
        <f t="shared" ref="AG7:AG13" si="7">IF(AF7="",0,AE7-AF7)</f>
        <v>0</v>
      </c>
      <c r="AH7" s="78"/>
      <c r="AI7" s="80"/>
      <c r="AJ7" s="81"/>
      <c r="AK7" s="82"/>
      <c r="AL7" s="83"/>
      <c r="AM7" s="84"/>
      <c r="AN7" s="1848"/>
      <c r="AO7" s="54" t="e">
        <f t="shared" ref="AO7:AO13" ca="1" si="8">SUMIF(INDIRECT("'"&amp;AN7&amp;"'"&amp;"!A:A"),"总价",INDIRECT("'"&amp;AN7&amp;"'"&amp;"!B:B"))</f>
        <v>#REF!</v>
      </c>
      <c r="AP7" s="1849">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1"/>
        <v/>
      </c>
      <c r="C8" s="1847"/>
      <c r="D8" s="945">
        <f>SUMIF(项目基本情况!D$12:I$12,C8,项目基本情况!D$14:I$14)</f>
        <v>0</v>
      </c>
      <c r="E8" s="944" t="str">
        <f>IF(B8="","",SUMIF(项目基本情况!D$12:I$12,C8,项目基本情况!D$13:I$13))</f>
        <v/>
      </c>
      <c r="F8" s="67">
        <f>SUMIF(项目基本情况!D$12:I$12,C8,项目基本情况!D$15:I$15)</f>
        <v>0</v>
      </c>
      <c r="G8" s="68">
        <f t="shared" si="2"/>
        <v>0</v>
      </c>
      <c r="H8" s="738"/>
      <c r="I8" s="738"/>
      <c r="J8" s="69"/>
      <c r="K8" s="113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283">
        <f t="shared" si="5"/>
        <v>0</v>
      </c>
      <c r="U8" s="741"/>
      <c r="V8" s="742"/>
      <c r="W8" s="742"/>
      <c r="X8" s="1148"/>
      <c r="Y8" s="743"/>
      <c r="Z8" s="76"/>
      <c r="AA8" s="69"/>
      <c r="AB8" s="69"/>
      <c r="AC8" s="1148"/>
      <c r="AD8" s="77"/>
      <c r="AE8" s="1149">
        <f t="shared" ca="1" si="6"/>
        <v>0</v>
      </c>
      <c r="AF8" s="1479"/>
      <c r="AG8" s="142">
        <f t="shared" si="7"/>
        <v>0</v>
      </c>
      <c r="AH8" s="744"/>
      <c r="AI8" s="80"/>
      <c r="AJ8" s="81"/>
      <c r="AK8" s="745"/>
      <c r="AL8" s="746"/>
      <c r="AM8" s="747"/>
      <c r="AN8" s="1848"/>
      <c r="AO8" s="54" t="e">
        <f t="shared" ca="1" si="8"/>
        <v>#REF!</v>
      </c>
      <c r="AP8" s="1849">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1"/>
        <v/>
      </c>
      <c r="C9" s="1847"/>
      <c r="D9" s="945">
        <f>SUMIF(项目基本情况!D$12:I$12,C9,项目基本情况!D$14:I$14)</f>
        <v>0</v>
      </c>
      <c r="E9" s="944" t="str">
        <f>IF(B9="","",SUMIF(项目基本情况!D$12:I$12,C9,项目基本情况!D$13:I$13))</f>
        <v/>
      </c>
      <c r="F9" s="67">
        <f>SUMIF(项目基本情况!D$12:I$12,C9,项目基本情况!D$15:I$15)</f>
        <v>0</v>
      </c>
      <c r="G9" s="68">
        <f t="shared" si="2"/>
        <v>0</v>
      </c>
      <c r="H9" s="69"/>
      <c r="I9" s="69"/>
      <c r="J9" s="69"/>
      <c r="K9" s="113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3">
        <f t="shared" si="5"/>
        <v>0</v>
      </c>
      <c r="U9" s="73"/>
      <c r="V9" s="74"/>
      <c r="W9" s="74"/>
      <c r="X9" s="1148"/>
      <c r="Y9" s="75"/>
      <c r="Z9" s="76"/>
      <c r="AA9" s="69"/>
      <c r="AB9" s="69"/>
      <c r="AC9" s="1148"/>
      <c r="AD9" s="77"/>
      <c r="AE9" s="1149">
        <f t="shared" ca="1" si="6"/>
        <v>0</v>
      </c>
      <c r="AF9" s="1479"/>
      <c r="AG9" s="142">
        <f t="shared" si="7"/>
        <v>0</v>
      </c>
      <c r="AH9" s="78"/>
      <c r="AI9" s="80"/>
      <c r="AJ9" s="81"/>
      <c r="AK9" s="82"/>
      <c r="AL9" s="83"/>
      <c r="AM9" s="84"/>
      <c r="AN9" s="1848"/>
      <c r="AO9" s="54" t="e">
        <f t="shared" ca="1" si="8"/>
        <v>#REF!</v>
      </c>
      <c r="AP9" s="1849">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8"/>
      <c r="AO10" s="54" t="e">
        <f t="shared" ca="1" si="8"/>
        <v>#REF!</v>
      </c>
      <c r="AP10" s="1849">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8"/>
      <c r="AO11" s="54" t="e">
        <f t="shared" ca="1" si="8"/>
        <v>#REF!</v>
      </c>
      <c r="AP11" s="1849">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8"/>
      <c r="AO12" s="54" t="e">
        <f t="shared" ca="1" si="8"/>
        <v>#REF!</v>
      </c>
      <c r="AP12" s="1849">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8"/>
      <c r="AO13" s="54" t="e">
        <f t="shared" ca="1" si="8"/>
        <v>#REF!</v>
      </c>
      <c r="AP13" s="1849">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1649</v>
      </c>
      <c r="B14" s="1846" t="s">
        <v>1650</v>
      </c>
      <c r="C14" s="1851" t="s">
        <v>1649</v>
      </c>
      <c r="D14" s="945"/>
      <c r="E14" s="944"/>
      <c r="F14" s="67"/>
      <c r="G14" s="68"/>
      <c r="H14" s="1137"/>
      <c r="I14" s="1137"/>
      <c r="J14" s="1137"/>
      <c r="K14" s="1138">
        <f>SUMIF('数据-汇总表'!C$19:C$33,A14,'数据-汇总表'!E$19:E$33)</f>
        <v>0</v>
      </c>
      <c r="L14" s="86">
        <v>3500</v>
      </c>
      <c r="M14" s="70">
        <f t="shared" si="0"/>
        <v>0</v>
      </c>
      <c r="N14" s="87">
        <f>N7</f>
        <v>0</v>
      </c>
      <c r="O14" s="70" t="str">
        <f t="shared" si="3"/>
        <v>——</v>
      </c>
      <c r="P14" s="71" t="str">
        <f t="shared" si="4"/>
        <v>——</v>
      </c>
      <c r="Q14" s="1141"/>
      <c r="R14" s="72"/>
      <c r="S14" s="53"/>
      <c r="T14" s="1283"/>
      <c r="U14" s="676"/>
      <c r="V14" s="1143"/>
      <c r="W14" s="1143"/>
      <c r="X14" s="1144"/>
      <c r="Y14" s="1145"/>
      <c r="Z14" s="1146"/>
      <c r="AA14" s="1147"/>
      <c r="AB14" s="1147"/>
      <c r="AC14" s="1148"/>
      <c r="AD14" s="1144"/>
      <c r="AE14" s="1149"/>
      <c r="AF14" s="54"/>
      <c r="AG14" s="142"/>
      <c r="AH14" s="1149"/>
      <c r="AI14" s="1488"/>
      <c r="AJ14" s="710"/>
      <c r="AK14" s="1150"/>
      <c r="AL14" s="1151"/>
      <c r="AM14" s="1152"/>
      <c r="AN14" s="2846"/>
      <c r="AO14" s="2848"/>
      <c r="AP14" s="2848"/>
      <c r="AQ14" s="2848"/>
      <c r="AR14" s="2848"/>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1651</v>
      </c>
      <c r="B15" s="1846" t="s">
        <v>1650</v>
      </c>
      <c r="C15" s="1851" t="s">
        <v>1652</v>
      </c>
      <c r="D15" s="945"/>
      <c r="E15" s="944"/>
      <c r="F15" s="67"/>
      <c r="G15" s="68"/>
      <c r="H15" s="1137"/>
      <c r="I15" s="1137"/>
      <c r="J15" s="1137"/>
      <c r="K15" s="1138">
        <f>SUMIF('数据-汇总表'!C$19:C$33,A15,'数据-汇总表'!E$19:E$33)</f>
        <v>0</v>
      </c>
      <c r="L15" s="1139"/>
      <c r="M15" s="70"/>
      <c r="N15" s="1140"/>
      <c r="O15" s="70"/>
      <c r="P15" s="71"/>
      <c r="Q15" s="1141"/>
      <c r="R15" s="72"/>
      <c r="S15" s="53"/>
      <c r="T15" s="1283"/>
      <c r="U15" s="676"/>
      <c r="V15" s="1143"/>
      <c r="W15" s="1143"/>
      <c r="X15" s="1144"/>
      <c r="Y15" s="1145"/>
      <c r="Z15" s="1146"/>
      <c r="AA15" s="1147"/>
      <c r="AB15" s="1147"/>
      <c r="AC15" s="1148"/>
      <c r="AD15" s="1144"/>
      <c r="AE15" s="1149"/>
      <c r="AF15" s="54"/>
      <c r="AG15" s="142"/>
      <c r="AH15" s="1149"/>
      <c r="AI15" s="1488"/>
      <c r="AJ15" s="710"/>
      <c r="AK15" s="1150"/>
      <c r="AL15" s="1151"/>
      <c r="AM15" s="1152"/>
      <c r="AN15" s="2846"/>
      <c r="AO15" s="2848"/>
      <c r="AP15" s="2848"/>
      <c r="AQ15" s="2848"/>
      <c r="AR15" s="2848"/>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1653</v>
      </c>
      <c r="B16" s="92"/>
      <c r="C16" s="920"/>
      <c r="D16" s="1853"/>
      <c r="E16" s="92"/>
      <c r="F16" s="92"/>
      <c r="G16" s="93">
        <f>ROUND(SUMPRODUCT(G6:G13,K6:K13)/SUMPRODUCT((G6:G13&gt;0)*(K6:K13)),3)</f>
        <v>0.82599999999999996</v>
      </c>
      <c r="H16" s="94">
        <f>ROUND(SUMPRODUCT(H6:H13,K6:K13)/SUMPRODUCT((H6:H13&gt;0)*(K6:K13)),3)</f>
        <v>0.05</v>
      </c>
      <c r="I16" s="95"/>
      <c r="J16" s="95"/>
      <c r="K16" s="96">
        <f>SUM(K6:K15)</f>
        <v>24865.040000000005</v>
      </c>
      <c r="L16" s="97">
        <f>ROUND(M16*10000/SUM(K6:K14),0)</f>
        <v>273</v>
      </c>
      <c r="M16" s="97">
        <f>SUM(M6:M14)</f>
        <v>678</v>
      </c>
      <c r="N16" s="98">
        <f>ROUND(SUMPRODUCT(M6:M14,N6:N14)/M16,3)</f>
        <v>0.77</v>
      </c>
      <c r="O16" s="97">
        <f>SUM(O6:O14)</f>
        <v>0</v>
      </c>
      <c r="P16" s="97">
        <f>SUM(P6:P14)</f>
        <v>0</v>
      </c>
      <c r="Q16" s="99">
        <f>ROUND(SUMPRODUCT(Q6:Q13,K6:K13)/SUMPRODUCT((Q6:Q13&gt;0)*(K6:K13)),2)</f>
        <v>0.2</v>
      </c>
      <c r="R16" s="1142">
        <f ca="1">SUM(R6:R13)</f>
        <v>1899.6999999999998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5" t="s">
        <v>1655</v>
      </c>
      <c r="B19" s="107"/>
      <c r="C19" s="2976" t="s">
        <v>2804</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6" t="s">
        <v>1656</v>
      </c>
      <c r="B20" s="108">
        <v>2</v>
      </c>
      <c r="C20" s="2977" t="s">
        <v>2802</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7" t="s">
        <v>1657</v>
      </c>
      <c r="B21" s="108">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6" t="s">
        <v>1658</v>
      </c>
      <c r="B22" s="109">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7" t="s">
        <v>1659</v>
      </c>
      <c r="B23" s="109">
        <f>B19+B21</f>
        <v>2</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8" t="s">
        <v>1660</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89"/>
      <c r="B25" s="1820"/>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6" t="s">
        <v>1661</v>
      </c>
      <c r="B26" s="1859"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1" customFormat="1" ht="27.75">
      <c r="A27" s="1860" t="s">
        <v>1664</v>
      </c>
      <c r="B27" s="111"/>
      <c r="C27" s="2978" t="s">
        <v>2806</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1665</v>
      </c>
      <c r="B28" s="114">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1666</v>
      </c>
      <c r="B29" s="116">
        <f>ROUND(B28*K16/10000,0)</f>
        <v>497</v>
      </c>
      <c r="C29" s="2979" t="s">
        <v>2793</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1667</v>
      </c>
      <c r="B30" s="677">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1668</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1669</v>
      </c>
      <c r="B32" s="678"/>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1670</v>
      </c>
      <c r="B33" s="679">
        <v>0.03</v>
      </c>
      <c r="C33" s="2980" t="s">
        <v>2794</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1671</v>
      </c>
      <c r="B34" s="117">
        <v>0</v>
      </c>
      <c r="C34" s="2980" t="s">
        <v>2795</v>
      </c>
      <c r="D34" s="2859" t="s">
        <v>2803</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1672</v>
      </c>
      <c r="B35" s="114">
        <v>200</v>
      </c>
      <c r="C35" s="2980" t="s">
        <v>2796</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1673</v>
      </c>
      <c r="B36" s="118">
        <v>1.4999999999999999E-2</v>
      </c>
      <c r="C36" s="2980" t="s">
        <v>2797</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4" t="s">
        <v>1674</v>
      </c>
      <c r="B37" s="119">
        <v>0.02</v>
      </c>
      <c r="C37" s="2980" t="s">
        <v>2798</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2" t="s">
        <v>1675</v>
      </c>
      <c r="B38" s="117">
        <v>0.02</v>
      </c>
      <c r="C38" s="2980" t="s">
        <v>2798</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5" t="s">
        <v>1676</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3223</v>
      </c>
      <c r="B40" s="1187">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0" t="s">
        <v>1677</v>
      </c>
      <c r="B41" s="120">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6" t="s">
        <v>1678</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6" t="s">
        <v>1679</v>
      </c>
      <c r="B43" s="122">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7" t="s">
        <v>1680</v>
      </c>
      <c r="B44" s="123">
        <v>7.0000000000000007E-2</v>
      </c>
      <c r="C44" s="2980" t="s">
        <v>2807</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7" t="s">
        <v>1681</v>
      </c>
      <c r="B45" s="121">
        <v>0.03</v>
      </c>
      <c r="C45" s="2979" t="s">
        <v>2799</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7" t="s">
        <v>1682</v>
      </c>
      <c r="B46" s="121">
        <v>0.02</v>
      </c>
      <c r="C46" s="2979" t="s">
        <v>2800</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8" t="s">
        <v>1683</v>
      </c>
      <c r="B47" s="124"/>
      <c r="C47" s="2982" t="s">
        <v>2808</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69" t="s">
        <v>1684</v>
      </c>
      <c r="B48" s="125">
        <v>0.03</v>
      </c>
      <c r="C48" s="2979" t="s">
        <v>2799</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5" t="s">
        <v>1685</v>
      </c>
      <c r="B49" s="121">
        <v>5.0000000000000001E-4</v>
      </c>
      <c r="C49" s="2979" t="s">
        <v>2801</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0" t="s">
        <v>1686</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3" t="s">
        <v>1687</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0" t="s">
        <v>1688</v>
      </c>
      <c r="B52" s="128">
        <f>SUMIF(A54:A63,B53,B54:B63)</f>
        <v>24</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2" t="s">
        <v>1689</v>
      </c>
      <c r="B53" s="1871" t="s">
        <v>268</v>
      </c>
      <c r="C53" s="2834" t="s">
        <v>1690</v>
      </c>
      <c r="D53" s="2981" t="s">
        <v>2805</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2" t="s">
        <v>1691</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2" t="s">
        <v>1692</v>
      </c>
      <c r="B55" s="79">
        <v>24</v>
      </c>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2" t="s">
        <v>1693</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2" t="s">
        <v>1694</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2" t="s">
        <v>1695</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2" t="s">
        <v>1696</v>
      </c>
      <c r="B59" s="79"/>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2" t="s">
        <v>1697</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2" t="s">
        <v>1698</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2" t="s">
        <v>1699</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3" t="s">
        <v>1700</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79"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79"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79"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79"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79"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6"/>
      <c r="L134" s="26"/>
    </row>
    <row r="135" spans="1:12" s="1814" customFormat="1">
      <c r="A135" s="1876"/>
      <c r="D135" s="1877"/>
      <c r="K135" s="26"/>
      <c r="L135" s="26"/>
    </row>
    <row r="136" spans="1:12" s="1814" customFormat="1">
      <c r="A136" s="1876"/>
      <c r="D136" s="1877"/>
      <c r="K136" s="26"/>
      <c r="L136" s="26"/>
    </row>
    <row r="137" spans="1:12" s="1814" customFormat="1">
      <c r="A137" s="1876"/>
      <c r="D137" s="1877"/>
      <c r="K137" s="26"/>
      <c r="L137" s="26"/>
    </row>
    <row r="138" spans="1:12" s="1814" customFormat="1">
      <c r="A138" s="1876"/>
      <c r="D138" s="1877"/>
      <c r="K138" s="26"/>
      <c r="L138" s="26"/>
    </row>
    <row r="139" spans="1:12" s="1814" customFormat="1">
      <c r="A139" s="1876"/>
      <c r="D139" s="1877"/>
      <c r="K139" s="26"/>
      <c r="L139" s="26"/>
    </row>
    <row r="140" spans="1:12" s="1814" customFormat="1">
      <c r="A140" s="1876"/>
      <c r="D140" s="1877"/>
      <c r="K140" s="26"/>
      <c r="L140" s="26"/>
    </row>
    <row r="141" spans="1:12" s="1814" customFormat="1">
      <c r="A141" s="1876"/>
      <c r="D141" s="1877"/>
      <c r="K141" s="26"/>
      <c r="L141" s="26"/>
    </row>
    <row r="142" spans="1:12" s="1814" customFormat="1">
      <c r="A142" s="1876"/>
      <c r="D142" s="1877"/>
      <c r="K142" s="26"/>
      <c r="L142" s="26"/>
    </row>
    <row r="143" spans="1:12" s="1814" customFormat="1">
      <c r="A143" s="1876"/>
      <c r="D143" s="1877"/>
      <c r="K143" s="26"/>
      <c r="L143" s="26"/>
    </row>
    <row r="144" spans="1:12" s="1814" customFormat="1">
      <c r="A144" s="1876"/>
      <c r="D144" s="1877"/>
      <c r="K144" s="26"/>
      <c r="L144" s="26"/>
    </row>
    <row r="145" spans="1:12" s="1814" customFormat="1">
      <c r="A145" s="1876"/>
      <c r="D145" s="1877"/>
      <c r="K145" s="26"/>
      <c r="L145" s="26"/>
    </row>
    <row r="146" spans="1:12" s="1814" customFormat="1">
      <c r="A146" s="1876"/>
      <c r="D146" s="1877"/>
      <c r="K146" s="26"/>
      <c r="L146" s="26"/>
    </row>
    <row r="147" spans="1:12" s="1814" customFormat="1">
      <c r="A147" s="1876"/>
      <c r="D147" s="1877"/>
      <c r="K147" s="26"/>
      <c r="L147" s="26"/>
    </row>
    <row r="148" spans="1:12" s="1814" customFormat="1">
      <c r="A148" s="1876"/>
      <c r="D148" s="1877"/>
      <c r="K148" s="26"/>
      <c r="L148" s="26"/>
    </row>
    <row r="149" spans="1:12" s="1814" customFormat="1">
      <c r="A149" s="1876"/>
      <c r="D149" s="1877"/>
      <c r="K149" s="26"/>
      <c r="L149" s="26"/>
    </row>
    <row r="150" spans="1:12" s="1814" customFormat="1">
      <c r="A150" s="1876"/>
      <c r="D150" s="1877"/>
      <c r="K150" s="26"/>
      <c r="L150" s="26"/>
    </row>
    <row r="151" spans="1:12" s="1814" customFormat="1">
      <c r="A151" s="1876"/>
      <c r="D151" s="1877"/>
      <c r="K151" s="26"/>
      <c r="L151" s="26"/>
    </row>
    <row r="152" spans="1:12" s="1814" customFormat="1">
      <c r="A152" s="1876"/>
      <c r="D152" s="1877"/>
      <c r="K152" s="26"/>
      <c r="L152" s="26"/>
    </row>
    <row r="153" spans="1:12" s="1814" customFormat="1">
      <c r="A153" s="1876"/>
      <c r="D153" s="1877"/>
      <c r="K153" s="26"/>
      <c r="L153" s="26"/>
    </row>
    <row r="154" spans="1:12" s="1814" customFormat="1">
      <c r="A154" s="1876"/>
      <c r="D154" s="1877"/>
      <c r="K154" s="26"/>
      <c r="L154" s="26"/>
    </row>
    <row r="155" spans="1:12" s="1814" customFormat="1">
      <c r="A155" s="1876"/>
      <c r="D155" s="1877"/>
      <c r="K155" s="26"/>
      <c r="L155" s="26"/>
    </row>
    <row r="156" spans="1:12" s="1814" customFormat="1">
      <c r="A156" s="1876"/>
      <c r="D156" s="1877"/>
      <c r="K156" s="26"/>
      <c r="L156" s="26"/>
    </row>
    <row r="157" spans="1:12" s="1814" customFormat="1">
      <c r="A157" s="1876"/>
      <c r="D157" s="1877"/>
      <c r="K157" s="26"/>
      <c r="L157" s="26"/>
    </row>
    <row r="158" spans="1:12" s="1814" customFormat="1">
      <c r="A158" s="1876"/>
      <c r="D158" s="1877"/>
      <c r="K158" s="26"/>
      <c r="L158" s="26"/>
    </row>
    <row r="159" spans="1:12" s="1814" customFormat="1">
      <c r="A159" s="1876"/>
      <c r="D159" s="1877"/>
      <c r="K159" s="26"/>
      <c r="L159" s="26"/>
    </row>
    <row r="160" spans="1:12" s="1814" customFormat="1">
      <c r="A160" s="1876"/>
      <c r="D160" s="1877"/>
      <c r="K160" s="26"/>
      <c r="L160" s="26"/>
    </row>
    <row r="161" spans="1:12" s="1814" customFormat="1">
      <c r="A161" s="1876"/>
      <c r="D161" s="1877"/>
      <c r="K161" s="26"/>
      <c r="L161" s="26"/>
    </row>
    <row r="162" spans="1:12" s="1814" customFormat="1">
      <c r="A162" s="1876"/>
      <c r="D162" s="1877"/>
      <c r="K162" s="26"/>
      <c r="L162" s="26"/>
    </row>
    <row r="163" spans="1:12" s="1814" customFormat="1">
      <c r="A163" s="1876"/>
      <c r="D163" s="1877"/>
      <c r="K163" s="26"/>
      <c r="L163" s="26"/>
    </row>
    <row r="164" spans="1:12" s="1814" customFormat="1">
      <c r="A164" s="1876"/>
      <c r="D164" s="1877"/>
      <c r="K164" s="26"/>
      <c r="L164" s="26"/>
    </row>
    <row r="165" spans="1:12" s="1814" customFormat="1">
      <c r="A165" s="1876"/>
      <c r="D165" s="1877"/>
      <c r="K165" s="26"/>
      <c r="L165" s="26"/>
    </row>
    <row r="166" spans="1:12" s="1814" customFormat="1">
      <c r="A166" s="1876"/>
      <c r="D166" s="1877"/>
      <c r="K166" s="26"/>
      <c r="L166" s="26"/>
    </row>
    <row r="167" spans="1:12" s="1814" customFormat="1">
      <c r="A167" s="1876"/>
      <c r="D167" s="1877"/>
      <c r="K167" s="26"/>
      <c r="L167" s="26"/>
    </row>
    <row r="168" spans="1:12" s="1814" customFormat="1">
      <c r="A168" s="1876"/>
      <c r="D168" s="1877"/>
      <c r="K168" s="26"/>
      <c r="L168" s="26"/>
    </row>
    <row r="169" spans="1:12" s="1814" customFormat="1">
      <c r="A169" s="1876"/>
      <c r="D169" s="1877"/>
      <c r="K169" s="26"/>
      <c r="L169" s="26"/>
    </row>
    <row r="170" spans="1:12" s="1814" customFormat="1">
      <c r="A170" s="1876"/>
      <c r="D170" s="1877"/>
      <c r="K170" s="26"/>
      <c r="L170" s="26"/>
    </row>
    <row r="171" spans="1:12" s="1814" customFormat="1">
      <c r="A171" s="1876"/>
      <c r="D171" s="1877"/>
      <c r="K171" s="26"/>
      <c r="L171" s="26"/>
    </row>
    <row r="172" spans="1:12" s="1814" customFormat="1">
      <c r="A172" s="1876"/>
      <c r="D172" s="1877"/>
      <c r="K172" s="26"/>
      <c r="L172" s="26"/>
    </row>
    <row r="173" spans="1:12" s="1814" customFormat="1">
      <c r="A173" s="1876"/>
      <c r="D173" s="1877"/>
      <c r="K173" s="26"/>
      <c r="L173" s="26"/>
    </row>
    <row r="174" spans="1:12" s="1814" customFormat="1">
      <c r="A174" s="1876"/>
      <c r="D174" s="187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4" customWidth="1"/>
    <col min="3" max="3" width="24.5" style="2682" customWidth="1"/>
    <col min="4" max="4" width="2.625" style="2682" customWidth="1"/>
    <col min="5" max="5" width="5.875" style="2682" customWidth="1"/>
    <col min="6" max="6" width="27" style="1704"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5"/>
    <col min="30" max="16384" width="9" style="1819"/>
  </cols>
  <sheetData>
    <row r="1" spans="1:29" s="2629" customFormat="1" ht="18.75" thickBot="1">
      <c r="A1" s="3352" t="s">
        <v>2785</v>
      </c>
      <c r="B1" s="3353"/>
      <c r="C1" s="3353"/>
      <c r="D1" s="3353"/>
      <c r="E1" s="3353"/>
      <c r="F1" s="3353"/>
      <c r="G1" s="335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2780</v>
      </c>
      <c r="D2" s="2633"/>
      <c r="E2" s="2630"/>
      <c r="F2" s="2634"/>
      <c r="G2" s="2632" t="s">
        <v>2781</v>
      </c>
      <c r="H2" s="885"/>
      <c r="I2" s="885"/>
      <c r="J2" s="885"/>
      <c r="K2" s="885"/>
      <c r="L2" s="885"/>
      <c r="M2" s="885"/>
      <c r="N2" s="885"/>
      <c r="O2" s="885"/>
      <c r="P2" s="885"/>
      <c r="Q2" s="885"/>
      <c r="R2" s="885"/>
    </row>
    <row r="3" spans="1:29" ht="48">
      <c r="A3" s="2613" t="s">
        <v>2782</v>
      </c>
      <c r="B3" s="2635" t="s">
        <v>2751</v>
      </c>
      <c r="C3" s="2636" t="s">
        <v>2783</v>
      </c>
      <c r="D3" s="2637"/>
      <c r="E3" s="2614" t="s">
        <v>2782</v>
      </c>
      <c r="F3" s="2638" t="s">
        <v>2752</v>
      </c>
      <c r="G3" s="2639" t="s">
        <v>2784</v>
      </c>
      <c r="H3" s="885"/>
      <c r="I3" s="885"/>
      <c r="J3" s="885"/>
      <c r="K3" s="885"/>
      <c r="L3" s="885"/>
      <c r="M3" s="885"/>
      <c r="N3" s="885"/>
      <c r="O3" s="885"/>
      <c r="P3" s="885"/>
      <c r="Q3" s="885"/>
      <c r="R3" s="885"/>
    </row>
    <row r="4" spans="1:29" ht="36.75">
      <c r="A4" s="2614"/>
      <c r="B4" s="328" t="s">
        <v>2753</v>
      </c>
      <c r="C4" s="2640" t="s">
        <v>2754</v>
      </c>
      <c r="D4" s="2637"/>
      <c r="E4" s="2641"/>
      <c r="F4" s="1504" t="s">
        <v>2755</v>
      </c>
      <c r="G4" s="2642" t="s">
        <v>2756</v>
      </c>
      <c r="H4" s="885"/>
      <c r="I4" s="885"/>
      <c r="J4" s="885"/>
      <c r="K4" s="885"/>
      <c r="L4" s="885"/>
      <c r="M4" s="885"/>
      <c r="N4" s="885"/>
      <c r="O4" s="885"/>
      <c r="P4" s="885"/>
      <c r="Q4" s="885"/>
      <c r="R4" s="885"/>
    </row>
    <row r="5" spans="1:29" ht="36.75">
      <c r="A5" s="2614"/>
      <c r="B5" s="328" t="s">
        <v>2757</v>
      </c>
      <c r="C5" s="2640" t="s">
        <v>2758</v>
      </c>
      <c r="D5" s="2637"/>
      <c r="E5" s="2641"/>
      <c r="F5" s="328" t="s">
        <v>2759</v>
      </c>
      <c r="G5" s="2642" t="s">
        <v>2760</v>
      </c>
      <c r="H5" s="885"/>
      <c r="I5" s="885"/>
      <c r="J5" s="885"/>
      <c r="K5" s="885"/>
      <c r="L5" s="885"/>
      <c r="M5" s="885"/>
      <c r="N5" s="885"/>
      <c r="O5" s="885"/>
      <c r="P5" s="885"/>
      <c r="Q5" s="885"/>
      <c r="R5" s="885"/>
    </row>
    <row r="6" spans="1:29" ht="36">
      <c r="A6" s="2614"/>
      <c r="B6" s="328" t="s">
        <v>2761</v>
      </c>
      <c r="C6" s="2642" t="s">
        <v>2756</v>
      </c>
      <c r="D6" s="2637"/>
      <c r="E6" s="2641"/>
      <c r="F6" s="328" t="s">
        <v>2762</v>
      </c>
      <c r="G6" s="2642" t="s">
        <v>2763</v>
      </c>
      <c r="H6" s="885"/>
      <c r="I6" s="885"/>
      <c r="J6" s="885"/>
      <c r="K6" s="885"/>
      <c r="L6" s="885"/>
      <c r="M6" s="885"/>
      <c r="N6" s="885"/>
      <c r="O6" s="885"/>
      <c r="P6" s="885"/>
      <c r="Q6" s="885"/>
      <c r="R6" s="885"/>
    </row>
    <row r="7" spans="1:29" ht="24.75" thickBot="1">
      <c r="A7" s="2614"/>
      <c r="B7" s="328" t="s">
        <v>2759</v>
      </c>
      <c r="C7" s="2642" t="s">
        <v>2760</v>
      </c>
      <c r="D7" s="2643"/>
      <c r="E7" s="2644"/>
      <c r="F7" s="2645" t="s">
        <v>2764</v>
      </c>
      <c r="G7" s="2646" t="s">
        <v>2765</v>
      </c>
      <c r="H7" s="885"/>
      <c r="I7" s="885"/>
      <c r="J7" s="885"/>
      <c r="K7" s="885"/>
      <c r="L7" s="885"/>
      <c r="M7" s="885"/>
      <c r="N7" s="885"/>
      <c r="O7" s="885"/>
      <c r="P7" s="885"/>
      <c r="Q7" s="885"/>
      <c r="R7" s="885"/>
    </row>
    <row r="8" spans="1:29">
      <c r="A8" s="2614"/>
      <c r="B8" s="328" t="s">
        <v>2762</v>
      </c>
      <c r="C8" s="2642" t="s">
        <v>2763</v>
      </c>
      <c r="D8" s="2643"/>
      <c r="E8" s="2643"/>
      <c r="F8" s="2647"/>
      <c r="G8" s="2647"/>
      <c r="H8" s="885"/>
      <c r="I8" s="885"/>
      <c r="J8" s="885"/>
      <c r="K8" s="885"/>
      <c r="L8" s="885"/>
      <c r="M8" s="885"/>
      <c r="N8" s="885"/>
      <c r="O8" s="885"/>
      <c r="P8" s="885"/>
      <c r="Q8" s="885"/>
      <c r="R8" s="885"/>
    </row>
    <row r="9" spans="1:29" ht="24">
      <c r="A9" s="2614"/>
      <c r="B9" s="328" t="s">
        <v>2766</v>
      </c>
      <c r="C9" s="2640" t="s">
        <v>2767</v>
      </c>
      <c r="D9" s="2637"/>
      <c r="E9" s="2643"/>
      <c r="F9" s="2647"/>
      <c r="G9" s="2647"/>
      <c r="H9" s="885"/>
      <c r="I9" s="885"/>
      <c r="J9" s="885"/>
      <c r="K9" s="885"/>
      <c r="L9" s="885"/>
      <c r="M9" s="885"/>
      <c r="N9" s="885"/>
      <c r="O9" s="885"/>
      <c r="P9" s="885"/>
      <c r="Q9" s="885"/>
      <c r="R9" s="885"/>
    </row>
    <row r="10" spans="1:29" s="2653" customFormat="1" ht="15" thickBot="1">
      <c r="A10" s="2615"/>
      <c r="B10" s="2648" t="s">
        <v>2768</v>
      </c>
      <c r="C10" s="2649"/>
      <c r="D10" s="2637"/>
      <c r="E10" s="2637"/>
      <c r="F10" s="2647"/>
      <c r="G10" s="2647"/>
      <c r="H10" s="2650"/>
      <c r="I10" s="2651"/>
      <c r="J10" s="2652"/>
      <c r="K10" s="2650"/>
      <c r="L10" s="2651"/>
      <c r="M10" s="2652"/>
      <c r="N10" s="2650"/>
      <c r="O10" s="2651"/>
      <c r="P10" s="2652"/>
      <c r="Q10" s="2650"/>
      <c r="R10" s="2651"/>
      <c r="S10" s="885"/>
      <c r="T10" s="885"/>
      <c r="U10" s="885"/>
      <c r="V10" s="885"/>
      <c r="W10" s="885"/>
      <c r="X10" s="885"/>
      <c r="Y10" s="885"/>
      <c r="Z10" s="885"/>
      <c r="AA10" s="885"/>
      <c r="AB10" s="885"/>
      <c r="AC10" s="885"/>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5"/>
      <c r="T11" s="885"/>
      <c r="U11" s="885"/>
      <c r="V11" s="885"/>
      <c r="W11" s="885"/>
      <c r="X11" s="885"/>
      <c r="Y11" s="885"/>
      <c r="Z11" s="885"/>
      <c r="AA11" s="885"/>
      <c r="AB11" s="885"/>
      <c r="AC11" s="885"/>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2786</v>
      </c>
      <c r="B13" s="2656"/>
      <c r="C13" s="2656"/>
      <c r="D13" s="2654"/>
      <c r="E13" s="2656"/>
      <c r="F13" s="2656"/>
      <c r="G13" s="2656"/>
    </row>
    <row r="14" spans="1:29" ht="15" thickBot="1">
      <c r="A14" s="2666"/>
      <c r="B14" s="2666"/>
      <c r="C14" s="2667" t="s">
        <v>2769</v>
      </c>
      <c r="D14" s="2637"/>
      <c r="E14" s="2668"/>
      <c r="F14" s="2668"/>
      <c r="G14" s="2632" t="s">
        <v>2770</v>
      </c>
    </row>
    <row r="15" spans="1:29" ht="51">
      <c r="A15" s="2616" t="s">
        <v>2771</v>
      </c>
      <c r="B15" s="2669" t="s">
        <v>2751</v>
      </c>
      <c r="C15" s="2670" t="str">
        <f>C3</f>
        <v>估价对象周边居住用地比例、居住小区规模和社区发展完善程度，综合评价居住社区成熟度一般</v>
      </c>
      <c r="D15" s="2637"/>
      <c r="E15" s="2617" t="s">
        <v>2772</v>
      </c>
      <c r="F15" s="2669" t="s">
        <v>2773</v>
      </c>
      <c r="G15" s="2671" t="str">
        <f>G3</f>
        <v>估价对象位于XX开发区，园区建设成熟度XX，产业集聚程度XX</v>
      </c>
    </row>
    <row r="16" spans="1:29" ht="38.25">
      <c r="A16" s="2618"/>
      <c r="B16" s="2672" t="s">
        <v>2753</v>
      </c>
      <c r="C16" s="2673" t="str">
        <f>C4</f>
        <v>估价对象位于XX商圈，周边商业氛围成熟，人流量大，商业繁华度好</v>
      </c>
      <c r="D16" s="2637"/>
      <c r="E16" s="2619"/>
      <c r="F16" s="2674" t="s">
        <v>2755</v>
      </c>
      <c r="G16" s="2675" t="str">
        <f>G4</f>
        <v>估价对象周边道路状况、公共交通通达情况、停车便捷程度，综合评价交通便捷度较好</v>
      </c>
    </row>
    <row r="17" spans="1:18" ht="38.25">
      <c r="A17" s="2618"/>
      <c r="B17" s="2672" t="s">
        <v>2757</v>
      </c>
      <c r="C17" s="2673" t="str">
        <f>C5</f>
        <v>估价对象位于XX商圈，周边办公楼项目较多，入驻率高，办公集聚程度较好</v>
      </c>
      <c r="D17" s="2643"/>
      <c r="E17" s="2619"/>
      <c r="F17" s="2674" t="s">
        <v>2774</v>
      </c>
      <c r="G17" s="2676"/>
    </row>
    <row r="18" spans="1:18" ht="38.25">
      <c r="A18" s="2618"/>
      <c r="B18" s="2674" t="s">
        <v>2761</v>
      </c>
      <c r="C18" s="2675" t="str">
        <f>C6</f>
        <v>估价对象周边道路状况、公共交通通达情况、停车便捷程度，综合评价交通便捷度较好</v>
      </c>
      <c r="D18" s="2643"/>
      <c r="E18" s="2619"/>
      <c r="F18" s="2674" t="s">
        <v>2764</v>
      </c>
      <c r="G18" s="2675" t="str">
        <f>G7</f>
        <v>该园区内是否有污染型企业，绿化情况，卫生条件，整体环境状况判断</v>
      </c>
    </row>
    <row r="19" spans="1:18" ht="25.5">
      <c r="A19" s="2618"/>
      <c r="B19" s="2674" t="s">
        <v>2775</v>
      </c>
      <c r="C19" s="2676"/>
      <c r="D19" s="2637"/>
      <c r="E19" s="2619"/>
      <c r="F19" s="328" t="s">
        <v>2759</v>
      </c>
      <c r="G19" s="2675" t="str">
        <f>G5</f>
        <v>估价对象所在区域公共配套设施齐备情况</v>
      </c>
    </row>
    <row r="20" spans="1:18" ht="25.5">
      <c r="A20" s="2618"/>
      <c r="B20" s="2674" t="s">
        <v>2776</v>
      </c>
      <c r="C20" s="2673" t="str">
        <f>C9</f>
        <v>区域自然环境：；人文环境；综合评价环境状况一般</v>
      </c>
      <c r="D20" s="2643"/>
      <c r="E20" s="2619"/>
      <c r="F20" s="328" t="s">
        <v>2762</v>
      </c>
      <c r="G20" s="2675" t="str">
        <f>G6</f>
        <v>估价对象所在区域基础设施水平</v>
      </c>
    </row>
    <row r="21" spans="1:18" ht="25.5">
      <c r="A21" s="2618"/>
      <c r="B21" s="328" t="s">
        <v>2759</v>
      </c>
      <c r="C21" s="2675" t="str">
        <f>C7</f>
        <v>估价对象所在区域公共配套设施齐备情况</v>
      </c>
      <c r="D21" s="2637"/>
      <c r="E21" s="2619"/>
      <c r="F21" s="2674" t="s">
        <v>2777</v>
      </c>
      <c r="G21" s="2677"/>
    </row>
    <row r="22" spans="1:18" ht="13.5" customHeight="1">
      <c r="A22" s="2618"/>
      <c r="B22" s="328" t="s">
        <v>2762</v>
      </c>
      <c r="C22" s="2675" t="str">
        <f>C8</f>
        <v>估价对象所在区域基础设施水平</v>
      </c>
      <c r="D22" s="2637"/>
      <c r="E22" s="2619"/>
      <c r="F22" s="2674" t="s">
        <v>2768</v>
      </c>
      <c r="G22" s="2676"/>
    </row>
    <row r="23" spans="1:18" s="885" customFormat="1" ht="15" thickBot="1">
      <c r="A23" s="2618"/>
      <c r="B23" s="2674" t="s">
        <v>2777</v>
      </c>
      <c r="C23" s="2677"/>
      <c r="D23" s="1874"/>
      <c r="E23" s="2620"/>
      <c r="F23" s="2678" t="s">
        <v>2778</v>
      </c>
      <c r="G23" s="2679"/>
      <c r="H23" s="2663"/>
      <c r="I23" s="2664"/>
      <c r="J23" s="2663"/>
      <c r="K23" s="2663"/>
      <c r="L23" s="2664"/>
      <c r="M23" s="2663"/>
      <c r="N23" s="2663"/>
      <c r="O23" s="2664"/>
      <c r="P23" s="2663"/>
      <c r="Q23" s="2663"/>
      <c r="R23" s="2665"/>
    </row>
    <row r="24" spans="1:18" s="885" customFormat="1" ht="15" thickBot="1">
      <c r="A24" s="2621"/>
      <c r="B24" s="2678" t="s">
        <v>2779</v>
      </c>
      <c r="C24" s="2680">
        <f>C10</f>
        <v>0</v>
      </c>
      <c r="D24" s="1874"/>
      <c r="E24" s="2611"/>
      <c r="F24" s="2611"/>
      <c r="G24" s="2681"/>
      <c r="H24" s="2663"/>
      <c r="I24" s="2664"/>
      <c r="J24" s="2663"/>
      <c r="K24" s="2663"/>
      <c r="L24" s="2664"/>
      <c r="M24" s="2663"/>
      <c r="N24" s="2663"/>
      <c r="O24" s="2664"/>
      <c r="P24" s="2663"/>
      <c r="Q24" s="2663"/>
      <c r="R24" s="2665"/>
    </row>
    <row r="25" spans="1:18" s="885" customFormat="1">
      <c r="B25" s="2663"/>
      <c r="C25" s="2663"/>
      <c r="D25" s="2663"/>
      <c r="H25" s="2663"/>
      <c r="I25" s="2664"/>
      <c r="J25" s="2663"/>
      <c r="K25" s="2663"/>
      <c r="L25" s="2664"/>
      <c r="M25" s="2663"/>
      <c r="N25" s="2663"/>
      <c r="O25" s="2664"/>
      <c r="P25" s="2663"/>
      <c r="Q25" s="2663"/>
      <c r="R25" s="2665"/>
    </row>
    <row r="26" spans="1:18" s="885" customFormat="1">
      <c r="B26" s="2663"/>
      <c r="C26" s="2663"/>
      <c r="D26" s="2663"/>
      <c r="H26" s="2663"/>
      <c r="I26" s="2664"/>
      <c r="J26" s="2663"/>
      <c r="K26" s="2663"/>
      <c r="L26" s="2664"/>
      <c r="M26" s="2663"/>
      <c r="N26" s="2663"/>
      <c r="O26" s="2664"/>
      <c r="P26" s="2663"/>
      <c r="Q26" s="2663"/>
      <c r="R26" s="2665"/>
    </row>
    <row r="27" spans="1:18" s="885" customFormat="1">
      <c r="B27" s="2663"/>
      <c r="C27" s="2663"/>
      <c r="D27" s="2663"/>
      <c r="H27" s="2663"/>
      <c r="I27" s="2664"/>
      <c r="J27" s="2663"/>
      <c r="K27" s="2663"/>
      <c r="L27" s="2664"/>
      <c r="M27" s="2663"/>
      <c r="N27" s="2663"/>
      <c r="O27" s="2664"/>
      <c r="P27" s="2663"/>
      <c r="Q27" s="2663"/>
      <c r="R27" s="2665"/>
    </row>
    <row r="28" spans="1:18" s="885" customFormat="1">
      <c r="B28" s="2663"/>
      <c r="C28" s="2663"/>
      <c r="D28" s="2663"/>
      <c r="H28" s="2663"/>
      <c r="I28" s="2664"/>
      <c r="J28" s="2663"/>
      <c r="K28" s="2663"/>
      <c r="L28" s="2664"/>
      <c r="M28" s="2663"/>
      <c r="N28" s="2663"/>
      <c r="O28" s="2664"/>
      <c r="P28" s="2663"/>
      <c r="Q28" s="2663"/>
      <c r="R28" s="2665"/>
    </row>
    <row r="29" spans="1:18" s="885" customFormat="1">
      <c r="B29" s="2663"/>
      <c r="C29" s="2663"/>
      <c r="D29" s="2663"/>
      <c r="H29" s="2663"/>
      <c r="I29" s="2664"/>
      <c r="J29" s="2663"/>
      <c r="K29" s="2663"/>
      <c r="L29" s="2664"/>
      <c r="M29" s="2663"/>
      <c r="N29" s="2663"/>
      <c r="O29" s="2664"/>
      <c r="P29" s="2663"/>
      <c r="Q29" s="2663"/>
      <c r="R29" s="2665"/>
    </row>
    <row r="30" spans="1:18" s="885" customFormat="1">
      <c r="B30" s="2663"/>
      <c r="C30" s="2663"/>
      <c r="D30" s="2663"/>
      <c r="H30" s="2663"/>
      <c r="I30" s="2664"/>
      <c r="J30" s="2663"/>
      <c r="K30" s="2663"/>
      <c r="L30" s="2664"/>
      <c r="M30" s="2663"/>
      <c r="N30" s="2663"/>
      <c r="O30" s="2664"/>
      <c r="P30" s="2663"/>
      <c r="Q30" s="2663"/>
      <c r="R30" s="2665"/>
    </row>
    <row r="31" spans="1:18" s="885" customFormat="1">
      <c r="B31" s="2663"/>
      <c r="C31" s="2663"/>
      <c r="D31" s="2663"/>
      <c r="H31" s="2663"/>
      <c r="I31" s="2664"/>
      <c r="J31" s="2663"/>
      <c r="K31" s="2663"/>
      <c r="L31" s="2664"/>
      <c r="M31" s="2663"/>
      <c r="N31" s="2663"/>
      <c r="O31" s="2664"/>
      <c r="P31" s="2663"/>
      <c r="Q31" s="2663"/>
      <c r="R31" s="2665"/>
    </row>
    <row r="32" spans="1:18" s="885" customFormat="1">
      <c r="B32" s="2663"/>
      <c r="C32" s="2663"/>
      <c r="D32" s="2663"/>
      <c r="H32" s="2663"/>
      <c r="I32" s="2664"/>
      <c r="J32" s="2663"/>
      <c r="K32" s="2663"/>
      <c r="L32" s="2664"/>
      <c r="M32" s="2663"/>
      <c r="N32" s="2663"/>
      <c r="O32" s="2664"/>
      <c r="P32" s="2663"/>
      <c r="Q32" s="2663"/>
      <c r="R32" s="2665"/>
    </row>
    <row r="33" spans="2:18" s="885" customFormat="1">
      <c r="B33" s="2663"/>
      <c r="C33" s="2663"/>
      <c r="D33" s="2663"/>
      <c r="H33" s="2663"/>
      <c r="I33" s="2664"/>
      <c r="J33" s="2663"/>
      <c r="K33" s="2663"/>
      <c r="L33" s="2664"/>
      <c r="M33" s="2663"/>
      <c r="N33" s="2663"/>
      <c r="O33" s="2664"/>
      <c r="P33" s="2663"/>
      <c r="Q33" s="2663"/>
      <c r="R33" s="2665"/>
    </row>
    <row r="34" spans="2:18" s="885" customFormat="1">
      <c r="B34" s="2663"/>
      <c r="C34" s="2663"/>
      <c r="D34" s="2663"/>
      <c r="H34" s="2663"/>
      <c r="I34" s="2664"/>
      <c r="J34" s="2663"/>
      <c r="K34" s="2663"/>
      <c r="L34" s="2664"/>
      <c r="M34" s="2663"/>
      <c r="N34" s="2663"/>
      <c r="O34" s="2664"/>
      <c r="P34" s="2663"/>
      <c r="Q34" s="2663"/>
      <c r="R34" s="2665"/>
    </row>
    <row r="35" spans="2:18" s="885" customFormat="1">
      <c r="B35" s="2663"/>
      <c r="C35" s="2663"/>
      <c r="D35" s="2663"/>
      <c r="H35" s="2663"/>
      <c r="I35" s="2664"/>
      <c r="J35" s="2663"/>
      <c r="K35" s="2663"/>
      <c r="L35" s="2664"/>
      <c r="M35" s="2663"/>
      <c r="N35" s="2663"/>
      <c r="O35" s="2664"/>
      <c r="P35" s="2663"/>
      <c r="Q35" s="2663"/>
      <c r="R35" s="2665"/>
    </row>
    <row r="36" spans="2:18" s="885" customFormat="1">
      <c r="B36" s="2663"/>
      <c r="C36" s="2663"/>
      <c r="D36" s="2663"/>
      <c r="H36" s="2663"/>
      <c r="I36" s="2664"/>
      <c r="J36" s="2663"/>
      <c r="K36" s="2663"/>
      <c r="L36" s="2664"/>
      <c r="M36" s="2663"/>
      <c r="N36" s="2663"/>
      <c r="O36" s="2664"/>
      <c r="P36" s="2663"/>
      <c r="Q36" s="2663"/>
      <c r="R36" s="2665"/>
    </row>
    <row r="37" spans="2:18" s="885" customFormat="1">
      <c r="B37" s="2663"/>
      <c r="C37" s="2663"/>
      <c r="D37" s="2663"/>
      <c r="H37" s="2663"/>
      <c r="I37" s="2664"/>
      <c r="J37" s="2663"/>
      <c r="K37" s="2663"/>
      <c r="L37" s="2664"/>
      <c r="M37" s="2663"/>
      <c r="N37" s="2663"/>
      <c r="O37" s="2664"/>
      <c r="P37" s="2663"/>
      <c r="Q37" s="2663"/>
      <c r="R37" s="2665"/>
    </row>
    <row r="38" spans="2:18" s="885" customFormat="1">
      <c r="B38" s="2663"/>
      <c r="C38" s="2663"/>
      <c r="D38" s="2663"/>
      <c r="E38" s="2663"/>
      <c r="F38" s="2663"/>
      <c r="G38" s="2664"/>
      <c r="H38" s="2663"/>
      <c r="I38" s="2664"/>
      <c r="J38" s="2663"/>
      <c r="K38" s="2663"/>
      <c r="L38" s="2664"/>
      <c r="M38" s="2663"/>
      <c r="N38" s="2663"/>
      <c r="O38" s="2664"/>
      <c r="P38" s="2663"/>
      <c r="Q38" s="2663"/>
      <c r="R38" s="2665"/>
    </row>
    <row r="39" spans="2:18" s="885" customFormat="1">
      <c r="B39" s="2663"/>
      <c r="C39" s="2663"/>
      <c r="D39" s="2663"/>
      <c r="E39" s="2663"/>
      <c r="F39" s="2663"/>
      <c r="G39" s="2664"/>
      <c r="H39" s="2663"/>
      <c r="I39" s="2664"/>
      <c r="J39" s="2663"/>
      <c r="K39" s="2663"/>
      <c r="L39" s="2664"/>
      <c r="M39" s="2663"/>
      <c r="N39" s="2663"/>
      <c r="O39" s="2664"/>
      <c r="P39" s="2663"/>
      <c r="Q39" s="2663"/>
      <c r="R39" s="2665"/>
    </row>
    <row r="40" spans="2:18" s="885" customFormat="1">
      <c r="B40" s="2663"/>
      <c r="C40" s="2663"/>
      <c r="D40" s="2663"/>
      <c r="E40" s="2663"/>
      <c r="F40" s="2663"/>
      <c r="G40" s="2664"/>
      <c r="H40" s="2663"/>
      <c r="I40" s="2664"/>
      <c r="J40" s="2663"/>
      <c r="K40" s="2663"/>
      <c r="L40" s="2664"/>
      <c r="M40" s="2663"/>
      <c r="N40" s="2663"/>
      <c r="O40" s="2664"/>
      <c r="P40" s="2663"/>
      <c r="Q40" s="2663"/>
      <c r="R40" s="2665"/>
    </row>
    <row r="41" spans="2:18" s="885" customFormat="1">
      <c r="B41" s="2663"/>
      <c r="C41" s="2663"/>
      <c r="D41" s="2663"/>
      <c r="E41" s="2663"/>
      <c r="F41" s="2663"/>
      <c r="G41" s="2664"/>
      <c r="H41" s="2663"/>
      <c r="I41" s="2664"/>
      <c r="J41" s="2663"/>
      <c r="K41" s="2663"/>
      <c r="L41" s="2664"/>
      <c r="M41" s="2663"/>
      <c r="N41" s="2663"/>
      <c r="O41" s="2664"/>
      <c r="P41" s="2663"/>
      <c r="Q41" s="2663"/>
      <c r="R41" s="2665"/>
    </row>
    <row r="42" spans="2:18" s="885" customFormat="1">
      <c r="B42" s="2663"/>
      <c r="C42" s="2663"/>
      <c r="D42" s="2663"/>
      <c r="E42" s="2663"/>
      <c r="F42" s="2663"/>
      <c r="G42" s="2664"/>
      <c r="H42" s="2663"/>
      <c r="I42" s="2664"/>
      <c r="J42" s="2663"/>
      <c r="K42" s="2663"/>
      <c r="L42" s="2664"/>
      <c r="M42" s="2663"/>
      <c r="N42" s="2663"/>
      <c r="O42" s="2664"/>
      <c r="P42" s="2663"/>
      <c r="Q42" s="2663"/>
      <c r="R42" s="2665"/>
    </row>
    <row r="43" spans="2:18" s="885" customFormat="1">
      <c r="B43" s="2663"/>
      <c r="C43" s="2663"/>
      <c r="D43" s="2663"/>
      <c r="E43" s="2663"/>
      <c r="F43" s="2663"/>
      <c r="G43" s="2664"/>
      <c r="H43" s="2663"/>
      <c r="I43" s="2664"/>
      <c r="J43" s="2663"/>
      <c r="K43" s="2663"/>
      <c r="L43" s="2664"/>
      <c r="M43" s="2663"/>
      <c r="N43" s="2663"/>
      <c r="O43" s="2664"/>
      <c r="P43" s="2663"/>
      <c r="Q43" s="2663"/>
      <c r="R43" s="2665"/>
    </row>
    <row r="44" spans="2:18" s="885" customFormat="1">
      <c r="B44" s="2663"/>
      <c r="C44" s="2663"/>
      <c r="D44" s="2663"/>
      <c r="E44" s="2663"/>
      <c r="F44" s="2663"/>
      <c r="G44" s="2664"/>
      <c r="H44" s="2663"/>
      <c r="I44" s="2664"/>
      <c r="J44" s="2663"/>
      <c r="K44" s="2663"/>
      <c r="L44" s="2664"/>
      <c r="M44" s="2663"/>
      <c r="N44" s="2663"/>
      <c r="O44" s="2664"/>
      <c r="P44" s="2663"/>
      <c r="Q44" s="2663"/>
      <c r="R44" s="2665"/>
    </row>
    <row r="45" spans="2:18" s="885" customFormat="1">
      <c r="B45" s="2663"/>
      <c r="C45" s="2663"/>
      <c r="D45" s="2663"/>
      <c r="E45" s="2663"/>
      <c r="F45" s="2663"/>
      <c r="G45" s="2664"/>
      <c r="H45" s="2663"/>
      <c r="I45" s="2664"/>
      <c r="J45" s="2663"/>
      <c r="K45" s="2663"/>
      <c r="L45" s="2664"/>
      <c r="M45" s="2663"/>
      <c r="N45" s="2663"/>
      <c r="O45" s="2664"/>
      <c r="P45" s="2663"/>
      <c r="Q45" s="2663"/>
      <c r="R45" s="2665"/>
    </row>
    <row r="46" spans="2:18" s="885" customFormat="1">
      <c r="B46" s="2663"/>
      <c r="C46" s="2663"/>
      <c r="D46" s="2663"/>
      <c r="E46" s="2663"/>
      <c r="F46" s="2663"/>
      <c r="G46" s="2664"/>
      <c r="H46" s="2663"/>
      <c r="I46" s="2664"/>
      <c r="J46" s="2663"/>
      <c r="K46" s="2663"/>
      <c r="L46" s="2664"/>
      <c r="M46" s="2663"/>
      <c r="N46" s="2663"/>
      <c r="O46" s="2664"/>
      <c r="P46" s="2663"/>
      <c r="Q46" s="2663"/>
      <c r="R46" s="2665"/>
    </row>
    <row r="47" spans="2:18" s="885" customFormat="1">
      <c r="B47" s="2663"/>
      <c r="C47" s="2663"/>
      <c r="D47" s="2663"/>
      <c r="E47" s="2663"/>
      <c r="F47" s="2663"/>
      <c r="G47" s="2664"/>
      <c r="H47" s="2663"/>
      <c r="I47" s="2664"/>
      <c r="J47" s="2663"/>
      <c r="K47" s="2663"/>
      <c r="L47" s="2664"/>
      <c r="M47" s="2663"/>
      <c r="N47" s="2663"/>
      <c r="O47" s="2664"/>
      <c r="P47" s="2663"/>
      <c r="Q47" s="2663"/>
      <c r="R47" s="2665"/>
    </row>
    <row r="48" spans="2:18" s="885" customFormat="1">
      <c r="B48" s="2663"/>
      <c r="C48" s="2663"/>
      <c r="D48" s="2663"/>
      <c r="E48" s="2663"/>
      <c r="F48" s="2663"/>
      <c r="G48" s="2664"/>
      <c r="H48" s="2663"/>
      <c r="I48" s="2664"/>
      <c r="J48" s="2663"/>
      <c r="K48" s="2663"/>
      <c r="L48" s="2664"/>
      <c r="M48" s="2663"/>
      <c r="N48" s="2663"/>
      <c r="O48" s="2664"/>
      <c r="P48" s="2663"/>
      <c r="Q48" s="2663"/>
      <c r="R48" s="2665"/>
    </row>
    <row r="49" spans="2:18" s="885" customFormat="1">
      <c r="B49" s="2663"/>
      <c r="C49" s="2663"/>
      <c r="D49" s="2663"/>
      <c r="E49" s="2663"/>
      <c r="F49" s="2663"/>
      <c r="G49" s="2664"/>
      <c r="H49" s="2663"/>
      <c r="I49" s="2664"/>
      <c r="J49" s="2663"/>
      <c r="K49" s="2663"/>
      <c r="L49" s="2664"/>
      <c r="M49" s="2663"/>
      <c r="N49" s="2663"/>
      <c r="O49" s="2664"/>
      <c r="P49" s="2663"/>
      <c r="Q49" s="2663"/>
      <c r="R49" s="2665"/>
    </row>
    <row r="50" spans="2:18" s="885" customFormat="1">
      <c r="B50" s="2663"/>
      <c r="C50" s="2663"/>
      <c r="D50" s="2663"/>
      <c r="E50" s="2663"/>
      <c r="F50" s="2663"/>
      <c r="G50" s="2664"/>
      <c r="H50" s="2663"/>
      <c r="I50" s="2664"/>
      <c r="J50" s="2663"/>
      <c r="K50" s="2663"/>
      <c r="L50" s="2664"/>
      <c r="M50" s="2663"/>
      <c r="N50" s="2663"/>
      <c r="O50" s="2664"/>
      <c r="P50" s="2663"/>
      <c r="Q50" s="2663"/>
      <c r="R50" s="2665"/>
    </row>
    <row r="51" spans="2:18" s="885" customFormat="1">
      <c r="B51" s="2663"/>
      <c r="C51" s="2663"/>
      <c r="D51" s="2663"/>
      <c r="E51" s="2663"/>
      <c r="F51" s="2663"/>
      <c r="G51" s="2664"/>
      <c r="H51" s="2663"/>
      <c r="I51" s="2664"/>
      <c r="J51" s="2663"/>
      <c r="K51" s="2663"/>
      <c r="L51" s="2664"/>
      <c r="M51" s="2663"/>
      <c r="N51" s="2663"/>
      <c r="O51" s="2664"/>
      <c r="P51" s="2663"/>
      <c r="Q51" s="2663"/>
      <c r="R51" s="2665"/>
    </row>
    <row r="52" spans="2:18" s="885" customFormat="1">
      <c r="B52" s="2663"/>
      <c r="C52" s="2663"/>
      <c r="D52" s="2663"/>
      <c r="E52" s="2663"/>
      <c r="F52" s="2663"/>
      <c r="G52" s="2664"/>
      <c r="H52" s="2663"/>
      <c r="I52" s="2664"/>
      <c r="J52" s="2663"/>
      <c r="K52" s="2663"/>
      <c r="L52" s="2664"/>
      <c r="M52" s="2663"/>
      <c r="N52" s="2663"/>
      <c r="O52" s="2664"/>
      <c r="P52" s="2663"/>
      <c r="Q52" s="2663"/>
      <c r="R52" s="2665"/>
    </row>
    <row r="53" spans="2:18" s="885" customFormat="1">
      <c r="B53" s="2663"/>
      <c r="C53" s="2663"/>
      <c r="D53" s="2663"/>
      <c r="E53" s="2663"/>
      <c r="F53" s="2663"/>
      <c r="G53" s="2664"/>
      <c r="H53" s="2663"/>
      <c r="I53" s="2664"/>
      <c r="J53" s="2663"/>
      <c r="K53" s="2663"/>
      <c r="L53" s="2664"/>
      <c r="M53" s="2663"/>
      <c r="N53" s="2663"/>
      <c r="O53" s="2664"/>
      <c r="P53" s="2663"/>
      <c r="Q53" s="2663"/>
      <c r="R53" s="2665"/>
    </row>
    <row r="54" spans="2:18" s="885" customFormat="1">
      <c r="B54" s="2663"/>
      <c r="C54" s="2663"/>
      <c r="D54" s="2663"/>
      <c r="E54" s="2663"/>
      <c r="F54" s="2663"/>
      <c r="G54" s="2664"/>
      <c r="H54" s="2663"/>
      <c r="I54" s="2664"/>
      <c r="J54" s="2663"/>
      <c r="K54" s="2663"/>
      <c r="L54" s="2664"/>
      <c r="M54" s="2663"/>
      <c r="N54" s="2663"/>
      <c r="O54" s="2664"/>
      <c r="P54" s="2663"/>
      <c r="Q54" s="2663"/>
      <c r="R54" s="2665"/>
    </row>
    <row r="55" spans="2:18" s="885" customFormat="1">
      <c r="B55" s="2663"/>
      <c r="C55" s="2663"/>
      <c r="D55" s="2663"/>
      <c r="E55" s="2663"/>
      <c r="F55" s="2663"/>
      <c r="G55" s="2664"/>
      <c r="H55" s="2663"/>
      <c r="I55" s="2664"/>
      <c r="J55" s="2663"/>
      <c r="K55" s="2663"/>
      <c r="L55" s="2664"/>
      <c r="M55" s="2663"/>
      <c r="N55" s="2663"/>
      <c r="O55" s="2664"/>
      <c r="P55" s="2663"/>
      <c r="Q55" s="2663"/>
      <c r="R55" s="2665"/>
    </row>
    <row r="56" spans="2:18" s="885" customFormat="1">
      <c r="B56" s="2663"/>
      <c r="C56" s="2663"/>
      <c r="D56" s="2663"/>
      <c r="E56" s="2663"/>
      <c r="F56" s="2663"/>
      <c r="G56" s="2664"/>
      <c r="H56" s="2663"/>
      <c r="I56" s="2664"/>
      <c r="J56" s="2663"/>
      <c r="K56" s="2663"/>
      <c r="L56" s="2664"/>
      <c r="M56" s="2663"/>
      <c r="N56" s="2663"/>
      <c r="O56" s="2664"/>
      <c r="P56" s="2663"/>
      <c r="Q56" s="2663"/>
      <c r="R56" s="2665"/>
    </row>
    <row r="57" spans="2:18" s="885" customFormat="1">
      <c r="B57" s="2663"/>
      <c r="C57" s="2663"/>
      <c r="D57" s="2663"/>
      <c r="E57" s="2663"/>
      <c r="F57" s="2663"/>
      <c r="G57" s="2664"/>
      <c r="H57" s="2663"/>
      <c r="I57" s="2664"/>
      <c r="J57" s="2663"/>
      <c r="K57" s="2663"/>
      <c r="L57" s="2664"/>
      <c r="M57" s="2663"/>
      <c r="N57" s="2663"/>
      <c r="O57" s="2664"/>
      <c r="P57" s="2663"/>
      <c r="Q57" s="2663"/>
      <c r="R57" s="2665"/>
    </row>
    <row r="58" spans="2:18" s="885" customFormat="1">
      <c r="B58" s="2663"/>
      <c r="C58" s="2663"/>
      <c r="D58" s="2663"/>
      <c r="E58" s="2663"/>
      <c r="F58" s="2663"/>
      <c r="G58" s="2664"/>
      <c r="H58" s="2663"/>
      <c r="I58" s="2664"/>
      <c r="J58" s="2663"/>
      <c r="K58" s="2663"/>
      <c r="L58" s="2664"/>
      <c r="M58" s="2663"/>
      <c r="N58" s="2663"/>
      <c r="O58" s="2664"/>
      <c r="P58" s="2663"/>
      <c r="Q58" s="2663"/>
      <c r="R58" s="2665"/>
    </row>
    <row r="59" spans="2:18" s="885" customFormat="1">
      <c r="B59" s="2663"/>
      <c r="C59" s="2663"/>
      <c r="D59" s="2663"/>
      <c r="E59" s="2663"/>
      <c r="F59" s="2663"/>
      <c r="G59" s="2664"/>
      <c r="H59" s="2663"/>
      <c r="I59" s="2664"/>
      <c r="J59" s="2663"/>
      <c r="K59" s="2663"/>
      <c r="L59" s="2664"/>
      <c r="M59" s="2663"/>
      <c r="N59" s="2663"/>
      <c r="O59" s="2664"/>
      <c r="P59" s="2663"/>
      <c r="Q59" s="2663"/>
      <c r="R59" s="2665"/>
    </row>
    <row r="60" spans="2:18" s="885" customFormat="1">
      <c r="B60" s="2663"/>
      <c r="C60" s="2663"/>
      <c r="D60" s="2663"/>
      <c r="E60" s="2663"/>
      <c r="F60" s="2663"/>
      <c r="G60" s="2664"/>
      <c r="H60" s="2663"/>
      <c r="I60" s="2664"/>
      <c r="J60" s="2663"/>
      <c r="K60" s="2663"/>
      <c r="L60" s="2664"/>
      <c r="M60" s="2663"/>
      <c r="N60" s="2663"/>
      <c r="O60" s="2664"/>
      <c r="P60" s="2663"/>
      <c r="Q60" s="2663"/>
      <c r="R60" s="2665"/>
    </row>
    <row r="61" spans="2:18" s="885" customFormat="1">
      <c r="B61" s="2663"/>
      <c r="C61" s="2663"/>
      <c r="D61" s="2663"/>
      <c r="E61" s="2663"/>
      <c r="F61" s="2663"/>
      <c r="G61" s="2664"/>
      <c r="H61" s="2663"/>
      <c r="I61" s="2664"/>
      <c r="J61" s="2663"/>
      <c r="K61" s="2663"/>
      <c r="L61" s="2664"/>
      <c r="M61" s="2663"/>
      <c r="N61" s="2663"/>
      <c r="O61" s="2664"/>
      <c r="P61" s="2663"/>
      <c r="Q61" s="2663"/>
      <c r="R61" s="2665"/>
    </row>
    <row r="62" spans="2:18" s="885" customFormat="1">
      <c r="B62" s="2663"/>
      <c r="C62" s="2663"/>
      <c r="D62" s="2663"/>
      <c r="E62" s="2663"/>
      <c r="F62" s="2663"/>
      <c r="G62" s="2664"/>
      <c r="H62" s="2663"/>
      <c r="I62" s="2664"/>
      <c r="J62" s="2663"/>
      <c r="K62" s="2663"/>
      <c r="L62" s="2664"/>
      <c r="M62" s="2663"/>
      <c r="N62" s="2663"/>
      <c r="O62" s="2664"/>
      <c r="P62" s="2663"/>
      <c r="Q62" s="2663"/>
      <c r="R62" s="2665"/>
    </row>
    <row r="63" spans="2:18" s="885" customFormat="1">
      <c r="B63" s="2663"/>
      <c r="C63" s="2663"/>
      <c r="D63" s="2663"/>
      <c r="E63" s="2663"/>
      <c r="F63" s="2663"/>
      <c r="G63" s="2664"/>
      <c r="H63" s="2663"/>
      <c r="I63" s="2664"/>
      <c r="J63" s="2663"/>
      <c r="K63" s="2663"/>
      <c r="L63" s="2664"/>
      <c r="M63" s="2663"/>
      <c r="N63" s="2663"/>
      <c r="O63" s="2664"/>
      <c r="P63" s="2663"/>
      <c r="Q63" s="2663"/>
      <c r="R63" s="2665"/>
    </row>
    <row r="64" spans="2:18" s="885" customFormat="1">
      <c r="B64" s="2663"/>
      <c r="C64" s="2663"/>
      <c r="D64" s="2663"/>
      <c r="E64" s="2663"/>
      <c r="F64" s="2663"/>
      <c r="G64" s="2664"/>
      <c r="H64" s="2663"/>
      <c r="I64" s="2664"/>
      <c r="J64" s="2663"/>
      <c r="K64" s="2663"/>
      <c r="L64" s="2664"/>
      <c r="M64" s="2663"/>
      <c r="N64" s="2663"/>
      <c r="O64" s="2664"/>
      <c r="P64" s="2663"/>
      <c r="Q64" s="2663"/>
      <c r="R64" s="2665"/>
    </row>
    <row r="65" spans="2:18" s="885" customFormat="1">
      <c r="B65" s="2663"/>
      <c r="C65" s="2663"/>
      <c r="D65" s="2663"/>
      <c r="E65" s="2663"/>
      <c r="F65" s="2663"/>
      <c r="G65" s="2664"/>
      <c r="H65" s="2663"/>
      <c r="I65" s="2664"/>
      <c r="J65" s="2663"/>
      <c r="K65" s="2663"/>
      <c r="L65" s="2664"/>
      <c r="M65" s="2663"/>
      <c r="N65" s="2663"/>
      <c r="O65" s="2664"/>
      <c r="P65" s="2663"/>
      <c r="Q65" s="2663"/>
      <c r="R65" s="2665"/>
    </row>
    <row r="66" spans="2:18" s="885" customFormat="1">
      <c r="B66" s="2663"/>
      <c r="C66" s="2663"/>
      <c r="D66" s="2663"/>
      <c r="E66" s="2663"/>
      <c r="F66" s="2663"/>
      <c r="G66" s="2664"/>
      <c r="H66" s="2663"/>
      <c r="I66" s="2664"/>
      <c r="J66" s="2663"/>
      <c r="K66" s="2663"/>
      <c r="L66" s="2664"/>
      <c r="M66" s="2663"/>
      <c r="N66" s="2663"/>
      <c r="O66" s="2664"/>
      <c r="P66" s="2663"/>
      <c r="Q66" s="2663"/>
      <c r="R66" s="2665"/>
    </row>
    <row r="67" spans="2:18" s="885" customFormat="1">
      <c r="B67" s="2663"/>
      <c r="C67" s="2663"/>
      <c r="D67" s="2663"/>
      <c r="E67" s="2663"/>
      <c r="F67" s="2663"/>
      <c r="G67" s="2664"/>
      <c r="H67" s="2663"/>
      <c r="I67" s="2664"/>
      <c r="J67" s="2663"/>
      <c r="K67" s="2663"/>
      <c r="L67" s="2664"/>
      <c r="M67" s="2663"/>
      <c r="N67" s="2663"/>
      <c r="O67" s="2664"/>
      <c r="P67" s="2663"/>
      <c r="Q67" s="2663"/>
      <c r="R67" s="2665"/>
    </row>
    <row r="68" spans="2:18" s="885" customFormat="1">
      <c r="B68" s="2663"/>
      <c r="C68" s="2663"/>
      <c r="D68" s="2663"/>
      <c r="E68" s="2663"/>
      <c r="F68" s="2663"/>
      <c r="G68" s="2664"/>
      <c r="H68" s="2663"/>
      <c r="I68" s="2664"/>
      <c r="J68" s="2663"/>
      <c r="K68" s="2663"/>
      <c r="L68" s="2664"/>
      <c r="M68" s="2663"/>
      <c r="N68" s="2663"/>
      <c r="O68" s="2664"/>
      <c r="P68" s="2663"/>
      <c r="Q68" s="2663"/>
      <c r="R68" s="2665"/>
    </row>
    <row r="69" spans="2:18" s="885" customFormat="1">
      <c r="B69" s="2663"/>
      <c r="C69" s="2663"/>
      <c r="D69" s="2663"/>
      <c r="E69" s="2663"/>
      <c r="F69" s="2663"/>
      <c r="G69" s="2664"/>
      <c r="H69" s="2663"/>
      <c r="I69" s="2664"/>
      <c r="J69" s="2663"/>
      <c r="K69" s="2663"/>
      <c r="L69" s="2664"/>
      <c r="M69" s="2663"/>
      <c r="N69" s="2663"/>
      <c r="O69" s="2664"/>
      <c r="P69" s="2663"/>
      <c r="Q69" s="2663"/>
      <c r="R69" s="2665"/>
    </row>
    <row r="70" spans="2:18" s="885" customFormat="1">
      <c r="B70" s="2663"/>
      <c r="C70" s="2663"/>
      <c r="D70" s="2663"/>
      <c r="E70" s="2663"/>
      <c r="F70" s="2663"/>
      <c r="G70" s="2664"/>
      <c r="H70" s="2663"/>
      <c r="I70" s="2664"/>
      <c r="J70" s="2663"/>
      <c r="K70" s="2663"/>
      <c r="L70" s="2664"/>
      <c r="M70" s="2663"/>
      <c r="N70" s="2663"/>
      <c r="O70" s="2664"/>
      <c r="P70" s="2663"/>
      <c r="Q70" s="2663"/>
      <c r="R70" s="2665"/>
    </row>
    <row r="71" spans="2:18" s="885" customFormat="1">
      <c r="B71" s="2663"/>
      <c r="C71" s="2663"/>
      <c r="D71" s="2663"/>
      <c r="E71" s="2663"/>
      <c r="F71" s="2663"/>
      <c r="G71" s="2664"/>
      <c r="H71" s="2663"/>
      <c r="I71" s="2664"/>
      <c r="J71" s="2663"/>
      <c r="K71" s="2663"/>
      <c r="L71" s="2664"/>
      <c r="M71" s="2663"/>
      <c r="N71" s="2663"/>
      <c r="O71" s="2664"/>
      <c r="P71" s="2663"/>
      <c r="Q71" s="2663"/>
      <c r="R71" s="2665"/>
    </row>
    <row r="72" spans="2:18" s="885" customFormat="1">
      <c r="B72" s="2663"/>
      <c r="C72" s="2663"/>
      <c r="D72" s="2663"/>
      <c r="E72" s="2663"/>
      <c r="F72" s="2663"/>
      <c r="G72" s="2664"/>
      <c r="H72" s="2663"/>
      <c r="I72" s="2664"/>
      <c r="J72" s="2663"/>
      <c r="K72" s="2663"/>
      <c r="L72" s="2664"/>
      <c r="M72" s="2663"/>
      <c r="N72" s="2663"/>
      <c r="O72" s="2664"/>
      <c r="P72" s="2663"/>
      <c r="Q72" s="2663"/>
      <c r="R72" s="2665"/>
    </row>
    <row r="73" spans="2:18" s="885" customFormat="1">
      <c r="B73" s="2663"/>
      <c r="C73" s="2663"/>
      <c r="D73" s="2663"/>
      <c r="E73" s="2663"/>
      <c r="F73" s="2663"/>
      <c r="G73" s="2664"/>
      <c r="H73" s="2663"/>
      <c r="I73" s="2664"/>
      <c r="J73" s="2663"/>
      <c r="K73" s="2663"/>
      <c r="L73" s="2664"/>
      <c r="M73" s="2663"/>
      <c r="N73" s="2663"/>
      <c r="O73" s="2664"/>
      <c r="P73" s="2663"/>
      <c r="Q73" s="2663"/>
      <c r="R73" s="2665"/>
    </row>
    <row r="74" spans="2:18" s="885" customFormat="1">
      <c r="B74" s="2663"/>
      <c r="C74" s="2663"/>
      <c r="D74" s="2663"/>
      <c r="E74" s="2663"/>
      <c r="F74" s="2663"/>
      <c r="G74" s="2664"/>
      <c r="H74" s="2663"/>
      <c r="I74" s="2664"/>
      <c r="J74" s="2663"/>
      <c r="K74" s="2663"/>
      <c r="L74" s="2664"/>
      <c r="M74" s="2663"/>
      <c r="N74" s="2663"/>
      <c r="O74" s="2664"/>
      <c r="P74" s="2663"/>
      <c r="Q74" s="2663"/>
      <c r="R74" s="2665"/>
    </row>
    <row r="75" spans="2:18" s="885" customFormat="1">
      <c r="B75" s="2663"/>
      <c r="C75" s="2663"/>
      <c r="D75" s="2663"/>
      <c r="E75" s="2663"/>
      <c r="F75" s="2663"/>
      <c r="G75" s="2664"/>
      <c r="H75" s="2663"/>
      <c r="I75" s="2664"/>
      <c r="J75" s="2663"/>
      <c r="K75" s="2663"/>
      <c r="L75" s="2664"/>
      <c r="M75" s="2663"/>
      <c r="N75" s="2663"/>
      <c r="O75" s="2664"/>
      <c r="P75" s="2663"/>
      <c r="Q75" s="2663"/>
      <c r="R75" s="2665"/>
    </row>
    <row r="76" spans="2:18" s="885" customFormat="1">
      <c r="B76" s="2663"/>
      <c r="C76" s="2663"/>
      <c r="D76" s="2663"/>
      <c r="E76" s="2663"/>
      <c r="F76" s="2663"/>
      <c r="G76" s="2664"/>
      <c r="H76" s="2663"/>
      <c r="I76" s="2664"/>
      <c r="J76" s="2663"/>
      <c r="K76" s="2663"/>
      <c r="L76" s="2664"/>
      <c r="M76" s="2663"/>
      <c r="N76" s="2663"/>
      <c r="O76" s="2664"/>
      <c r="P76" s="2663"/>
      <c r="Q76" s="2663"/>
      <c r="R76" s="2665"/>
    </row>
    <row r="77" spans="2:18" s="885" customFormat="1">
      <c r="B77" s="2663"/>
      <c r="C77" s="2663"/>
      <c r="D77" s="2663"/>
      <c r="E77" s="2663"/>
      <c r="F77" s="2663"/>
      <c r="G77" s="2664"/>
      <c r="H77" s="2663"/>
      <c r="I77" s="2664"/>
      <c r="J77" s="2663"/>
      <c r="K77" s="2663"/>
      <c r="L77" s="2664"/>
      <c r="M77" s="2663"/>
      <c r="N77" s="2663"/>
      <c r="O77" s="2664"/>
      <c r="P77" s="2663"/>
      <c r="Q77" s="2663"/>
      <c r="R77" s="2665"/>
    </row>
    <row r="78" spans="2:18" s="885" customFormat="1">
      <c r="B78" s="2663"/>
      <c r="C78" s="2663"/>
      <c r="D78" s="2663"/>
      <c r="E78" s="2663"/>
      <c r="F78" s="2663"/>
      <c r="G78" s="2664"/>
      <c r="H78" s="2663"/>
      <c r="I78" s="2664"/>
      <c r="J78" s="2663"/>
      <c r="K78" s="2663"/>
      <c r="L78" s="2664"/>
      <c r="M78" s="2663"/>
      <c r="N78" s="2663"/>
      <c r="O78" s="2664"/>
      <c r="P78" s="2663"/>
      <c r="Q78" s="2663"/>
      <c r="R78" s="2665"/>
    </row>
    <row r="79" spans="2:18" s="885" customFormat="1">
      <c r="B79" s="2663"/>
      <c r="C79" s="2663"/>
      <c r="D79" s="2663"/>
      <c r="E79" s="2663"/>
      <c r="F79" s="2663"/>
      <c r="G79" s="2664"/>
      <c r="H79" s="2663"/>
      <c r="I79" s="2664"/>
      <c r="J79" s="2663"/>
      <c r="K79" s="2663"/>
      <c r="L79" s="2664"/>
      <c r="M79" s="2663"/>
      <c r="N79" s="2663"/>
      <c r="O79" s="2664"/>
      <c r="P79" s="2663"/>
      <c r="Q79" s="2663"/>
      <c r="R79" s="2665"/>
    </row>
    <row r="80" spans="2:18" s="885" customFormat="1">
      <c r="B80" s="2663"/>
      <c r="C80" s="2663"/>
      <c r="D80" s="2663"/>
      <c r="E80" s="2663"/>
      <c r="F80" s="2663"/>
      <c r="G80" s="2664"/>
      <c r="H80" s="2663"/>
      <c r="I80" s="2664"/>
      <c r="J80" s="2663"/>
      <c r="K80" s="2663"/>
      <c r="L80" s="2664"/>
      <c r="M80" s="2663"/>
      <c r="N80" s="2663"/>
      <c r="O80" s="2664"/>
      <c r="P80" s="2663"/>
      <c r="Q80" s="2663"/>
      <c r="R80" s="2665"/>
    </row>
    <row r="81" spans="2:18" s="885" customFormat="1">
      <c r="B81" s="2663"/>
      <c r="C81" s="2663"/>
      <c r="D81" s="2663"/>
      <c r="E81" s="2663"/>
      <c r="F81" s="2663"/>
      <c r="G81" s="2664"/>
      <c r="H81" s="2663"/>
      <c r="I81" s="2664"/>
      <c r="J81" s="2663"/>
      <c r="K81" s="2663"/>
      <c r="L81" s="2664"/>
      <c r="M81" s="2663"/>
      <c r="N81" s="2663"/>
      <c r="O81" s="2664"/>
      <c r="P81" s="2663"/>
      <c r="Q81" s="2663"/>
      <c r="R81" s="2665"/>
    </row>
    <row r="82" spans="2:18" s="885" customFormat="1">
      <c r="B82" s="2663"/>
      <c r="C82" s="2663"/>
      <c r="D82" s="2663"/>
      <c r="E82" s="2663"/>
      <c r="F82" s="2663"/>
      <c r="G82" s="2664"/>
      <c r="H82" s="2663"/>
      <c r="I82" s="2664"/>
      <c r="J82" s="2663"/>
      <c r="K82" s="2663"/>
      <c r="L82" s="2664"/>
      <c r="M82" s="2663"/>
      <c r="N82" s="2663"/>
      <c r="O82" s="2664"/>
      <c r="P82" s="2663"/>
      <c r="Q82" s="2663"/>
      <c r="R82" s="2665"/>
    </row>
    <row r="83" spans="2:18" s="885" customFormat="1">
      <c r="B83" s="2663"/>
      <c r="C83" s="2663"/>
      <c r="D83" s="2663"/>
      <c r="E83" s="2663"/>
      <c r="F83" s="2663"/>
      <c r="G83" s="2664"/>
      <c r="H83" s="2663"/>
      <c r="I83" s="2664"/>
      <c r="J83" s="2663"/>
      <c r="K83" s="2663"/>
      <c r="L83" s="2664"/>
      <c r="M83" s="2663"/>
      <c r="N83" s="2663"/>
      <c r="O83" s="2664"/>
      <c r="P83" s="2663"/>
      <c r="Q83" s="2663"/>
      <c r="R83" s="2665"/>
    </row>
    <row r="84" spans="2:18" s="885" customFormat="1">
      <c r="B84" s="2663"/>
      <c r="C84" s="2663"/>
      <c r="D84" s="2663"/>
      <c r="E84" s="2663"/>
      <c r="F84" s="2663"/>
      <c r="G84" s="2664"/>
      <c r="H84" s="2663"/>
      <c r="I84" s="2664"/>
      <c r="J84" s="2663"/>
      <c r="K84" s="2663"/>
      <c r="L84" s="2664"/>
      <c r="M84" s="2663"/>
      <c r="N84" s="2663"/>
      <c r="O84" s="2664"/>
      <c r="P84" s="2663"/>
      <c r="Q84" s="2663"/>
      <c r="R84" s="2665"/>
    </row>
    <row r="85" spans="2:18" s="885" customFormat="1">
      <c r="B85" s="2663"/>
      <c r="C85" s="2663"/>
      <c r="D85" s="2663"/>
      <c r="E85" s="2663"/>
      <c r="F85" s="2663"/>
      <c r="G85" s="2664"/>
      <c r="H85" s="2663"/>
      <c r="I85" s="2664"/>
      <c r="J85" s="2663"/>
      <c r="K85" s="2663"/>
      <c r="L85" s="2664"/>
      <c r="M85" s="2663"/>
      <c r="N85" s="2663"/>
      <c r="O85" s="2664"/>
      <c r="P85" s="2663"/>
      <c r="Q85" s="2663"/>
      <c r="R85" s="2665"/>
    </row>
    <row r="86" spans="2:18" s="885" customFormat="1">
      <c r="B86" s="2663"/>
      <c r="C86" s="2663"/>
      <c r="D86" s="2663"/>
      <c r="E86" s="2663"/>
      <c r="F86" s="2663"/>
      <c r="G86" s="2664"/>
      <c r="H86" s="2663"/>
      <c r="I86" s="2664"/>
      <c r="J86" s="2663"/>
      <c r="K86" s="2663"/>
      <c r="L86" s="2664"/>
      <c r="M86" s="2663"/>
      <c r="N86" s="2663"/>
      <c r="O86" s="2664"/>
      <c r="P86" s="2663"/>
      <c r="Q86" s="2663"/>
      <c r="R86" s="2665"/>
    </row>
    <row r="87" spans="2:18" s="885" customFormat="1">
      <c r="B87" s="2663"/>
      <c r="C87" s="2663"/>
      <c r="D87" s="2663"/>
      <c r="E87" s="2663"/>
      <c r="F87" s="2663"/>
      <c r="G87" s="2664"/>
      <c r="H87" s="2663"/>
      <c r="I87" s="2664"/>
      <c r="J87" s="2663"/>
      <c r="K87" s="2663"/>
      <c r="L87" s="2664"/>
      <c r="M87" s="2663"/>
      <c r="N87" s="2663"/>
      <c r="O87" s="2664"/>
      <c r="P87" s="2663"/>
      <c r="Q87" s="2663"/>
      <c r="R87" s="2665"/>
    </row>
    <row r="88" spans="2:18" s="885" customFormat="1">
      <c r="B88" s="2663"/>
      <c r="C88" s="2663"/>
      <c r="D88" s="2663"/>
      <c r="E88" s="2663"/>
      <c r="F88" s="2663"/>
      <c r="G88" s="2664"/>
      <c r="H88" s="2663"/>
      <c r="I88" s="2664"/>
      <c r="J88" s="2663"/>
      <c r="K88" s="2663"/>
      <c r="L88" s="2664"/>
      <c r="M88" s="2663"/>
      <c r="N88" s="2663"/>
      <c r="O88" s="2664"/>
      <c r="P88" s="2663"/>
      <c r="Q88" s="2663"/>
      <c r="R88" s="2665"/>
    </row>
    <row r="89" spans="2:18" s="885" customFormat="1">
      <c r="B89" s="2663"/>
      <c r="C89" s="2663"/>
      <c r="D89" s="2663"/>
      <c r="E89" s="2663"/>
      <c r="F89" s="2663"/>
      <c r="G89" s="2664"/>
      <c r="H89" s="2663"/>
      <c r="I89" s="2664"/>
      <c r="J89" s="2663"/>
      <c r="K89" s="2663"/>
      <c r="L89" s="2664"/>
      <c r="M89" s="2663"/>
      <c r="N89" s="2663"/>
      <c r="O89" s="2664"/>
      <c r="P89" s="2663"/>
      <c r="Q89" s="2663"/>
      <c r="R89" s="2665"/>
    </row>
    <row r="90" spans="2:18" s="885" customFormat="1">
      <c r="B90" s="2663"/>
      <c r="C90" s="2663"/>
      <c r="D90" s="2663"/>
      <c r="E90" s="2663"/>
      <c r="F90" s="2663"/>
      <c r="G90" s="2664"/>
      <c r="H90" s="2663"/>
      <c r="I90" s="2664"/>
      <c r="J90" s="2663"/>
      <c r="K90" s="2663"/>
      <c r="L90" s="2664"/>
      <c r="M90" s="2663"/>
      <c r="N90" s="2663"/>
      <c r="O90" s="2664"/>
      <c r="P90" s="2663"/>
      <c r="Q90" s="2663"/>
      <c r="R90" s="2665"/>
    </row>
    <row r="91" spans="2:18" s="885" customFormat="1">
      <c r="B91" s="2663"/>
      <c r="C91" s="2663"/>
      <c r="D91" s="2663"/>
      <c r="E91" s="2663"/>
      <c r="F91" s="2663"/>
      <c r="G91" s="2664"/>
      <c r="H91" s="2663"/>
      <c r="I91" s="2664"/>
      <c r="J91" s="2663"/>
      <c r="K91" s="2663"/>
      <c r="L91" s="2664"/>
      <c r="M91" s="2663"/>
      <c r="N91" s="2663"/>
      <c r="O91" s="2664"/>
      <c r="P91" s="2663"/>
      <c r="Q91" s="2663"/>
      <c r="R91" s="2665"/>
    </row>
    <row r="92" spans="2:18" s="885" customFormat="1">
      <c r="B92" s="2663"/>
      <c r="C92" s="2663"/>
      <c r="D92" s="2663"/>
      <c r="E92" s="2663"/>
      <c r="F92" s="2663"/>
      <c r="G92" s="2664"/>
      <c r="H92" s="2663"/>
      <c r="I92" s="2664"/>
      <c r="J92" s="2663"/>
      <c r="K92" s="2663"/>
      <c r="L92" s="2664"/>
      <c r="M92" s="2663"/>
      <c r="N92" s="2663"/>
      <c r="O92" s="2664"/>
      <c r="P92" s="2663"/>
      <c r="Q92" s="2663"/>
      <c r="R92" s="2665"/>
    </row>
    <row r="93" spans="2:18" s="885" customFormat="1">
      <c r="B93" s="2663"/>
      <c r="C93" s="2663"/>
      <c r="D93" s="2663"/>
      <c r="E93" s="2663"/>
      <c r="F93" s="2663"/>
      <c r="G93" s="2664"/>
      <c r="H93" s="2663"/>
      <c r="I93" s="2664"/>
      <c r="J93" s="2663"/>
      <c r="K93" s="2663"/>
      <c r="L93" s="2664"/>
      <c r="M93" s="2663"/>
      <c r="N93" s="2663"/>
      <c r="O93" s="2664"/>
      <c r="P93" s="2663"/>
      <c r="Q93" s="2663"/>
      <c r="R93" s="2665"/>
    </row>
    <row r="94" spans="2:18" s="885" customFormat="1">
      <c r="B94" s="2663"/>
      <c r="C94" s="2663"/>
      <c r="D94" s="2663"/>
      <c r="E94" s="2663"/>
      <c r="F94" s="2663"/>
      <c r="G94" s="2664"/>
      <c r="H94" s="2663"/>
      <c r="I94" s="2664"/>
      <c r="J94" s="2663"/>
      <c r="K94" s="2663"/>
      <c r="L94" s="2664"/>
      <c r="M94" s="2663"/>
      <c r="N94" s="2663"/>
      <c r="O94" s="2664"/>
      <c r="P94" s="2663"/>
      <c r="Q94" s="2663"/>
      <c r="R94" s="2665"/>
    </row>
    <row r="95" spans="2:18" s="885" customFormat="1">
      <c r="B95" s="2663"/>
      <c r="C95" s="2663"/>
      <c r="D95" s="2663"/>
      <c r="E95" s="2663"/>
      <c r="F95" s="2663"/>
      <c r="G95" s="2664"/>
      <c r="H95" s="2663"/>
      <c r="I95" s="2664"/>
      <c r="J95" s="2663"/>
      <c r="K95" s="2663"/>
      <c r="L95" s="2664"/>
      <c r="M95" s="2663"/>
      <c r="N95" s="2663"/>
      <c r="O95" s="2664"/>
      <c r="P95" s="2663"/>
      <c r="Q95" s="2663"/>
      <c r="R95" s="2665"/>
    </row>
    <row r="96" spans="2:18" s="885" customFormat="1">
      <c r="B96" s="2663"/>
      <c r="C96" s="2663"/>
      <c r="D96" s="2663"/>
      <c r="E96" s="2663"/>
      <c r="F96" s="2663"/>
      <c r="G96" s="2664"/>
      <c r="H96" s="2663"/>
      <c r="I96" s="2664"/>
      <c r="J96" s="2663"/>
      <c r="K96" s="2663"/>
      <c r="L96" s="2664"/>
      <c r="M96" s="2663"/>
      <c r="N96" s="2663"/>
      <c r="O96" s="2664"/>
      <c r="P96" s="2663"/>
      <c r="Q96" s="2663"/>
      <c r="R96" s="2665"/>
    </row>
    <row r="97" spans="2:18" s="885" customFormat="1">
      <c r="B97" s="2663"/>
      <c r="C97" s="2663"/>
      <c r="D97" s="2663"/>
      <c r="E97" s="2663"/>
      <c r="F97" s="2663"/>
      <c r="G97" s="2664"/>
      <c r="H97" s="2663"/>
      <c r="I97" s="2664"/>
      <c r="J97" s="2663"/>
      <c r="K97" s="2663"/>
      <c r="L97" s="2664"/>
      <c r="M97" s="2663"/>
      <c r="N97" s="2663"/>
      <c r="O97" s="2664"/>
      <c r="P97" s="2663"/>
      <c r="Q97" s="2663"/>
      <c r="R97" s="2665"/>
    </row>
    <row r="98" spans="2:18" s="885" customFormat="1">
      <c r="B98" s="2663"/>
      <c r="C98" s="2663"/>
      <c r="D98" s="2663"/>
      <c r="E98" s="2663"/>
      <c r="F98" s="2663"/>
      <c r="G98" s="2664"/>
      <c r="H98" s="2663"/>
      <c r="I98" s="2664"/>
      <c r="J98" s="2663"/>
      <c r="K98" s="2663"/>
      <c r="L98" s="2664"/>
      <c r="M98" s="2663"/>
      <c r="N98" s="2663"/>
      <c r="O98" s="2664"/>
      <c r="P98" s="2663"/>
      <c r="Q98" s="2663"/>
      <c r="R98" s="2665"/>
    </row>
    <row r="99" spans="2:18" s="885" customFormat="1">
      <c r="B99" s="2663"/>
      <c r="C99" s="2663"/>
      <c r="D99" s="2663"/>
      <c r="E99" s="2663"/>
      <c r="F99" s="2663"/>
      <c r="G99" s="2664"/>
      <c r="H99" s="2663"/>
      <c r="I99" s="2664"/>
      <c r="J99" s="2663"/>
      <c r="K99" s="2663"/>
      <c r="L99" s="2664"/>
      <c r="M99" s="2663"/>
      <c r="N99" s="2663"/>
      <c r="O99" s="2664"/>
      <c r="P99" s="2663"/>
      <c r="Q99" s="2663"/>
      <c r="R99" s="2665"/>
    </row>
    <row r="100" spans="2:18" s="885" customFormat="1">
      <c r="B100" s="2663"/>
      <c r="C100" s="2663"/>
      <c r="D100" s="2663"/>
      <c r="E100" s="2663"/>
      <c r="F100" s="2663"/>
      <c r="G100" s="2664"/>
      <c r="H100" s="2663"/>
      <c r="I100" s="2664"/>
      <c r="J100" s="2663"/>
      <c r="K100" s="2663"/>
      <c r="L100" s="2664"/>
      <c r="M100" s="2663"/>
      <c r="N100" s="2663"/>
      <c r="O100" s="2664"/>
      <c r="P100" s="2663"/>
      <c r="Q100" s="2663"/>
      <c r="R100" s="2665"/>
    </row>
    <row r="101" spans="2:18" s="885" customFormat="1">
      <c r="B101" s="2663"/>
      <c r="C101" s="2663"/>
      <c r="D101" s="2663"/>
      <c r="E101" s="2663"/>
      <c r="F101" s="2663"/>
      <c r="G101" s="2664"/>
      <c r="H101" s="2663"/>
      <c r="I101" s="2664"/>
      <c r="J101" s="2663"/>
      <c r="K101" s="2663"/>
      <c r="L101" s="2664"/>
      <c r="M101" s="2663"/>
      <c r="N101" s="2663"/>
      <c r="O101" s="2664"/>
      <c r="P101" s="2663"/>
      <c r="Q101" s="2663"/>
      <c r="R101" s="2665"/>
    </row>
    <row r="102" spans="2:18" s="885" customFormat="1">
      <c r="B102" s="2663"/>
      <c r="C102" s="2663"/>
      <c r="D102" s="2663"/>
      <c r="E102" s="2663"/>
      <c r="F102" s="2663"/>
      <c r="G102" s="2664"/>
      <c r="H102" s="2663"/>
      <c r="I102" s="2664"/>
      <c r="J102" s="2663"/>
      <c r="K102" s="2663"/>
      <c r="L102" s="2664"/>
      <c r="M102" s="2663"/>
      <c r="N102" s="2663"/>
      <c r="O102" s="2664"/>
      <c r="P102" s="2663"/>
      <c r="Q102" s="2663"/>
      <c r="R102" s="2665"/>
    </row>
    <row r="103" spans="2:18" s="885" customFormat="1">
      <c r="B103" s="2663"/>
      <c r="C103" s="2663"/>
      <c r="D103" s="2663"/>
      <c r="E103" s="2663"/>
      <c r="F103" s="2663"/>
      <c r="G103" s="2664"/>
      <c r="H103" s="2663"/>
      <c r="I103" s="2664"/>
      <c r="J103" s="2663"/>
      <c r="K103" s="2663"/>
      <c r="L103" s="2664"/>
      <c r="M103" s="2663"/>
      <c r="N103" s="2663"/>
      <c r="O103" s="2664"/>
      <c r="P103" s="2663"/>
      <c r="Q103" s="2663"/>
      <c r="R103" s="2665"/>
    </row>
    <row r="104" spans="2:18" s="885" customFormat="1">
      <c r="B104" s="2663"/>
      <c r="C104" s="2663"/>
      <c r="D104" s="2663"/>
      <c r="E104" s="2663"/>
      <c r="F104" s="2663"/>
      <c r="G104" s="2664"/>
      <c r="H104" s="2663"/>
      <c r="I104" s="2664"/>
      <c r="J104" s="2663"/>
      <c r="K104" s="2663"/>
      <c r="L104" s="2664"/>
      <c r="M104" s="2663"/>
      <c r="N104" s="2663"/>
      <c r="O104" s="2664"/>
      <c r="P104" s="2663"/>
      <c r="Q104" s="2663"/>
      <c r="R104" s="2665"/>
    </row>
    <row r="105" spans="2:18" s="885" customFormat="1">
      <c r="B105" s="2663"/>
      <c r="C105" s="2663"/>
      <c r="D105" s="2663"/>
      <c r="E105" s="2663"/>
      <c r="F105" s="2663"/>
      <c r="G105" s="2664"/>
      <c r="H105" s="2663"/>
      <c r="I105" s="2664"/>
      <c r="J105" s="2663"/>
      <c r="K105" s="2663"/>
      <c r="L105" s="2664"/>
      <c r="M105" s="2663"/>
      <c r="N105" s="2663"/>
      <c r="O105" s="2664"/>
      <c r="P105" s="2663"/>
      <c r="Q105" s="2663"/>
      <c r="R105" s="2665"/>
    </row>
    <row r="106" spans="2:18" s="885" customFormat="1">
      <c r="B106" s="2663"/>
      <c r="C106" s="2663"/>
      <c r="D106" s="2663"/>
      <c r="E106" s="2663"/>
      <c r="F106" s="2663"/>
      <c r="G106" s="2664"/>
      <c r="H106" s="2663"/>
      <c r="I106" s="2664"/>
      <c r="J106" s="2663"/>
      <c r="K106" s="2663"/>
      <c r="L106" s="2664"/>
      <c r="M106" s="2663"/>
      <c r="N106" s="2663"/>
      <c r="O106" s="2664"/>
      <c r="P106" s="2663"/>
      <c r="Q106" s="2663"/>
      <c r="R106" s="2665"/>
    </row>
    <row r="107" spans="2:18" s="885" customFormat="1">
      <c r="B107" s="2663"/>
      <c r="C107" s="2663"/>
      <c r="D107" s="2663"/>
      <c r="E107" s="2663"/>
      <c r="F107" s="2663"/>
      <c r="G107" s="2664"/>
      <c r="H107" s="2663"/>
      <c r="I107" s="2664"/>
      <c r="J107" s="2663"/>
      <c r="K107" s="2663"/>
      <c r="L107" s="2664"/>
      <c r="M107" s="2663"/>
      <c r="N107" s="2663"/>
      <c r="O107" s="2664"/>
      <c r="P107" s="2663"/>
      <c r="Q107" s="2663"/>
      <c r="R107" s="2665"/>
    </row>
    <row r="108" spans="2:18" s="885" customFormat="1">
      <c r="B108" s="2663"/>
      <c r="C108" s="2663"/>
      <c r="D108" s="2663"/>
      <c r="E108" s="2663"/>
      <c r="F108" s="2663"/>
      <c r="G108" s="2664"/>
      <c r="H108" s="2663"/>
      <c r="I108" s="2664"/>
      <c r="J108" s="2663"/>
      <c r="K108" s="2663"/>
      <c r="L108" s="2664"/>
      <c r="M108" s="2663"/>
      <c r="N108" s="2663"/>
      <c r="O108" s="2664"/>
      <c r="P108" s="2663"/>
      <c r="Q108" s="2663"/>
      <c r="R108" s="2665"/>
    </row>
    <row r="109" spans="2:18" s="885" customFormat="1">
      <c r="B109" s="2663"/>
      <c r="C109" s="2663"/>
      <c r="D109" s="2663"/>
      <c r="E109" s="2663"/>
      <c r="F109" s="2663"/>
      <c r="G109" s="2664"/>
      <c r="H109" s="2663"/>
      <c r="I109" s="2664"/>
      <c r="J109" s="2663"/>
      <c r="K109" s="2663"/>
      <c r="L109" s="2664"/>
      <c r="M109" s="2663"/>
      <c r="N109" s="2663"/>
      <c r="O109" s="2664"/>
      <c r="P109" s="2663"/>
      <c r="Q109" s="2663"/>
      <c r="R109" s="2665"/>
    </row>
    <row r="110" spans="2:18" s="885" customFormat="1">
      <c r="B110" s="2663"/>
      <c r="C110" s="2663"/>
      <c r="D110" s="2663"/>
      <c r="E110" s="2663"/>
      <c r="F110" s="2663"/>
      <c r="G110" s="2664"/>
      <c r="H110" s="2663"/>
      <c r="I110" s="2664"/>
      <c r="J110" s="2663"/>
      <c r="K110" s="2663"/>
      <c r="L110" s="2664"/>
      <c r="M110" s="2663"/>
      <c r="N110" s="2663"/>
      <c r="O110" s="2664"/>
      <c r="P110" s="2663"/>
      <c r="Q110" s="2663"/>
      <c r="R110" s="2665"/>
    </row>
    <row r="111" spans="2:18" s="885" customFormat="1">
      <c r="B111" s="2663"/>
      <c r="C111" s="2663"/>
      <c r="D111" s="2663"/>
      <c r="E111" s="2663"/>
      <c r="F111" s="2663"/>
      <c r="G111" s="2664"/>
      <c r="H111" s="2663"/>
      <c r="I111" s="2664"/>
      <c r="J111" s="2663"/>
      <c r="K111" s="2663"/>
      <c r="L111" s="2664"/>
      <c r="M111" s="2663"/>
      <c r="N111" s="2663"/>
      <c r="O111" s="2664"/>
      <c r="P111" s="2663"/>
      <c r="Q111" s="2663"/>
      <c r="R111" s="2665"/>
    </row>
    <row r="112" spans="2:18" s="885" customFormat="1">
      <c r="B112" s="2663"/>
      <c r="C112" s="2663"/>
      <c r="D112" s="2663"/>
      <c r="E112" s="2663"/>
      <c r="F112" s="2663"/>
      <c r="G112" s="2664"/>
      <c r="H112" s="2663"/>
      <c r="I112" s="2664"/>
      <c r="J112" s="2663"/>
      <c r="K112" s="2663"/>
      <c r="L112" s="2664"/>
      <c r="M112" s="2663"/>
      <c r="N112" s="2663"/>
      <c r="O112" s="2664"/>
      <c r="P112" s="2663"/>
      <c r="Q112" s="2663"/>
      <c r="R112" s="2665"/>
    </row>
    <row r="113" spans="2:18" s="885" customFormat="1">
      <c r="B113" s="2663"/>
      <c r="C113" s="2663"/>
      <c r="D113" s="2663"/>
      <c r="E113" s="2663"/>
      <c r="F113" s="2663"/>
      <c r="G113" s="2664"/>
      <c r="H113" s="2663"/>
      <c r="I113" s="2664"/>
      <c r="J113" s="2663"/>
      <c r="K113" s="2663"/>
      <c r="L113" s="2664"/>
      <c r="M113" s="2663"/>
      <c r="N113" s="2663"/>
      <c r="O113" s="2664"/>
      <c r="P113" s="2663"/>
      <c r="Q113" s="2663"/>
      <c r="R113" s="2665"/>
    </row>
    <row r="114" spans="2:18" s="885" customFormat="1">
      <c r="B114" s="2663"/>
      <c r="C114" s="2663"/>
      <c r="D114" s="2663"/>
      <c r="E114" s="2663"/>
      <c r="F114" s="2663"/>
      <c r="G114" s="2664"/>
      <c r="H114" s="2663"/>
      <c r="I114" s="2664"/>
      <c r="J114" s="2663"/>
      <c r="K114" s="2663"/>
      <c r="L114" s="2664"/>
      <c r="M114" s="2663"/>
      <c r="N114" s="2663"/>
      <c r="O114" s="2664"/>
      <c r="P114" s="2663"/>
      <c r="Q114" s="2663"/>
      <c r="R114" s="2665"/>
    </row>
    <row r="115" spans="2:18" s="885" customFormat="1">
      <c r="B115" s="2663"/>
      <c r="C115" s="2663"/>
      <c r="D115" s="2663"/>
      <c r="E115" s="2663"/>
      <c r="F115" s="2663"/>
      <c r="G115" s="2664"/>
      <c r="H115" s="2663"/>
      <c r="I115" s="2664"/>
      <c r="J115" s="2663"/>
      <c r="K115" s="2663"/>
      <c r="L115" s="2664"/>
      <c r="M115" s="2663"/>
      <c r="N115" s="2663"/>
      <c r="O115" s="2664"/>
      <c r="P115" s="2663"/>
      <c r="Q115" s="2663"/>
      <c r="R115" s="2665"/>
    </row>
    <row r="116" spans="2:18" s="885" customFormat="1">
      <c r="B116" s="2663"/>
      <c r="C116" s="2663"/>
      <c r="D116" s="2663"/>
      <c r="E116" s="2663"/>
      <c r="F116" s="2663"/>
      <c r="G116" s="2664"/>
      <c r="H116" s="2663"/>
      <c r="I116" s="2664"/>
      <c r="J116" s="2663"/>
      <c r="K116" s="2663"/>
      <c r="L116" s="2664"/>
      <c r="M116" s="2663"/>
      <c r="N116" s="2663"/>
      <c r="O116" s="2664"/>
      <c r="P116" s="2663"/>
      <c r="Q116" s="2663"/>
      <c r="R116" s="2665"/>
    </row>
    <row r="117" spans="2:18" s="885" customFormat="1">
      <c r="B117" s="2663"/>
      <c r="C117" s="2663"/>
      <c r="D117" s="2663"/>
      <c r="E117" s="2663"/>
      <c r="F117" s="2663"/>
      <c r="G117" s="2664"/>
      <c r="H117" s="2663"/>
      <c r="I117" s="2664"/>
      <c r="J117" s="2663"/>
      <c r="K117" s="2663"/>
      <c r="L117" s="2664"/>
      <c r="M117" s="2663"/>
      <c r="N117" s="2663"/>
      <c r="O117" s="2664"/>
      <c r="P117" s="2663"/>
      <c r="Q117" s="2663"/>
      <c r="R117" s="2665"/>
    </row>
    <row r="118" spans="2:18" s="885" customFormat="1">
      <c r="B118" s="2663"/>
      <c r="C118" s="2663"/>
      <c r="D118" s="2663"/>
      <c r="E118" s="2663"/>
      <c r="F118" s="2663"/>
      <c r="G118" s="2664"/>
      <c r="H118" s="2663"/>
      <c r="I118" s="2664"/>
      <c r="J118" s="2663"/>
      <c r="K118" s="2663"/>
      <c r="L118" s="2664"/>
      <c r="M118" s="2663"/>
      <c r="N118" s="2663"/>
      <c r="O118" s="2664"/>
      <c r="P118" s="2663"/>
      <c r="Q118" s="2663"/>
      <c r="R118" s="2665"/>
    </row>
    <row r="119" spans="2:18" s="885" customFormat="1">
      <c r="B119" s="2663"/>
      <c r="C119" s="2663"/>
      <c r="D119" s="2663"/>
      <c r="E119" s="2663"/>
      <c r="F119" s="2663"/>
      <c r="G119" s="2664"/>
      <c r="H119" s="2663"/>
      <c r="I119" s="2664"/>
      <c r="J119" s="2663"/>
      <c r="K119" s="2663"/>
      <c r="L119" s="2664"/>
      <c r="M119" s="2663"/>
      <c r="N119" s="2663"/>
      <c r="O119" s="2664"/>
      <c r="P119" s="2663"/>
      <c r="Q119" s="2663"/>
      <c r="R119" s="2665"/>
    </row>
    <row r="120" spans="2:18" s="885" customFormat="1">
      <c r="B120" s="2663"/>
      <c r="C120" s="2663"/>
      <c r="D120" s="2663"/>
      <c r="E120" s="2663"/>
      <c r="F120" s="2663"/>
      <c r="G120" s="2664"/>
      <c r="H120" s="2663"/>
      <c r="I120" s="2664"/>
      <c r="J120" s="2663"/>
      <c r="K120" s="2663"/>
      <c r="L120" s="2664"/>
      <c r="M120" s="2663"/>
      <c r="N120" s="2663"/>
      <c r="O120" s="2664"/>
      <c r="P120" s="2663"/>
      <c r="Q120" s="2663"/>
      <c r="R120" s="2665"/>
    </row>
    <row r="121" spans="2:18" s="885" customFormat="1">
      <c r="B121" s="2663"/>
      <c r="C121" s="2663"/>
      <c r="D121" s="2663"/>
      <c r="E121" s="2663"/>
      <c r="F121" s="2663"/>
      <c r="G121" s="2664"/>
      <c r="H121" s="2663"/>
      <c r="I121" s="2664"/>
      <c r="J121" s="2663"/>
      <c r="K121" s="2663"/>
      <c r="L121" s="2664"/>
      <c r="M121" s="2663"/>
      <c r="N121" s="2663"/>
      <c r="O121" s="2664"/>
      <c r="P121" s="2663"/>
      <c r="Q121" s="2663"/>
      <c r="R121" s="2665"/>
    </row>
    <row r="122" spans="2:18" s="885" customFormat="1">
      <c r="B122" s="2663"/>
      <c r="C122" s="2663"/>
      <c r="D122" s="2663"/>
      <c r="E122" s="2663"/>
      <c r="F122" s="2663"/>
      <c r="G122" s="2664"/>
      <c r="H122" s="2663"/>
      <c r="I122" s="2664"/>
      <c r="J122" s="2663"/>
      <c r="K122" s="2663"/>
      <c r="L122" s="2664"/>
      <c r="M122" s="2663"/>
      <c r="N122" s="2663"/>
      <c r="O122" s="2664"/>
      <c r="P122" s="2663"/>
      <c r="Q122" s="2663"/>
      <c r="R122" s="2665"/>
    </row>
    <row r="123" spans="2:18" s="885" customFormat="1">
      <c r="B123" s="2663"/>
      <c r="C123" s="2663"/>
      <c r="D123" s="2663"/>
      <c r="E123" s="2663"/>
      <c r="F123" s="2663"/>
      <c r="G123" s="2664"/>
      <c r="H123" s="2663"/>
      <c r="I123" s="2664"/>
      <c r="J123" s="2663"/>
      <c r="K123" s="2663"/>
      <c r="L123" s="2664"/>
      <c r="M123" s="2663"/>
      <c r="N123" s="2663"/>
      <c r="O123" s="2664"/>
      <c r="P123" s="2663"/>
      <c r="Q123" s="2663"/>
      <c r="R123" s="2665"/>
    </row>
    <row r="124" spans="2:18" s="885" customFormat="1">
      <c r="B124" s="2663"/>
      <c r="C124" s="2663"/>
      <c r="D124" s="2663"/>
      <c r="E124" s="2663"/>
      <c r="F124" s="2663"/>
      <c r="G124" s="2664"/>
      <c r="H124" s="2663"/>
      <c r="I124" s="2664"/>
      <c r="J124" s="2663"/>
      <c r="K124" s="2663"/>
      <c r="L124" s="2664"/>
      <c r="M124" s="2663"/>
      <c r="N124" s="2663"/>
      <c r="O124" s="2664"/>
      <c r="P124" s="2663"/>
      <c r="Q124" s="2663"/>
      <c r="R124" s="2665"/>
    </row>
    <row r="125" spans="2:18" s="885" customFormat="1">
      <c r="B125" s="2663"/>
      <c r="C125" s="2663"/>
      <c r="D125" s="2663"/>
      <c r="E125" s="2663"/>
      <c r="F125" s="2663"/>
      <c r="G125" s="2664"/>
      <c r="H125" s="2663"/>
      <c r="I125" s="2664"/>
      <c r="J125" s="2663"/>
      <c r="K125" s="2663"/>
      <c r="L125" s="2664"/>
      <c r="M125" s="2663"/>
      <c r="N125" s="2663"/>
      <c r="O125" s="2664"/>
      <c r="P125" s="2663"/>
      <c r="Q125" s="2663"/>
      <c r="R125" s="2665"/>
    </row>
    <row r="126" spans="2:18" s="885" customFormat="1">
      <c r="B126" s="2663"/>
      <c r="C126" s="2663"/>
      <c r="D126" s="2663"/>
      <c r="E126" s="2663"/>
      <c r="F126" s="2663"/>
      <c r="G126" s="2664"/>
      <c r="H126" s="2663"/>
      <c r="I126" s="2664"/>
      <c r="J126" s="2663"/>
      <c r="K126" s="2663"/>
      <c r="L126" s="2664"/>
      <c r="M126" s="2663"/>
      <c r="N126" s="2663"/>
      <c r="O126" s="2664"/>
      <c r="P126" s="2663"/>
      <c r="Q126" s="2663"/>
      <c r="R126" s="2665"/>
    </row>
    <row r="127" spans="2:18" s="885" customFormat="1">
      <c r="B127" s="2663"/>
      <c r="C127" s="2663"/>
      <c r="D127" s="2663"/>
      <c r="E127" s="2663"/>
      <c r="F127" s="2663"/>
      <c r="G127" s="2664"/>
      <c r="H127" s="2663"/>
      <c r="I127" s="2664"/>
      <c r="J127" s="2663"/>
      <c r="K127" s="2663"/>
      <c r="L127" s="2664"/>
      <c r="M127" s="2663"/>
      <c r="N127" s="2663"/>
      <c r="O127" s="2664"/>
      <c r="P127" s="2663"/>
      <c r="Q127" s="2663"/>
      <c r="R127" s="2665"/>
    </row>
    <row r="128" spans="2:18" s="885" customFormat="1">
      <c r="B128" s="2663"/>
      <c r="C128" s="2663"/>
      <c r="D128" s="2663"/>
      <c r="E128" s="2663"/>
      <c r="F128" s="2663"/>
      <c r="G128" s="2664"/>
      <c r="H128" s="2663"/>
      <c r="I128" s="2664"/>
      <c r="J128" s="2663"/>
      <c r="K128" s="2663"/>
      <c r="L128" s="2664"/>
      <c r="M128" s="2663"/>
      <c r="N128" s="2663"/>
      <c r="O128" s="2664"/>
      <c r="P128" s="2663"/>
      <c r="Q128" s="2663"/>
      <c r="R128" s="2665"/>
    </row>
    <row r="129" spans="2:18" s="885" customFormat="1">
      <c r="B129" s="2663"/>
      <c r="C129" s="2663"/>
      <c r="D129" s="2663"/>
      <c r="E129" s="2663"/>
      <c r="F129" s="2663"/>
      <c r="G129" s="2664"/>
      <c r="H129" s="2663"/>
      <c r="I129" s="2664"/>
      <c r="J129" s="2663"/>
      <c r="K129" s="2663"/>
      <c r="L129" s="2664"/>
      <c r="M129" s="2663"/>
      <c r="N129" s="2663"/>
      <c r="O129" s="2664"/>
      <c r="P129" s="2663"/>
      <c r="Q129" s="2663"/>
      <c r="R129" s="2665"/>
    </row>
    <row r="130" spans="2:18" s="885" customFormat="1">
      <c r="B130" s="2663"/>
      <c r="C130" s="2663"/>
      <c r="D130" s="2663"/>
      <c r="E130" s="2663"/>
      <c r="F130" s="2663"/>
      <c r="G130" s="2664"/>
      <c r="H130" s="2663"/>
      <c r="I130" s="2664"/>
      <c r="J130" s="2663"/>
      <c r="K130" s="2663"/>
      <c r="L130" s="2664"/>
      <c r="M130" s="2663"/>
      <c r="N130" s="2663"/>
      <c r="O130" s="2664"/>
      <c r="P130" s="2663"/>
      <c r="Q130" s="2663"/>
      <c r="R130" s="2665"/>
    </row>
    <row r="131" spans="2:18" s="885" customFormat="1">
      <c r="B131" s="2663"/>
      <c r="C131" s="2663"/>
      <c r="D131" s="2663"/>
      <c r="E131" s="2663"/>
      <c r="F131" s="2663"/>
      <c r="G131" s="2664"/>
      <c r="H131" s="2663"/>
      <c r="I131" s="2664"/>
      <c r="J131" s="2663"/>
      <c r="K131" s="2663"/>
      <c r="L131" s="2664"/>
      <c r="M131" s="2663"/>
      <c r="N131" s="2663"/>
      <c r="O131" s="2664"/>
      <c r="P131" s="2663"/>
      <c r="Q131" s="2663"/>
      <c r="R131" s="2665"/>
    </row>
    <row r="132" spans="2:18" s="885" customFormat="1">
      <c r="B132" s="2663"/>
      <c r="C132" s="2663"/>
      <c r="D132" s="2663"/>
      <c r="E132" s="2663"/>
      <c r="F132" s="2663"/>
      <c r="G132" s="2664"/>
      <c r="H132" s="2663"/>
      <c r="I132" s="2664"/>
      <c r="J132" s="2663"/>
      <c r="K132" s="2663"/>
      <c r="L132" s="2664"/>
      <c r="M132" s="2663"/>
      <c r="N132" s="2663"/>
      <c r="O132" s="2664"/>
      <c r="P132" s="2663"/>
      <c r="Q132" s="2663"/>
      <c r="R132" s="2665"/>
    </row>
    <row r="133" spans="2:18" s="885" customFormat="1">
      <c r="B133" s="2663"/>
      <c r="C133" s="2663"/>
      <c r="D133" s="2663"/>
      <c r="E133" s="2663"/>
      <c r="F133" s="2663"/>
      <c r="G133" s="2664"/>
      <c r="H133" s="2663"/>
      <c r="I133" s="2664"/>
      <c r="J133" s="2663"/>
      <c r="K133" s="2663"/>
      <c r="L133" s="2664"/>
      <c r="M133" s="2663"/>
      <c r="N133" s="2663"/>
      <c r="O133" s="2664"/>
      <c r="P133" s="2663"/>
      <c r="Q133" s="2663"/>
      <c r="R133" s="2665"/>
    </row>
    <row r="134" spans="2:18" s="885" customFormat="1">
      <c r="B134" s="2663"/>
      <c r="C134" s="2663"/>
      <c r="D134" s="2663"/>
      <c r="E134" s="2663"/>
      <c r="F134" s="2663"/>
      <c r="G134" s="2664"/>
      <c r="H134" s="2663"/>
      <c r="I134" s="2664"/>
      <c r="J134" s="2663"/>
      <c r="K134" s="2663"/>
      <c r="L134" s="2664"/>
      <c r="M134" s="2663"/>
      <c r="N134" s="2663"/>
      <c r="O134" s="2664"/>
      <c r="P134" s="2663"/>
      <c r="Q134" s="2663"/>
      <c r="R134" s="2665"/>
    </row>
    <row r="135" spans="2:18" s="885" customFormat="1">
      <c r="B135" s="2663"/>
      <c r="C135" s="2663"/>
      <c r="D135" s="2663"/>
      <c r="E135" s="2663"/>
      <c r="F135" s="2663"/>
      <c r="G135" s="2664"/>
      <c r="H135" s="2663"/>
      <c r="I135" s="2664"/>
      <c r="J135" s="2663"/>
      <c r="K135" s="2663"/>
      <c r="L135" s="2664"/>
      <c r="M135" s="2663"/>
      <c r="N135" s="2663"/>
      <c r="O135" s="2664"/>
      <c r="P135" s="2663"/>
      <c r="Q135" s="2663"/>
      <c r="R135" s="2665"/>
    </row>
    <row r="136" spans="2:18" s="885" customFormat="1">
      <c r="B136" s="2663"/>
      <c r="C136" s="2663"/>
      <c r="D136" s="2663"/>
      <c r="E136" s="2663"/>
      <c r="F136" s="2663"/>
      <c r="G136" s="2664"/>
      <c r="H136" s="2663"/>
      <c r="I136" s="2664"/>
      <c r="J136" s="2663"/>
      <c r="K136" s="2663"/>
      <c r="L136" s="2664"/>
      <c r="M136" s="2663"/>
      <c r="N136" s="2663"/>
      <c r="O136" s="2664"/>
      <c r="P136" s="2663"/>
      <c r="Q136" s="2663"/>
      <c r="R136" s="2665"/>
    </row>
    <row r="137" spans="2:18" s="885" customFormat="1">
      <c r="B137" s="2663"/>
      <c r="C137" s="2663"/>
      <c r="D137" s="2663"/>
      <c r="E137" s="2663"/>
      <c r="F137" s="2663"/>
      <c r="G137" s="2664"/>
      <c r="H137" s="2663"/>
      <c r="I137" s="2664"/>
      <c r="J137" s="2663"/>
      <c r="K137" s="2663"/>
      <c r="L137" s="2664"/>
      <c r="M137" s="2663"/>
      <c r="N137" s="2663"/>
      <c r="O137" s="2664"/>
      <c r="P137" s="2663"/>
      <c r="Q137" s="2663"/>
      <c r="R137" s="2665"/>
    </row>
    <row r="138" spans="2:18" s="885" customFormat="1">
      <c r="B138" s="2663"/>
      <c r="C138" s="2663"/>
      <c r="D138" s="2663"/>
      <c r="E138" s="2663"/>
      <c r="F138" s="2663"/>
      <c r="G138" s="2664"/>
      <c r="H138" s="2663"/>
      <c r="I138" s="2664"/>
      <c r="J138" s="2663"/>
      <c r="K138" s="2663"/>
      <c r="L138" s="2664"/>
      <c r="M138" s="2663"/>
      <c r="N138" s="2663"/>
      <c r="O138" s="2664"/>
      <c r="P138" s="2663"/>
      <c r="Q138" s="2663"/>
      <c r="R138" s="2665"/>
    </row>
    <row r="139" spans="2:18" s="885" customFormat="1">
      <c r="B139" s="2663"/>
      <c r="C139" s="2663"/>
      <c r="D139" s="2663"/>
      <c r="E139" s="2663"/>
      <c r="F139" s="2663"/>
      <c r="G139" s="2664"/>
      <c r="H139" s="2663"/>
      <c r="I139" s="2664"/>
      <c r="J139" s="2663"/>
      <c r="K139" s="2663"/>
      <c r="L139" s="2664"/>
      <c r="M139" s="2663"/>
      <c r="N139" s="2663"/>
      <c r="O139" s="2664"/>
      <c r="P139" s="2663"/>
      <c r="Q139" s="2663"/>
      <c r="R139" s="2665"/>
    </row>
    <row r="140" spans="2:18" s="885" customFormat="1">
      <c r="B140" s="2663"/>
      <c r="C140" s="2663"/>
      <c r="D140" s="2663"/>
      <c r="E140" s="2663"/>
      <c r="F140" s="2663"/>
      <c r="G140" s="2664"/>
      <c r="H140" s="2663"/>
      <c r="I140" s="2664"/>
      <c r="J140" s="2663"/>
      <c r="K140" s="2663"/>
      <c r="L140" s="2664"/>
      <c r="M140" s="2663"/>
      <c r="N140" s="2663"/>
      <c r="O140" s="2664"/>
      <c r="P140" s="2663"/>
      <c r="Q140" s="2663"/>
      <c r="R140" s="2665"/>
    </row>
    <row r="141" spans="2:18" s="885" customFormat="1">
      <c r="B141" s="2663"/>
      <c r="C141" s="2663"/>
      <c r="D141" s="2663"/>
      <c r="E141" s="2663"/>
      <c r="F141" s="2663"/>
      <c r="G141" s="2664"/>
      <c r="H141" s="2663"/>
      <c r="I141" s="2664"/>
      <c r="J141" s="2663"/>
      <c r="K141" s="2663"/>
      <c r="L141" s="2664"/>
      <c r="M141" s="2663"/>
      <c r="N141" s="2663"/>
      <c r="O141" s="2664"/>
      <c r="P141" s="2663"/>
      <c r="Q141" s="2663"/>
      <c r="R141" s="2665"/>
    </row>
    <row r="142" spans="2:18" s="885" customFormat="1">
      <c r="B142" s="2663"/>
      <c r="C142" s="2663"/>
      <c r="D142" s="2663"/>
      <c r="E142" s="2663"/>
      <c r="F142" s="2663"/>
      <c r="G142" s="2664"/>
      <c r="H142" s="2663"/>
      <c r="I142" s="2664"/>
      <c r="J142" s="2663"/>
      <c r="K142" s="2663"/>
      <c r="L142" s="2664"/>
      <c r="M142" s="2663"/>
      <c r="N142" s="2663"/>
      <c r="O142" s="2664"/>
      <c r="P142" s="2663"/>
      <c r="Q142" s="2663"/>
      <c r="R142" s="2665"/>
    </row>
    <row r="143" spans="2:18" s="885" customFormat="1">
      <c r="B143" s="2663"/>
      <c r="C143" s="2663"/>
      <c r="D143" s="2663"/>
      <c r="E143" s="2663"/>
      <c r="F143" s="2663"/>
      <c r="G143" s="2664"/>
      <c r="H143" s="2663"/>
      <c r="I143" s="2664"/>
      <c r="J143" s="2663"/>
      <c r="K143" s="2663"/>
      <c r="L143" s="2664"/>
      <c r="M143" s="2663"/>
      <c r="N143" s="2663"/>
      <c r="O143" s="2664"/>
      <c r="P143" s="2663"/>
      <c r="Q143" s="2663"/>
      <c r="R143" s="2665"/>
    </row>
    <row r="144" spans="2:18" s="885" customFormat="1">
      <c r="B144" s="2663"/>
      <c r="C144" s="2663"/>
      <c r="D144" s="2663"/>
      <c r="E144" s="2663"/>
      <c r="F144" s="2663"/>
      <c r="G144" s="2664"/>
      <c r="H144" s="2663"/>
      <c r="I144" s="2664"/>
      <c r="J144" s="2663"/>
      <c r="K144" s="2663"/>
      <c r="L144" s="2664"/>
      <c r="M144" s="2663"/>
      <c r="N144" s="2663"/>
      <c r="O144" s="2664"/>
      <c r="P144" s="2663"/>
      <c r="Q144" s="2663"/>
      <c r="R144" s="2665"/>
    </row>
    <row r="145" spans="2:18" s="885" customFormat="1">
      <c r="B145" s="2663"/>
      <c r="C145" s="2663"/>
      <c r="D145" s="2663"/>
      <c r="E145" s="2663"/>
      <c r="F145" s="2663"/>
      <c r="G145" s="2664"/>
      <c r="H145" s="2663"/>
      <c r="I145" s="2664"/>
      <c r="J145" s="2663"/>
      <c r="K145" s="2663"/>
      <c r="L145" s="2664"/>
      <c r="M145" s="2663"/>
      <c r="N145" s="2663"/>
      <c r="O145" s="2664"/>
      <c r="P145" s="2663"/>
      <c r="Q145" s="2663"/>
      <c r="R145" s="2665"/>
    </row>
    <row r="146" spans="2:18" s="885" customFormat="1">
      <c r="B146" s="2663"/>
      <c r="C146" s="2663"/>
      <c r="D146" s="2663"/>
      <c r="E146" s="2663"/>
      <c r="F146" s="2663"/>
      <c r="G146" s="2664"/>
      <c r="H146" s="2663"/>
      <c r="I146" s="2664"/>
      <c r="J146" s="2663"/>
      <c r="K146" s="2663"/>
      <c r="L146" s="2664"/>
      <c r="M146" s="2663"/>
      <c r="N146" s="2663"/>
      <c r="O146" s="2664"/>
      <c r="P146" s="2663"/>
      <c r="Q146" s="2663"/>
      <c r="R146" s="2665"/>
    </row>
    <row r="147" spans="2:18" s="885" customFormat="1">
      <c r="B147" s="2663"/>
      <c r="C147" s="2663"/>
      <c r="D147" s="2663"/>
      <c r="E147" s="2663"/>
      <c r="F147" s="2663"/>
      <c r="G147" s="2664"/>
      <c r="H147" s="2663"/>
      <c r="I147" s="2664"/>
      <c r="J147" s="2663"/>
      <c r="K147" s="2663"/>
      <c r="L147" s="2664"/>
      <c r="M147" s="2663"/>
      <c r="N147" s="2663"/>
      <c r="O147" s="2664"/>
      <c r="P147" s="2663"/>
      <c r="Q147" s="2663"/>
      <c r="R147" s="2665"/>
    </row>
    <row r="148" spans="2:18" s="885" customFormat="1">
      <c r="B148" s="2663"/>
      <c r="C148" s="2663"/>
      <c r="D148" s="2663"/>
      <c r="E148" s="2663"/>
      <c r="F148" s="2663"/>
      <c r="G148" s="2664"/>
      <c r="H148" s="2663"/>
      <c r="I148" s="2664"/>
      <c r="J148" s="2663"/>
      <c r="K148" s="2663"/>
      <c r="L148" s="2664"/>
      <c r="M148" s="2663"/>
      <c r="N148" s="2663"/>
      <c r="O148" s="2664"/>
      <c r="P148" s="2663"/>
      <c r="Q148" s="2663"/>
      <c r="R148" s="2665"/>
    </row>
    <row r="149" spans="2:18" s="885" customFormat="1">
      <c r="B149" s="2663"/>
      <c r="C149" s="2663"/>
      <c r="D149" s="2663"/>
      <c r="E149" s="2663"/>
      <c r="F149" s="2663"/>
      <c r="G149" s="2664"/>
      <c r="H149" s="2663"/>
      <c r="I149" s="2664"/>
      <c r="J149" s="2663"/>
      <c r="K149" s="2663"/>
      <c r="L149" s="2664"/>
      <c r="M149" s="2663"/>
      <c r="N149" s="2663"/>
      <c r="O149" s="2664"/>
      <c r="P149" s="2663"/>
      <c r="Q149" s="2663"/>
      <c r="R149" s="2665"/>
    </row>
    <row r="150" spans="2:18" s="885" customFormat="1">
      <c r="B150" s="2663"/>
      <c r="C150" s="2663"/>
      <c r="D150" s="2663"/>
      <c r="E150" s="2663"/>
      <c r="F150" s="2663"/>
      <c r="G150" s="2664"/>
      <c r="H150" s="2663"/>
      <c r="I150" s="2664"/>
      <c r="J150" s="2663"/>
      <c r="K150" s="2663"/>
      <c r="L150" s="2664"/>
      <c r="M150" s="2663"/>
      <c r="N150" s="2663"/>
      <c r="O150" s="2664"/>
      <c r="P150" s="2663"/>
      <c r="Q150" s="2663"/>
      <c r="R150" s="2665"/>
    </row>
    <row r="151" spans="2:18" s="885" customFormat="1">
      <c r="B151" s="2663"/>
      <c r="C151" s="2663"/>
      <c r="D151" s="2663"/>
      <c r="E151" s="2663"/>
      <c r="F151" s="2663"/>
      <c r="G151" s="2664"/>
      <c r="H151" s="2663"/>
      <c r="I151" s="2664"/>
      <c r="J151" s="2663"/>
      <c r="K151" s="2663"/>
      <c r="L151" s="2664"/>
      <c r="M151" s="2663"/>
      <c r="N151" s="2663"/>
      <c r="O151" s="2664"/>
      <c r="P151" s="2663"/>
      <c r="Q151" s="2663"/>
      <c r="R151" s="2665"/>
    </row>
    <row r="152" spans="2:18" s="885" customFormat="1">
      <c r="B152" s="2663"/>
      <c r="C152" s="2663"/>
      <c r="D152" s="2663"/>
      <c r="E152" s="2663"/>
      <c r="F152" s="2663"/>
      <c r="G152" s="2664"/>
      <c r="H152" s="2663"/>
      <c r="I152" s="2664"/>
      <c r="J152" s="2663"/>
      <c r="K152" s="2663"/>
      <c r="L152" s="2664"/>
      <c r="M152" s="2663"/>
      <c r="N152" s="2663"/>
      <c r="O152" s="2664"/>
      <c r="P152" s="2663"/>
      <c r="Q152" s="2663"/>
      <c r="R152" s="2665"/>
    </row>
    <row r="153" spans="2:18" s="885" customFormat="1">
      <c r="B153" s="2663"/>
      <c r="C153" s="2663"/>
      <c r="D153" s="2663"/>
      <c r="E153" s="2663"/>
      <c r="F153" s="2663"/>
      <c r="G153" s="2664"/>
      <c r="H153" s="2663"/>
      <c r="I153" s="2664"/>
      <c r="J153" s="2663"/>
      <c r="K153" s="2663"/>
      <c r="L153" s="2664"/>
      <c r="M153" s="2663"/>
      <c r="N153" s="2663"/>
      <c r="O153" s="2664"/>
      <c r="P153" s="2663"/>
      <c r="Q153" s="2663"/>
      <c r="R153" s="2665"/>
    </row>
    <row r="154" spans="2:18" s="885" customFormat="1">
      <c r="B154" s="2663"/>
      <c r="C154" s="2663"/>
      <c r="D154" s="2663"/>
      <c r="E154" s="2663"/>
      <c r="F154" s="2663"/>
      <c r="G154" s="2664"/>
      <c r="H154" s="2663"/>
      <c r="I154" s="2664"/>
      <c r="J154" s="2663"/>
      <c r="K154" s="2663"/>
      <c r="L154" s="2664"/>
      <c r="M154" s="2663"/>
      <c r="N154" s="2663"/>
      <c r="O154" s="2664"/>
      <c r="P154" s="2663"/>
      <c r="Q154" s="2663"/>
      <c r="R154" s="2665"/>
    </row>
    <row r="155" spans="2:18" s="885" customFormat="1">
      <c r="B155" s="2663"/>
      <c r="C155" s="2663"/>
      <c r="D155" s="2663"/>
      <c r="E155" s="2663"/>
      <c r="F155" s="2663"/>
      <c r="G155" s="2664"/>
      <c r="H155" s="2663"/>
      <c r="I155" s="2664"/>
      <c r="J155" s="2663"/>
      <c r="K155" s="2663"/>
      <c r="L155" s="2664"/>
      <c r="M155" s="2663"/>
      <c r="N155" s="2663"/>
      <c r="O155" s="2664"/>
      <c r="P155" s="2663"/>
      <c r="Q155" s="2663"/>
      <c r="R155" s="2665"/>
    </row>
    <row r="156" spans="2:18" s="885" customFormat="1">
      <c r="B156" s="2663"/>
      <c r="C156" s="2663"/>
      <c r="D156" s="2663"/>
      <c r="E156" s="2663"/>
      <c r="F156" s="2663"/>
      <c r="G156" s="2664"/>
      <c r="H156" s="2663"/>
      <c r="I156" s="2664"/>
      <c r="J156" s="2663"/>
      <c r="K156" s="2663"/>
      <c r="L156" s="2664"/>
      <c r="M156" s="2663"/>
      <c r="N156" s="2663"/>
      <c r="O156" s="2664"/>
      <c r="P156" s="2663"/>
      <c r="Q156" s="2663"/>
      <c r="R156" s="2665"/>
    </row>
    <row r="157" spans="2:18" s="885" customFormat="1">
      <c r="B157" s="2663"/>
      <c r="C157" s="2663"/>
      <c r="D157" s="2663"/>
      <c r="E157" s="2663"/>
      <c r="F157" s="2663"/>
      <c r="G157" s="2664"/>
      <c r="H157" s="2663"/>
      <c r="I157" s="2664"/>
      <c r="J157" s="2663"/>
      <c r="K157" s="2663"/>
      <c r="L157" s="2664"/>
      <c r="M157" s="2663"/>
      <c r="N157" s="2663"/>
      <c r="O157" s="2664"/>
      <c r="P157" s="2663"/>
      <c r="Q157" s="2663"/>
      <c r="R157" s="2665"/>
    </row>
    <row r="158" spans="2:18" s="885" customFormat="1">
      <c r="B158" s="2663"/>
      <c r="C158" s="2663"/>
      <c r="D158" s="2663"/>
      <c r="E158" s="2663"/>
      <c r="F158" s="2663"/>
      <c r="G158" s="2664"/>
      <c r="H158" s="2663"/>
      <c r="I158" s="2664"/>
      <c r="J158" s="2663"/>
      <c r="K158" s="2663"/>
      <c r="L158" s="2664"/>
      <c r="M158" s="2663"/>
      <c r="N158" s="2663"/>
      <c r="O158" s="2664"/>
      <c r="P158" s="2663"/>
      <c r="Q158" s="2663"/>
      <c r="R158" s="2665"/>
    </row>
    <row r="159" spans="2:18" s="885" customFormat="1">
      <c r="B159" s="2663"/>
      <c r="C159" s="2663"/>
      <c r="D159" s="2663"/>
      <c r="E159" s="2663"/>
      <c r="F159" s="2663"/>
      <c r="G159" s="2664"/>
      <c r="H159" s="2663"/>
      <c r="I159" s="2664"/>
      <c r="J159" s="2663"/>
      <c r="K159" s="2663"/>
      <c r="L159" s="2664"/>
      <c r="M159" s="2663"/>
      <c r="N159" s="2663"/>
      <c r="O159" s="2664"/>
      <c r="P159" s="2663"/>
      <c r="Q159" s="2663"/>
      <c r="R159" s="2665"/>
    </row>
    <row r="160" spans="2:18" s="885" customFormat="1">
      <c r="B160" s="2663"/>
      <c r="C160" s="2663"/>
      <c r="D160" s="2663"/>
      <c r="E160" s="2663"/>
      <c r="F160" s="2663"/>
      <c r="G160" s="2664"/>
      <c r="H160" s="2663"/>
      <c r="I160" s="2664"/>
      <c r="J160" s="2663"/>
      <c r="K160" s="2663"/>
      <c r="L160" s="2664"/>
      <c r="M160" s="2663"/>
      <c r="N160" s="2663"/>
      <c r="O160" s="2664"/>
      <c r="P160" s="2663"/>
      <c r="Q160" s="2663"/>
      <c r="R160" s="2665"/>
    </row>
    <row r="161" spans="2:18" s="885" customFormat="1">
      <c r="B161" s="2663"/>
      <c r="C161" s="2663"/>
      <c r="D161" s="2663"/>
      <c r="E161" s="2663"/>
      <c r="F161" s="2663"/>
      <c r="G161" s="2664"/>
      <c r="H161" s="2663"/>
      <c r="I161" s="2664"/>
      <c r="J161" s="2663"/>
      <c r="K161" s="2663"/>
      <c r="L161" s="2664"/>
      <c r="M161" s="2663"/>
      <c r="N161" s="2663"/>
      <c r="O161" s="2664"/>
      <c r="P161" s="2663"/>
      <c r="Q161" s="2663"/>
      <c r="R161" s="2665"/>
    </row>
    <row r="162" spans="2:18" s="885" customFormat="1">
      <c r="B162" s="2663"/>
      <c r="C162" s="2663"/>
      <c r="D162" s="2663"/>
      <c r="E162" s="2663"/>
      <c r="F162" s="2663"/>
      <c r="G162" s="2664"/>
      <c r="H162" s="2663"/>
      <c r="I162" s="2664"/>
      <c r="J162" s="2663"/>
      <c r="K162" s="2663"/>
      <c r="L162" s="2664"/>
      <c r="M162" s="2663"/>
      <c r="N162" s="2663"/>
      <c r="O162" s="2664"/>
      <c r="P162" s="2663"/>
      <c r="Q162" s="2663"/>
      <c r="R162" s="2665"/>
    </row>
    <row r="163" spans="2:18" s="885" customFormat="1">
      <c r="B163" s="2663"/>
      <c r="C163" s="2663"/>
      <c r="D163" s="2663"/>
      <c r="E163" s="2663"/>
      <c r="F163" s="2663"/>
      <c r="G163" s="2664"/>
      <c r="H163" s="2663"/>
      <c r="I163" s="2664"/>
      <c r="J163" s="2663"/>
      <c r="K163" s="2663"/>
      <c r="L163" s="2664"/>
      <c r="M163" s="2663"/>
      <c r="N163" s="2663"/>
      <c r="O163" s="2664"/>
      <c r="P163" s="2663"/>
      <c r="Q163" s="2663"/>
      <c r="R163" s="2665"/>
    </row>
    <row r="164" spans="2:18" s="885" customFormat="1">
      <c r="B164" s="2663"/>
      <c r="C164" s="2663"/>
      <c r="D164" s="2663"/>
      <c r="E164" s="2663"/>
      <c r="F164" s="2663"/>
      <c r="G164" s="2664"/>
      <c r="H164" s="2663"/>
      <c r="I164" s="2664"/>
      <c r="J164" s="2663"/>
      <c r="K164" s="2663"/>
      <c r="L164" s="2664"/>
      <c r="M164" s="2663"/>
      <c r="N164" s="2663"/>
      <c r="O164" s="2664"/>
      <c r="P164" s="2663"/>
      <c r="Q164" s="2663"/>
      <c r="R164" s="2665"/>
    </row>
    <row r="165" spans="2:18" s="885" customFormat="1">
      <c r="B165" s="2663"/>
      <c r="C165" s="2663"/>
      <c r="D165" s="2663"/>
      <c r="E165" s="2663"/>
      <c r="F165" s="2663"/>
      <c r="G165" s="2664"/>
      <c r="H165" s="2663"/>
      <c r="I165" s="2664"/>
      <c r="J165" s="2663"/>
      <c r="K165" s="2663"/>
      <c r="L165" s="2664"/>
      <c r="M165" s="2663"/>
      <c r="N165" s="2663"/>
      <c r="O165" s="2664"/>
      <c r="P165" s="2663"/>
      <c r="Q165" s="2663"/>
      <c r="R165" s="2665"/>
    </row>
    <row r="166" spans="2:18" s="885" customFormat="1">
      <c r="B166" s="2663"/>
      <c r="C166" s="2663"/>
      <c r="D166" s="2663"/>
      <c r="E166" s="2663"/>
      <c r="F166" s="2663"/>
      <c r="G166" s="2664"/>
      <c r="H166" s="2663"/>
      <c r="I166" s="2664"/>
      <c r="J166" s="2663"/>
      <c r="K166" s="2663"/>
      <c r="L166" s="2664"/>
      <c r="M166" s="2663"/>
      <c r="N166" s="2663"/>
      <c r="O166" s="2664"/>
      <c r="P166" s="2663"/>
      <c r="Q166" s="2663"/>
      <c r="R166" s="2665"/>
    </row>
    <row r="167" spans="2:18" s="885" customFormat="1">
      <c r="B167" s="2663"/>
      <c r="C167" s="2663"/>
      <c r="D167" s="2663"/>
      <c r="E167" s="2663"/>
      <c r="F167" s="2663"/>
      <c r="G167" s="2664"/>
      <c r="H167" s="2663"/>
      <c r="I167" s="2664"/>
      <c r="J167" s="2663"/>
      <c r="K167" s="2663"/>
      <c r="L167" s="2664"/>
      <c r="M167" s="2663"/>
      <c r="N167" s="2663"/>
      <c r="O167" s="2664"/>
      <c r="P167" s="2663"/>
      <c r="Q167" s="2663"/>
      <c r="R167" s="2665"/>
    </row>
    <row r="168" spans="2:18" s="885" customFormat="1">
      <c r="B168" s="2663"/>
      <c r="C168" s="2663"/>
      <c r="D168" s="2663"/>
      <c r="E168" s="2663"/>
      <c r="F168" s="2663"/>
      <c r="G168" s="2664"/>
      <c r="H168" s="2663"/>
      <c r="I168" s="2664"/>
      <c r="J168" s="2663"/>
      <c r="K168" s="2663"/>
      <c r="L168" s="2664"/>
      <c r="M168" s="2663"/>
      <c r="N168" s="2663"/>
      <c r="O168" s="2664"/>
      <c r="P168" s="2663"/>
      <c r="Q168" s="2663"/>
      <c r="R168" s="2665"/>
    </row>
    <row r="169" spans="2:18" s="885" customFormat="1">
      <c r="B169" s="2663"/>
      <c r="C169" s="2663"/>
      <c r="D169" s="2663"/>
      <c r="E169" s="2663"/>
      <c r="F169" s="2663"/>
      <c r="G169" s="2664"/>
      <c r="H169" s="2663"/>
      <c r="I169" s="2664"/>
      <c r="J169" s="2663"/>
      <c r="K169" s="2663"/>
      <c r="L169" s="2664"/>
      <c r="M169" s="2663"/>
      <c r="N169" s="2663"/>
      <c r="O169" s="2664"/>
      <c r="P169" s="2663"/>
      <c r="Q169" s="2663"/>
      <c r="R169" s="2665"/>
    </row>
    <row r="170" spans="2:18" s="885" customFormat="1">
      <c r="B170" s="2663"/>
      <c r="C170" s="2663"/>
      <c r="D170" s="2663"/>
      <c r="E170" s="2663"/>
      <c r="F170" s="2663"/>
      <c r="G170" s="2664"/>
      <c r="H170" s="2663"/>
      <c r="I170" s="2664"/>
      <c r="J170" s="2663"/>
      <c r="K170" s="2663"/>
      <c r="L170" s="2664"/>
      <c r="M170" s="2663"/>
      <c r="N170" s="2663"/>
      <c r="O170" s="2664"/>
      <c r="P170" s="2663"/>
      <c r="Q170" s="2663"/>
      <c r="R170" s="2665"/>
    </row>
    <row r="171" spans="2:18" s="885" customFormat="1">
      <c r="B171" s="2663"/>
      <c r="C171" s="2663"/>
      <c r="D171" s="2663"/>
      <c r="E171" s="2663"/>
      <c r="F171" s="2663"/>
      <c r="G171" s="2664"/>
      <c r="H171" s="2663"/>
      <c r="I171" s="2664"/>
      <c r="J171" s="2663"/>
      <c r="K171" s="2663"/>
      <c r="L171" s="2664"/>
      <c r="M171" s="2663"/>
      <c r="N171" s="2663"/>
      <c r="O171" s="2664"/>
      <c r="P171" s="2663"/>
      <c r="Q171" s="2663"/>
      <c r="R171" s="2665"/>
    </row>
    <row r="172" spans="2:18" s="885" customFormat="1">
      <c r="B172" s="2663"/>
      <c r="C172" s="2663"/>
      <c r="D172" s="2663"/>
      <c r="E172" s="2663"/>
      <c r="F172" s="2663"/>
      <c r="G172" s="2664"/>
      <c r="H172" s="2663"/>
      <c r="I172" s="2664"/>
      <c r="J172" s="2663"/>
      <c r="K172" s="2663"/>
      <c r="L172" s="2664"/>
      <c r="M172" s="2663"/>
      <c r="N172" s="2663"/>
      <c r="O172" s="2664"/>
      <c r="P172" s="2663"/>
      <c r="Q172" s="2663"/>
      <c r="R172" s="2665"/>
    </row>
    <row r="173" spans="2:18" s="885" customFormat="1">
      <c r="B173" s="2663"/>
      <c r="C173" s="2663"/>
      <c r="D173" s="2663"/>
      <c r="E173" s="2663"/>
      <c r="F173" s="2663"/>
      <c r="G173" s="2664"/>
      <c r="H173" s="2663"/>
      <c r="I173" s="2664"/>
      <c r="J173" s="2663"/>
      <c r="K173" s="2663"/>
      <c r="L173" s="2664"/>
      <c r="M173" s="2663"/>
      <c r="N173" s="2663"/>
      <c r="O173" s="2664"/>
      <c r="P173" s="2663"/>
      <c r="Q173" s="2663"/>
      <c r="R173" s="2665"/>
    </row>
    <row r="174" spans="2:18" s="885" customFormat="1">
      <c r="B174" s="2663"/>
      <c r="C174" s="2663"/>
      <c r="D174" s="2663"/>
      <c r="E174" s="2663"/>
      <c r="F174" s="2663"/>
      <c r="G174" s="2664"/>
      <c r="H174" s="2663"/>
      <c r="I174" s="2664"/>
      <c r="J174" s="2663"/>
      <c r="K174" s="2663"/>
      <c r="L174" s="2664"/>
      <c r="M174" s="2663"/>
      <c r="N174" s="2663"/>
      <c r="O174" s="2664"/>
      <c r="P174" s="2663"/>
      <c r="Q174" s="2663"/>
      <c r="R174" s="2665"/>
    </row>
    <row r="175" spans="2:18" s="885" customFormat="1">
      <c r="B175" s="2663"/>
      <c r="C175" s="2663"/>
      <c r="D175" s="2663"/>
      <c r="E175" s="2663"/>
      <c r="F175" s="2663"/>
      <c r="G175" s="2664"/>
      <c r="H175" s="2663"/>
      <c r="I175" s="2664"/>
      <c r="J175" s="2663"/>
      <c r="K175" s="2663"/>
      <c r="L175" s="2664"/>
      <c r="M175" s="2663"/>
      <c r="N175" s="2663"/>
      <c r="O175" s="2664"/>
      <c r="P175" s="2663"/>
      <c r="Q175" s="2663"/>
      <c r="R175" s="2665"/>
    </row>
    <row r="176" spans="2:18" s="885" customFormat="1">
      <c r="B176" s="2663"/>
      <c r="C176" s="2663"/>
      <c r="D176" s="2663"/>
      <c r="E176" s="2663"/>
      <c r="F176" s="2663"/>
      <c r="G176" s="2664"/>
      <c r="H176" s="2663"/>
      <c r="I176" s="2664"/>
      <c r="J176" s="2663"/>
      <c r="K176" s="2663"/>
      <c r="L176" s="2664"/>
      <c r="M176" s="2663"/>
      <c r="N176" s="2663"/>
      <c r="O176" s="2664"/>
      <c r="P176" s="2663"/>
      <c r="Q176" s="2663"/>
      <c r="R176" s="2665"/>
    </row>
    <row r="177" spans="1:18" s="885" customFormat="1">
      <c r="B177" s="2663"/>
      <c r="C177" s="2663"/>
      <c r="D177" s="2663"/>
      <c r="E177" s="2663"/>
      <c r="F177" s="2663"/>
      <c r="G177" s="2664"/>
      <c r="H177" s="2663"/>
      <c r="I177" s="2664"/>
      <c r="J177" s="2663"/>
      <c r="K177" s="2663"/>
      <c r="L177" s="2664"/>
      <c r="M177" s="2663"/>
      <c r="N177" s="2663"/>
      <c r="O177" s="2664"/>
      <c r="P177" s="2663"/>
      <c r="Q177" s="2663"/>
      <c r="R177" s="2665"/>
    </row>
    <row r="178" spans="1:18" s="885" customFormat="1">
      <c r="B178" s="2663"/>
      <c r="C178" s="2663"/>
      <c r="D178" s="2663"/>
      <c r="E178" s="2663"/>
      <c r="F178" s="2663"/>
      <c r="G178" s="2664"/>
      <c r="H178" s="2663"/>
      <c r="I178" s="2664"/>
      <c r="J178" s="2663"/>
      <c r="K178" s="2663"/>
      <c r="L178" s="2664"/>
      <c r="M178" s="2663"/>
      <c r="N178" s="2663"/>
      <c r="O178" s="2664"/>
      <c r="P178" s="2663"/>
      <c r="Q178" s="2663"/>
      <c r="R178" s="2665"/>
    </row>
    <row r="179" spans="1:18" s="885" customFormat="1">
      <c r="B179" s="2663"/>
      <c r="C179" s="2663"/>
      <c r="D179" s="2663"/>
      <c r="E179" s="2663"/>
      <c r="F179" s="2663"/>
      <c r="G179" s="2664"/>
      <c r="H179" s="2663"/>
      <c r="I179" s="2664"/>
      <c r="J179" s="2663"/>
      <c r="K179" s="2663"/>
      <c r="L179" s="2664"/>
      <c r="M179" s="2663"/>
      <c r="N179" s="2663"/>
      <c r="O179" s="2664"/>
      <c r="P179" s="2663"/>
      <c r="Q179" s="2663"/>
      <c r="R179" s="2665"/>
    </row>
    <row r="180" spans="1:18" s="885" customFormat="1">
      <c r="B180" s="2663"/>
      <c r="C180" s="2663"/>
      <c r="D180" s="2663"/>
      <c r="E180" s="2663"/>
      <c r="F180" s="2663"/>
      <c r="G180" s="2664"/>
      <c r="H180" s="2663"/>
      <c r="I180" s="2664"/>
      <c r="J180" s="2663"/>
      <c r="K180" s="2663"/>
      <c r="L180" s="2664"/>
      <c r="M180" s="2663"/>
      <c r="N180" s="2663"/>
      <c r="O180" s="2664"/>
      <c r="P180" s="2663"/>
      <c r="Q180" s="2663"/>
      <c r="R180" s="2665"/>
    </row>
    <row r="181" spans="1:18" s="885" customFormat="1">
      <c r="B181" s="2663"/>
      <c r="C181" s="2663"/>
      <c r="D181" s="2663"/>
      <c r="E181" s="2663"/>
      <c r="F181" s="2663"/>
      <c r="G181" s="2664"/>
      <c r="H181" s="2663"/>
      <c r="I181" s="2664"/>
      <c r="J181" s="2663"/>
      <c r="K181" s="2663"/>
      <c r="L181" s="2664"/>
      <c r="M181" s="2663"/>
      <c r="N181" s="2663"/>
      <c r="O181" s="2664"/>
      <c r="P181" s="2663"/>
      <c r="Q181" s="2663"/>
      <c r="R181" s="2665"/>
    </row>
    <row r="182" spans="1:18" s="885" customFormat="1">
      <c r="B182" s="2663"/>
      <c r="C182" s="2663"/>
      <c r="D182" s="2663"/>
      <c r="E182" s="2663"/>
      <c r="F182" s="2663"/>
      <c r="G182" s="2664"/>
      <c r="H182" s="2663"/>
      <c r="I182" s="2664"/>
      <c r="J182" s="2663"/>
      <c r="K182" s="2663"/>
      <c r="L182" s="2664"/>
      <c r="M182" s="2663"/>
      <c r="N182" s="2663"/>
      <c r="O182" s="2664"/>
      <c r="P182" s="2663"/>
      <c r="Q182" s="2663"/>
      <c r="R182" s="2665"/>
    </row>
    <row r="183" spans="1:18" s="885" customFormat="1">
      <c r="B183" s="2663"/>
      <c r="C183" s="2663"/>
      <c r="D183" s="2663"/>
      <c r="E183" s="2663"/>
      <c r="F183" s="2663"/>
      <c r="G183" s="2664"/>
      <c r="H183" s="2663"/>
      <c r="I183" s="2664"/>
      <c r="J183" s="2663"/>
      <c r="K183" s="2663"/>
      <c r="L183" s="2664"/>
      <c r="M183" s="2663"/>
      <c r="N183" s="2663"/>
      <c r="O183" s="2664"/>
      <c r="P183" s="2663"/>
      <c r="Q183" s="2663"/>
      <c r="R183" s="2665"/>
    </row>
    <row r="184" spans="1:18" s="885" customFormat="1">
      <c r="B184" s="2663"/>
      <c r="C184" s="2663"/>
      <c r="D184" s="2663"/>
      <c r="E184" s="2663"/>
      <c r="F184" s="2663"/>
      <c r="G184" s="2664"/>
      <c r="H184" s="2663"/>
      <c r="I184" s="2664"/>
      <c r="J184" s="2663"/>
      <c r="K184" s="2663"/>
      <c r="L184" s="2664"/>
      <c r="M184" s="2663"/>
      <c r="N184" s="2663"/>
      <c r="O184" s="2664"/>
      <c r="P184" s="2663"/>
      <c r="Q184" s="2663"/>
      <c r="R184" s="2665"/>
    </row>
    <row r="185" spans="1:18" s="885"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5"/>
      <c r="B186" s="2663"/>
      <c r="C186" s="2663"/>
      <c r="E186" s="2663"/>
      <c r="F186" s="2663"/>
      <c r="G186" s="2664"/>
    </row>
    <row r="187" spans="1:18">
      <c r="A187" s="885"/>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24865.040000000005</v>
      </c>
      <c r="C1" s="2861"/>
      <c r="D1" s="2861"/>
      <c r="E1" s="2861"/>
      <c r="F1" s="2861"/>
      <c r="G1" s="2862"/>
      <c r="H1" s="2863"/>
      <c r="I1" s="2863"/>
      <c r="J1" s="2863"/>
      <c r="K1" s="2863"/>
    </row>
    <row r="2" spans="1:11" ht="16.5">
      <c r="A2" s="2684" t="s">
        <v>1078</v>
      </c>
      <c r="B2" s="2684">
        <f>SUM(C14:C23)</f>
        <v>1899.7</v>
      </c>
      <c r="C2" s="2861"/>
      <c r="D2" s="2861"/>
      <c r="E2" s="2861"/>
      <c r="F2" s="2861"/>
      <c r="G2" s="2862"/>
      <c r="H2" s="2863"/>
      <c r="I2" s="2863"/>
      <c r="J2" s="2863"/>
      <c r="K2" s="2863"/>
    </row>
    <row r="3" spans="1:11" ht="16.5">
      <c r="A3" s="2684" t="s">
        <v>1087</v>
      </c>
      <c r="B3" s="2686">
        <f>项目基本情况!D3</f>
        <v>44805</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127301</v>
      </c>
      <c r="C5" s="2684">
        <f ca="1">ROUND(B5*10000/$B$1,0)</f>
        <v>51197</v>
      </c>
      <c r="D5" s="2684">
        <f ca="1">ROUND(B5*10000/$B$2,0)</f>
        <v>670111</v>
      </c>
      <c r="E5" s="2861"/>
      <c r="F5" s="2862"/>
      <c r="G5" s="2862"/>
      <c r="H5" s="2863"/>
      <c r="I5" s="2863"/>
      <c r="J5" s="2863"/>
      <c r="K5" s="2863"/>
    </row>
    <row r="6" spans="1:11" ht="16.5">
      <c r="A6" s="2684" t="s">
        <v>1081</v>
      </c>
      <c r="B6" s="2684">
        <f ca="1">SUM(G14:G23)</f>
        <v>127301</v>
      </c>
      <c r="C6" s="2684">
        <f ca="1">ROUND(B6*10000/$B$1,0)</f>
        <v>51197</v>
      </c>
      <c r="D6" s="2684">
        <f ca="1">ROUND(B6*10000/$B$2,0)</f>
        <v>670111</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24865.040000000005</v>
      </c>
      <c r="C14" s="2690">
        <f>结果表!C118</f>
        <v>1899.7</v>
      </c>
      <c r="D14" s="2690">
        <f ca="1">典型户型修正!S22</f>
        <v>127301</v>
      </c>
      <c r="E14" s="2690">
        <f ca="1">ROUND(D14*10000/B14,0)</f>
        <v>51197</v>
      </c>
      <c r="F14" s="2690">
        <f ca="1">ROUND(D14*10000/C14,0)</f>
        <v>670111</v>
      </c>
      <c r="G14" s="2690">
        <f ca="1">典型户型修正!S22</f>
        <v>127301</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48"/>
      <c r="H15" s="1448"/>
      <c r="I15" s="2691"/>
      <c r="J15" s="2862"/>
      <c r="K15" s="2863"/>
    </row>
    <row r="16" spans="1:11" ht="16.5">
      <c r="A16" s="2689" t="s">
        <v>1073</v>
      </c>
      <c r="B16" s="2691"/>
      <c r="C16" s="2691"/>
      <c r="D16" s="2691"/>
      <c r="E16" s="2690" t="e">
        <f t="shared" si="0"/>
        <v>#DIV/0!</v>
      </c>
      <c r="F16" s="2690" t="e">
        <f t="shared" si="1"/>
        <v>#DIV/0!</v>
      </c>
      <c r="G16" s="1448"/>
      <c r="H16" s="1448"/>
      <c r="I16" s="2691"/>
      <c r="J16" s="2863"/>
      <c r="K16" s="2863"/>
    </row>
    <row r="17" spans="1:11" ht="16.5">
      <c r="A17" s="2689" t="s">
        <v>1072</v>
      </c>
      <c r="B17" s="2691"/>
      <c r="C17" s="2691"/>
      <c r="D17" s="2691"/>
      <c r="E17" s="2690" t="e">
        <f t="shared" si="0"/>
        <v>#DIV/0!</v>
      </c>
      <c r="F17" s="2690" t="e">
        <f t="shared" si="1"/>
        <v>#DIV/0!</v>
      </c>
      <c r="G17" s="1448"/>
      <c r="H17" s="1448"/>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1706</v>
      </c>
      <c r="B1" s="1880"/>
      <c r="C1" s="1881"/>
      <c r="D1" s="1880"/>
      <c r="E1" s="1880"/>
      <c r="F1" s="1882" t="s">
        <v>1707</v>
      </c>
      <c r="G1" s="1693"/>
      <c r="H1" s="1883" t="str">
        <f>IF(G1="现房","——","估价对象范围")</f>
        <v>估价对象范围</v>
      </c>
      <c r="I1" s="1884"/>
    </row>
    <row r="2" spans="1:12" ht="21.75" customHeight="1" thickBot="1">
      <c r="A2" s="3388" t="str">
        <f>项目基本情况!S2</f>
        <v>北京市房地产</v>
      </c>
      <c r="B2" s="3389"/>
      <c r="C2" s="3389"/>
      <c r="D2" s="3389"/>
      <c r="E2" s="3389"/>
      <c r="F2" s="3389"/>
      <c r="G2" s="3389"/>
      <c r="H2" s="3389"/>
      <c r="I2" s="3390"/>
    </row>
    <row r="3" spans="1:12" ht="12.75">
      <c r="A3" s="3392" t="s">
        <v>1708</v>
      </c>
      <c r="B3" s="3393"/>
      <c r="C3" s="3393"/>
      <c r="D3" s="3393"/>
      <c r="E3" s="3393"/>
      <c r="F3" s="3393"/>
      <c r="G3" s="3393"/>
      <c r="H3" s="3393"/>
      <c r="I3" s="3393"/>
    </row>
    <row r="4" spans="1:12" ht="14.25">
      <c r="A4" s="1887" t="s">
        <v>1709</v>
      </c>
      <c r="B4" s="1888" t="s">
        <v>1710</v>
      </c>
      <c r="C4" s="1889" t="s">
        <v>3224</v>
      </c>
      <c r="D4" s="1889" t="s">
        <v>3220</v>
      </c>
      <c r="E4" s="3394" t="s">
        <v>1711</v>
      </c>
      <c r="F4" s="3395"/>
      <c r="G4" s="3395"/>
      <c r="H4" s="3395"/>
      <c r="I4" s="339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8" t="s">
        <v>1712</v>
      </c>
      <c r="B5" s="3355">
        <v>25</v>
      </c>
      <c r="C5" s="3371"/>
      <c r="D5" s="3391"/>
      <c r="E5" s="135" t="s">
        <v>1713</v>
      </c>
      <c r="F5" s="1890"/>
      <c r="G5" s="1890"/>
      <c r="H5" s="1890"/>
      <c r="I5" s="1504"/>
    </row>
    <row r="6" spans="1:12" ht="12.75">
      <c r="A6" s="3368"/>
      <c r="B6" s="3355"/>
      <c r="C6" s="3372"/>
      <c r="D6" s="3391"/>
      <c r="E6" s="135" t="s">
        <v>1714</v>
      </c>
      <c r="F6" s="1890"/>
      <c r="G6" s="1890"/>
      <c r="H6" s="1890"/>
      <c r="I6" s="1504"/>
    </row>
    <row r="7" spans="1:12" ht="12.75">
      <c r="A7" s="3368"/>
      <c r="B7" s="3355"/>
      <c r="C7" s="3373"/>
      <c r="D7" s="3391"/>
      <c r="E7" s="135" t="s">
        <v>1715</v>
      </c>
      <c r="F7" s="1890"/>
      <c r="G7" s="1890"/>
      <c r="H7" s="1890"/>
      <c r="I7" s="1504"/>
    </row>
    <row r="8" spans="1:12" ht="12.75">
      <c r="A8" s="3368" t="s">
        <v>1716</v>
      </c>
      <c r="B8" s="3355">
        <v>15</v>
      </c>
      <c r="C8" s="3371"/>
      <c r="D8" s="3391"/>
      <c r="E8" s="135" t="s">
        <v>1717</v>
      </c>
      <c r="F8" s="1890"/>
      <c r="G8" s="1890"/>
      <c r="H8" s="1890"/>
      <c r="I8" s="1504"/>
    </row>
    <row r="9" spans="1:12" ht="12.75">
      <c r="A9" s="3368"/>
      <c r="B9" s="3355"/>
      <c r="C9" s="3373"/>
      <c r="D9" s="3391"/>
      <c r="E9" s="135" t="s">
        <v>1718</v>
      </c>
      <c r="F9" s="1890"/>
      <c r="G9" s="1890"/>
      <c r="H9" s="1890"/>
      <c r="I9" s="1504"/>
    </row>
    <row r="10" spans="1:12" ht="12.75">
      <c r="A10" s="3368" t="s">
        <v>1719</v>
      </c>
      <c r="B10" s="3355">
        <v>15</v>
      </c>
      <c r="C10" s="3371"/>
      <c r="D10" s="3391"/>
      <c r="E10" s="135" t="s">
        <v>1720</v>
      </c>
      <c r="F10" s="1890"/>
      <c r="G10" s="1890"/>
      <c r="H10" s="1890"/>
      <c r="I10" s="1504"/>
    </row>
    <row r="11" spans="1:12" ht="12.75">
      <c r="A11" s="3368"/>
      <c r="B11" s="3355"/>
      <c r="C11" s="3373"/>
      <c r="D11" s="3391"/>
      <c r="E11" s="135" t="s">
        <v>1721</v>
      </c>
      <c r="F11" s="1890"/>
      <c r="G11" s="1890"/>
      <c r="H11" s="1890"/>
      <c r="I11" s="1504"/>
    </row>
    <row r="12" spans="1:12" ht="12.75">
      <c r="A12" s="3368" t="s">
        <v>1722</v>
      </c>
      <c r="B12" s="3355">
        <v>15</v>
      </c>
      <c r="C12" s="3371"/>
      <c r="D12" s="3391"/>
      <c r="E12" s="135" t="s">
        <v>1723</v>
      </c>
      <c r="F12" s="1890"/>
      <c r="G12" s="1890"/>
      <c r="H12" s="1890"/>
      <c r="I12" s="1504"/>
    </row>
    <row r="13" spans="1:12" ht="12.75">
      <c r="A13" s="3368"/>
      <c r="B13" s="3355"/>
      <c r="C13" s="3373"/>
      <c r="D13" s="3391"/>
      <c r="E13" s="135" t="s">
        <v>1724</v>
      </c>
      <c r="F13" s="1890"/>
      <c r="G13" s="1890"/>
      <c r="H13" s="1890"/>
      <c r="I13" s="1504"/>
    </row>
    <row r="14" spans="1:12" ht="12.75">
      <c r="A14" s="3368" t="s">
        <v>1725</v>
      </c>
      <c r="B14" s="3355">
        <v>30</v>
      </c>
      <c r="C14" s="3371">
        <v>5</v>
      </c>
      <c r="D14" s="3391">
        <v>5</v>
      </c>
      <c r="E14" s="135" t="s">
        <v>1726</v>
      </c>
      <c r="F14" s="1890"/>
      <c r="G14" s="1890"/>
      <c r="H14" s="1890"/>
      <c r="I14" s="1504"/>
    </row>
    <row r="15" spans="1:12" ht="12.75">
      <c r="A15" s="3368"/>
      <c r="B15" s="3355"/>
      <c r="C15" s="3372"/>
      <c r="D15" s="3391"/>
      <c r="E15" s="135" t="s">
        <v>1727</v>
      </c>
      <c r="F15" s="1890"/>
      <c r="G15" s="1890"/>
      <c r="H15" s="1890"/>
      <c r="I15" s="1504"/>
    </row>
    <row r="16" spans="1:12" ht="12.75">
      <c r="A16" s="3368"/>
      <c r="B16" s="3355"/>
      <c r="C16" s="3373"/>
      <c r="D16" s="3391"/>
      <c r="E16" s="135" t="s">
        <v>1728</v>
      </c>
      <c r="F16" s="1890"/>
      <c r="G16" s="1890"/>
      <c r="H16" s="1890"/>
      <c r="I16" s="1504"/>
    </row>
    <row r="17" spans="1:36" ht="15">
      <c r="A17" s="1891" t="s">
        <v>1729</v>
      </c>
      <c r="B17" s="59"/>
      <c r="C17" s="136">
        <f>SUM(C5:C16)</f>
        <v>5</v>
      </c>
      <c r="D17" s="136">
        <f>SUM(D5:D16)</f>
        <v>5</v>
      </c>
      <c r="E17" s="133"/>
      <c r="F17" s="133"/>
      <c r="G17" s="133"/>
      <c r="H17" s="133"/>
      <c r="I17" s="133"/>
      <c r="K17" s="307"/>
      <c r="L17" s="307" t="s">
        <v>1730</v>
      </c>
      <c r="M17" s="307" t="s">
        <v>1731</v>
      </c>
    </row>
    <row r="18" spans="1:36" ht="31.9" customHeight="1" thickBot="1">
      <c r="A18" s="1892" t="s">
        <v>1732</v>
      </c>
      <c r="B18" s="1893"/>
      <c r="C18" s="137">
        <f>ROUND(C17/SUM(C17:D17),2)</f>
        <v>0.5</v>
      </c>
      <c r="D18" s="137">
        <f>1-C18</f>
        <v>0.5</v>
      </c>
      <c r="E18" s="3378" t="s">
        <v>2630</v>
      </c>
      <c r="F18" s="3379"/>
      <c r="G18" s="3379"/>
      <c r="H18" s="3379"/>
      <c r="I18" s="3379"/>
      <c r="K18" s="307" t="s">
        <v>1733</v>
      </c>
      <c r="L18" s="307">
        <f>IF(C1="",'数据-汇总表'!E3,SUMIF(项目类型,C1,'数据-汇总表'!E17:E26)+SUMIF(项目类型,C1,'数据-汇总表'!I17:I26))</f>
        <v>24865.040000000005</v>
      </c>
      <c r="M18" s="307">
        <f>IF(C1="",'数据-汇总表'!E3,SUMIF(项目类型,C1,'数据-汇总表'!E17:E26))</f>
        <v>24865.040000000005</v>
      </c>
    </row>
    <row r="19" spans="1:36" ht="15">
      <c r="A19" s="1894" t="s">
        <v>1734</v>
      </c>
      <c r="B19" s="1895" t="s">
        <v>1735</v>
      </c>
      <c r="C19" s="138">
        <f ca="1">SUMIF(INDIRECT("'"&amp;C4&amp;"'"&amp;"!A:A"),结果表!B19,INDIRECT("'"&amp;C4&amp;"'"&amp;"!B:B"))</f>
        <v>7215</v>
      </c>
      <c r="D19" s="139">
        <f ca="1">SUMIF(INDIRECT("'"&amp;D4&amp;"'"&amp;"!A:A"),结果表!B19,INDIRECT("'"&amp;D4&amp;"'"&amp;"!B:B"))</f>
        <v>7823</v>
      </c>
      <c r="E19" s="1894" t="s">
        <v>1736</v>
      </c>
      <c r="F19" s="1895" t="s">
        <v>1735</v>
      </c>
      <c r="G19" s="140">
        <f ca="1">ROUND(C19*$C$18+D19*$D$18,0)</f>
        <v>7519</v>
      </c>
      <c r="H19" s="1896" t="s">
        <v>1737</v>
      </c>
      <c r="I19" s="133"/>
      <c r="K19" s="307" t="s">
        <v>1738</v>
      </c>
      <c r="L19" s="307">
        <f>IF(C1="",'数据-汇总表'!D3,SUMIF(项目类型,C1,'数据-汇总表'!D17:D26)+SUMIF(项目类型,C1,'数据-汇总表'!H17:H27))</f>
        <v>1899.7</v>
      </c>
      <c r="M19" s="307">
        <f>IF(C1="",'数据-汇总表'!D3,SUMIF(项目类型,C1,'数据-汇总表'!D17:D26))</f>
        <v>1899.7</v>
      </c>
    </row>
    <row r="20" spans="1:36" ht="15">
      <c r="A20" s="1897"/>
      <c r="B20" s="1134" t="s">
        <v>1739</v>
      </c>
      <c r="C20" s="141">
        <f ca="1">SUMIF(INDIRECT("'"&amp;C4&amp;"'"&amp;"!A:A"),结果表!B20,INDIRECT("'"&amp;C4&amp;"'"&amp;"!B:B"))</f>
        <v>47889</v>
      </c>
      <c r="D20" s="142">
        <f ca="1">SUMIF(INDIRECT("'"&amp;D4&amp;"'"&amp;"!A:A"),结果表!B20,INDIRECT("'"&amp;D4&amp;"'"&amp;"!B:B"))</f>
        <v>51928</v>
      </c>
      <c r="E20" s="1897"/>
      <c r="F20" s="1134" t="s">
        <v>1739</v>
      </c>
      <c r="G20" s="143">
        <f ca="1">ROUND(C20*$C$18+D20*$D$18,0)</f>
        <v>49909</v>
      </c>
      <c r="H20" s="895" t="s">
        <v>1740</v>
      </c>
      <c r="I20" s="133"/>
    </row>
    <row r="21" spans="1:36" ht="15" customHeight="1" thickBot="1">
      <c r="A21" s="915"/>
      <c r="B21" s="1898" t="s">
        <v>1741</v>
      </c>
      <c r="C21" s="725">
        <f ca="1">ROUND(C19*10000/L19,0)</f>
        <v>37980</v>
      </c>
      <c r="D21" s="726">
        <f ca="1">ROUND(D19*10000/L19,0)</f>
        <v>41180</v>
      </c>
      <c r="E21" s="915"/>
      <c r="F21" s="1898" t="s">
        <v>1741</v>
      </c>
      <c r="G21" s="144">
        <f ca="1">ROUND(G19*10000/L19,0)</f>
        <v>39580</v>
      </c>
      <c r="H21" s="1899" t="s">
        <v>1740</v>
      </c>
      <c r="I21" s="133"/>
    </row>
    <row r="22" spans="1:36" ht="15" thickBot="1">
      <c r="A22" s="1821" t="s">
        <v>1742</v>
      </c>
      <c r="B22" s="1900"/>
      <c r="C22" s="1901"/>
      <c r="D22" s="727">
        <f ca="1">IF(C19&lt;D19,D19/C19-1,C19/D19-1)</f>
        <v>8.4268884268884348E-2</v>
      </c>
      <c r="E22" s="133"/>
      <c r="F22" s="133"/>
      <c r="G22" s="133"/>
      <c r="H22" s="133"/>
      <c r="I22" s="133"/>
    </row>
    <row r="23" spans="1:36" ht="13.5" thickBot="1">
      <c r="A23" s="1880"/>
      <c r="B23" s="1880"/>
      <c r="C23" s="1880"/>
      <c r="D23" s="1880"/>
      <c r="E23" s="133"/>
      <c r="F23" s="133"/>
      <c r="G23" s="133"/>
      <c r="H23" s="133"/>
      <c r="I23" s="133"/>
    </row>
    <row r="24" spans="1:36" ht="14.25">
      <c r="A24" s="3362" t="s">
        <v>1743</v>
      </c>
      <c r="B24" s="1895" t="s">
        <v>1735</v>
      </c>
      <c r="C24" s="140">
        <f>IF(B30=0,0,D30)</f>
        <v>0</v>
      </c>
      <c r="D24" s="1902"/>
      <c r="E24" s="133"/>
      <c r="F24" s="133"/>
      <c r="G24" s="133"/>
      <c r="H24" s="133"/>
      <c r="I24" s="133"/>
    </row>
    <row r="25" spans="1:36" ht="14.25">
      <c r="A25" s="3363"/>
      <c r="B25" s="1134" t="s">
        <v>1739</v>
      </c>
      <c r="C25" s="145">
        <f>IF(B30=0,0,C30)</f>
        <v>0</v>
      </c>
      <c r="D25" s="1903"/>
      <c r="E25" s="133"/>
      <c r="F25" s="133"/>
      <c r="G25" s="133"/>
      <c r="H25" s="133"/>
      <c r="I25" s="133"/>
    </row>
    <row r="26" spans="1:36" ht="13.5" customHeight="1">
      <c r="A26" s="1904" t="s">
        <v>1744</v>
      </c>
      <c r="B26" s="146" t="s">
        <v>1745</v>
      </c>
      <c r="C26" s="146" t="s">
        <v>1746</v>
      </c>
      <c r="D26" s="147" t="s">
        <v>1747</v>
      </c>
      <c r="E26" s="133"/>
      <c r="F26" s="133"/>
      <c r="G26" s="133"/>
      <c r="H26" s="133"/>
      <c r="I26" s="133"/>
    </row>
    <row r="27" spans="1:36" ht="14.25">
      <c r="A27" s="1904"/>
      <c r="B27" s="146">
        <v>0</v>
      </c>
      <c r="C27" s="146">
        <v>0</v>
      </c>
      <c r="D27" s="147">
        <f>ROUND(C27*B27/10000,0)</f>
        <v>0</v>
      </c>
      <c r="E27" s="133"/>
      <c r="F27" s="133"/>
      <c r="G27" s="133"/>
      <c r="H27" s="133"/>
      <c r="I27" s="133"/>
    </row>
    <row r="28" spans="1:36" ht="14.25">
      <c r="A28" s="1904"/>
      <c r="B28" s="146"/>
      <c r="C28" s="146"/>
      <c r="D28" s="147"/>
      <c r="E28" s="133"/>
      <c r="F28" s="133"/>
      <c r="G28" s="133"/>
      <c r="H28" s="133"/>
      <c r="I28" s="133"/>
    </row>
    <row r="29" spans="1:36" ht="14.25">
      <c r="A29" s="1904"/>
      <c r="B29" s="146"/>
      <c r="C29" s="146"/>
      <c r="D29" s="147"/>
      <c r="E29" s="133"/>
      <c r="F29" s="133"/>
      <c r="G29" s="133"/>
      <c r="H29" s="133"/>
      <c r="I29" s="133"/>
    </row>
    <row r="30" spans="1:36" ht="15" thickBot="1">
      <c r="A30" s="146" t="s">
        <v>1748</v>
      </c>
      <c r="B30" s="146"/>
      <c r="C30" s="146"/>
      <c r="D30" s="146"/>
      <c r="E30" s="2468" t="s">
        <v>2631</v>
      </c>
      <c r="F30" s="133"/>
      <c r="G30" s="133"/>
      <c r="H30" s="133"/>
      <c r="I30" s="133"/>
    </row>
    <row r="31" spans="1:36" s="2474" customFormat="1" ht="26.45" customHeight="1" thickTop="1" thickBot="1">
      <c r="A31" s="2469"/>
      <c r="B31" s="2470"/>
      <c r="C31" s="2470"/>
      <c r="D31" s="2470"/>
      <c r="E31" s="2470"/>
      <c r="F31" s="2470"/>
      <c r="G31" s="2470"/>
      <c r="H31" s="2470"/>
      <c r="I31" s="2471" t="s">
        <v>2632</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1749</v>
      </c>
      <c r="B32" s="1907"/>
      <c r="C32" s="148">
        <f ca="1">IF(D32="总价",G19-C24,G20-C25)</f>
        <v>49909</v>
      </c>
      <c r="D32" s="1908"/>
      <c r="E32" s="133"/>
      <c r="F32" s="133"/>
      <c r="G32" s="133"/>
      <c r="H32" s="133"/>
      <c r="I32" s="133"/>
    </row>
    <row r="33" spans="1:15" ht="15">
      <c r="A33" s="872" t="s">
        <v>1750</v>
      </c>
      <c r="B33" s="1909"/>
      <c r="C33" s="1910"/>
      <c r="D33" s="1911"/>
      <c r="E33" s="1912" t="s">
        <v>1751</v>
      </c>
      <c r="F33" s="1913" t="str">
        <f>IF(D32="楼面单价","取值（单价）","取值（总价）")</f>
        <v>取值（总价）</v>
      </c>
      <c r="G33" s="133"/>
      <c r="H33" s="133"/>
      <c r="I33" s="133"/>
    </row>
    <row r="34" spans="1:15" ht="15">
      <c r="A34" s="1914"/>
      <c r="B34" s="1915" t="s">
        <v>1752</v>
      </c>
      <c r="C34" s="152" t="e">
        <f ca="1">IF(C33="自定义",F34,C32-C35)</f>
        <v>#REF!</v>
      </c>
      <c r="D34" s="948" t="e">
        <f ca="1">IF(C33="自定义",ROUND(C34/C32,3),IF(C33="收益比率",SUMIF(INDIRECT("'"&amp;D33&amp;"'"&amp;"!b:b"),"土地收益比率",INDIRECT("'"&amp;D33&amp;"'"&amp;"!c:c")),SUMIF(INDIRECT("'"&amp;D33&amp;"'"&amp;"!b:b"),"土地成本比率",INDIRECT("'"&amp;D33&amp;"'"&amp;"!c:c"))))</f>
        <v>#REF!</v>
      </c>
      <c r="E34" s="1916" t="s">
        <v>1753</v>
      </c>
      <c r="F34" s="1447"/>
      <c r="G34" s="133"/>
      <c r="H34" s="133"/>
      <c r="I34" s="133"/>
    </row>
    <row r="35" spans="1:15" ht="15.75" thickBot="1">
      <c r="A35" s="1917"/>
      <c r="B35" s="1918" t="s">
        <v>1754</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919" t="s">
        <v>1755</v>
      </c>
      <c r="F35" s="158"/>
      <c r="G35" s="133"/>
      <c r="H35" s="133"/>
      <c r="I35" s="133"/>
    </row>
    <row r="36" spans="1:15" ht="15.75" thickBot="1">
      <c r="A36" s="3382" t="s">
        <v>1756</v>
      </c>
      <c r="B36" s="1920" t="s">
        <v>1757</v>
      </c>
      <c r="C36" s="149"/>
      <c r="D36" s="1921"/>
      <c r="E36" s="1922"/>
      <c r="F36" s="1923"/>
      <c r="G36" s="133"/>
      <c r="H36" s="133"/>
      <c r="I36" s="133"/>
    </row>
    <row r="37" spans="1:15" ht="15.75" thickBot="1">
      <c r="A37" s="3383"/>
      <c r="B37" s="1807" t="s">
        <v>1758</v>
      </c>
      <c r="C37" s="151"/>
      <c r="D37" s="1250"/>
      <c r="E37" s="1250"/>
      <c r="F37" s="1923"/>
      <c r="G37" s="133"/>
      <c r="H37" s="133"/>
      <c r="I37" s="133"/>
    </row>
    <row r="38" spans="1:15" ht="15.75" thickBot="1">
      <c r="A38" s="3384"/>
      <c r="B38" s="1924" t="s">
        <v>1759</v>
      </c>
      <c r="C38" s="680"/>
      <c r="D38" s="1925" t="s">
        <v>1760</v>
      </c>
      <c r="E38" s="1250"/>
      <c r="F38" s="1923"/>
      <c r="G38" s="133"/>
      <c r="H38" s="133"/>
      <c r="I38" s="133"/>
    </row>
    <row r="39" spans="1:15" ht="15">
      <c r="A39" s="1897" t="s">
        <v>1761</v>
      </c>
      <c r="B39" s="1926" t="s">
        <v>1762</v>
      </c>
      <c r="C39" s="1927" t="s">
        <v>1763</v>
      </c>
      <c r="D39" s="1927" t="s">
        <v>1764</v>
      </c>
      <c r="E39" s="1928" t="s">
        <v>1765</v>
      </c>
      <c r="F39" s="1923"/>
      <c r="G39" s="133"/>
      <c r="H39" s="133"/>
      <c r="I39" s="133"/>
    </row>
    <row r="40" spans="1:15" ht="14.25">
      <c r="A40" s="1929" t="s">
        <v>1766</v>
      </c>
      <c r="B40" s="153"/>
      <c r="C40" s="154"/>
      <c r="D40" s="154"/>
      <c r="E40" s="155"/>
      <c r="F40" s="1923"/>
      <c r="G40" s="133"/>
      <c r="H40" s="133"/>
      <c r="I40" s="133"/>
    </row>
    <row r="41" spans="1:15" ht="14.25">
      <c r="A41" s="1929" t="s">
        <v>1767</v>
      </c>
      <c r="B41" s="153"/>
      <c r="C41" s="154"/>
      <c r="D41" s="154"/>
      <c r="E41" s="155"/>
      <c r="F41" s="1923"/>
      <c r="G41" s="133"/>
      <c r="H41" s="133"/>
      <c r="I41" s="133"/>
    </row>
    <row r="42" spans="1:15" ht="15" thickBot="1">
      <c r="A42" s="1930"/>
      <c r="B42" s="156"/>
      <c r="C42" s="157"/>
      <c r="D42" s="157"/>
      <c r="E42" s="158"/>
      <c r="F42" s="1923"/>
      <c r="G42" s="133"/>
      <c r="H42" s="133"/>
      <c r="I42" s="133"/>
    </row>
    <row r="43" spans="1:15" ht="12.75">
      <c r="A43" s="1709"/>
      <c r="B43" s="1709"/>
      <c r="C43" s="1709"/>
      <c r="D43" s="1709"/>
      <c r="E43" s="1709"/>
      <c r="F43" s="1931"/>
      <c r="G43" s="1931"/>
      <c r="H43" s="1931"/>
      <c r="I43" s="1932"/>
    </row>
    <row r="44" spans="1:15" ht="18.75">
      <c r="A44" s="1933" t="s">
        <v>1768</v>
      </c>
      <c r="B44" s="1934"/>
      <c r="C44" s="1934"/>
      <c r="D44" s="1935"/>
      <c r="E44" s="1935"/>
      <c r="F44" s="1936"/>
      <c r="G44" s="1936"/>
      <c r="H44" s="1936"/>
      <c r="I44" s="1936"/>
      <c r="J44" s="1937" t="s">
        <v>1769</v>
      </c>
      <c r="K44" s="1938"/>
      <c r="L44" s="1938"/>
      <c r="M44" s="1938"/>
      <c r="N44" s="1938"/>
      <c r="O44" s="1938"/>
    </row>
    <row r="45" spans="1:15" ht="14.25" customHeight="1" thickBot="1">
      <c r="A45" s="3359" t="s">
        <v>1770</v>
      </c>
      <c r="B45" s="3360"/>
      <c r="C45" s="3361"/>
      <c r="D45" s="159" t="e">
        <f ca="1">ROUND(H101*F45,0)</f>
        <v>#REF!</v>
      </c>
      <c r="E45" s="160" t="s">
        <v>1771</v>
      </c>
      <c r="F45" s="161">
        <v>1</v>
      </c>
      <c r="G45" s="162" t="s">
        <v>1772</v>
      </c>
      <c r="H45" s="133"/>
      <c r="I45" s="133"/>
      <c r="J45" s="3440" t="s">
        <v>1773</v>
      </c>
      <c r="K45" s="3440"/>
      <c r="L45" s="3440"/>
      <c r="M45" s="3440"/>
      <c r="N45" s="3440"/>
      <c r="O45" s="3440"/>
    </row>
    <row r="46" spans="1:15" ht="14.25" customHeight="1">
      <c r="A46" s="3356" t="s">
        <v>1774</v>
      </c>
      <c r="B46" s="3357"/>
      <c r="C46" s="3357"/>
      <c r="D46" s="3357"/>
      <c r="E46" s="3357"/>
      <c r="F46" s="3357"/>
      <c r="G46" s="3358"/>
      <c r="H46" s="1939"/>
      <c r="I46" s="163"/>
      <c r="J46" s="2695">
        <v>1</v>
      </c>
      <c r="K46" s="3421" t="s">
        <v>1775</v>
      </c>
      <c r="L46" s="3421"/>
      <c r="M46" s="3441"/>
      <c r="N46" s="3441"/>
      <c r="O46" s="3441"/>
    </row>
    <row r="47" spans="1:15" ht="12" customHeight="1">
      <c r="A47" s="164" t="s">
        <v>1776</v>
      </c>
      <c r="B47" s="165"/>
      <c r="C47" s="166"/>
      <c r="D47" s="1196" t="s">
        <v>1777</v>
      </c>
      <c r="E47" s="307" t="s">
        <v>1778</v>
      </c>
      <c r="F47" s="167" t="s">
        <v>1779</v>
      </c>
      <c r="G47" s="2718" t="s">
        <v>1780</v>
      </c>
      <c r="H47" s="2719"/>
      <c r="I47" s="163"/>
      <c r="J47" s="2695">
        <v>2</v>
      </c>
      <c r="K47" s="3421" t="s">
        <v>1781</v>
      </c>
      <c r="L47" s="3421"/>
      <c r="M47" s="3442">
        <f>'数据-取费表'!B2</f>
        <v>44805</v>
      </c>
      <c r="N47" s="3442"/>
      <c r="O47" s="3442"/>
    </row>
    <row r="48" spans="1:15" ht="25.5">
      <c r="A48" s="3387" t="s">
        <v>1782</v>
      </c>
      <c r="B48" s="3370"/>
      <c r="C48" s="3370"/>
      <c r="D48" s="2494" t="b">
        <f>IF(H48="情况1",0,IF(H48="情况2",D52,IF(H48="情况3",D53,IF(H48="情况4",D54))))</f>
        <v>0</v>
      </c>
      <c r="E48" s="2504" t="str">
        <f>IF(H48="情况4","(销售额-原购置价)×税（费）率","销售额×税（费）率")</f>
        <v>销售额×税（费）率</v>
      </c>
      <c r="F48" s="2720">
        <f>IF(H48="情况1","免征",'数据-取费表'!B41)</f>
        <v>5.6000000000000001E-2</v>
      </c>
      <c r="G48" s="2721" t="s">
        <v>1783</v>
      </c>
      <c r="H48" s="2722"/>
      <c r="I48" s="1939"/>
      <c r="J48" s="2695">
        <v>3</v>
      </c>
      <c r="K48" s="3421" t="s">
        <v>1784</v>
      </c>
      <c r="L48" s="3421"/>
      <c r="M48" s="3443" t="e">
        <f ca="1">H101</f>
        <v>#REF!</v>
      </c>
      <c r="N48" s="3443"/>
      <c r="O48" s="3443"/>
    </row>
    <row r="49" spans="1:35" ht="25.5" customHeight="1">
      <c r="A49" s="2503" t="s">
        <v>1785</v>
      </c>
      <c r="B49" s="3354" t="s">
        <v>1786</v>
      </c>
      <c r="C49" s="3354"/>
      <c r="D49" s="1722">
        <v>0</v>
      </c>
      <c r="E49" s="329" t="s">
        <v>1787</v>
      </c>
      <c r="F49" s="2596" t="s">
        <v>34</v>
      </c>
      <c r="G49" s="3427"/>
      <c r="H49" s="2475" t="s">
        <v>2633</v>
      </c>
      <c r="I49" s="2476"/>
      <c r="J49" s="2695">
        <v>4</v>
      </c>
      <c r="K49" s="3421" t="str">
        <f>IF(项目基本情况!E8="房地产抵押价值","房地产抵押价值","抵押担保权已注销时的房地产抵押价值")</f>
        <v>房地产抵押价值</v>
      </c>
      <c r="L49" s="3421"/>
      <c r="M49" s="3443" t="str">
        <f ca="1">IF(项目基本情况!E8="房地产抵押价值",H107,H109)</f>
        <v>——</v>
      </c>
      <c r="N49" s="3443"/>
      <c r="O49" s="3443"/>
    </row>
    <row r="50" spans="1:35" ht="25.5" customHeight="1">
      <c r="A50" s="2723"/>
      <c r="B50" s="3354" t="s">
        <v>1788</v>
      </c>
      <c r="C50" s="3354"/>
      <c r="D50" s="2724"/>
      <c r="E50" s="337"/>
      <c r="F50" s="2596"/>
      <c r="G50" s="3428"/>
      <c r="H50" s="2477" t="s">
        <v>2634</v>
      </c>
      <c r="I50" s="2476"/>
      <c r="J50" s="3440" t="s">
        <v>1789</v>
      </c>
      <c r="K50" s="3440"/>
      <c r="L50" s="3440"/>
      <c r="M50" s="3440"/>
      <c r="N50" s="3440"/>
      <c r="O50" s="3440"/>
    </row>
    <row r="51" spans="1:35" ht="20.45" customHeight="1">
      <c r="A51" s="2725"/>
      <c r="B51" s="3354" t="s">
        <v>1790</v>
      </c>
      <c r="C51" s="3354"/>
      <c r="D51" s="1196"/>
      <c r="E51" s="332"/>
      <c r="F51" s="2596"/>
      <c r="G51" s="3429"/>
      <c r="H51" s="2477" t="s">
        <v>2635</v>
      </c>
      <c r="I51" s="2476"/>
      <c r="J51" s="2696" t="s">
        <v>1791</v>
      </c>
      <c r="K51" s="3421" t="s">
        <v>1792</v>
      </c>
      <c r="L51" s="3421"/>
      <c r="M51" s="2696" t="s">
        <v>1793</v>
      </c>
      <c r="N51" s="2696" t="s">
        <v>1794</v>
      </c>
      <c r="O51" s="2696" t="s">
        <v>1795</v>
      </c>
    </row>
    <row r="52" spans="1:35" ht="24" customHeight="1">
      <c r="A52" s="2505" t="s">
        <v>1796</v>
      </c>
      <c r="B52" s="3354" t="s">
        <v>1797</v>
      </c>
      <c r="C52" s="3354"/>
      <c r="D52" s="1196" t="e">
        <f ca="1">ROUND(D45*'数据-取费表'!B41/(1+'数据-取费表'!C42),0)</f>
        <v>#REF!</v>
      </c>
      <c r="E52" s="2504" t="s">
        <v>1798</v>
      </c>
      <c r="F52" s="2726">
        <f>'数据-取费表'!B41</f>
        <v>5.6000000000000001E-2</v>
      </c>
      <c r="G52" s="2727"/>
      <c r="H52" s="2716"/>
      <c r="I52" s="1940"/>
      <c r="J52" s="2695">
        <v>1</v>
      </c>
      <c r="K52" s="3422" t="s">
        <v>1799</v>
      </c>
      <c r="L52" s="3422"/>
      <c r="M52" s="2697" t="b">
        <f>D48</f>
        <v>0</v>
      </c>
      <c r="N52" s="2695" t="str">
        <f>E48</f>
        <v>销售额×税（费）率</v>
      </c>
      <c r="O52" s="2698">
        <f>F48</f>
        <v>5.6000000000000001E-2</v>
      </c>
    </row>
    <row r="53" spans="1:35" ht="12" customHeight="1">
      <c r="A53" s="2505" t="s">
        <v>1800</v>
      </c>
      <c r="B53" s="3380" t="s">
        <v>2790</v>
      </c>
      <c r="C53" s="3381"/>
      <c r="D53" s="1196" t="e">
        <f ca="1">ROUND(D45*'数据-取费表'!B41/(1+'数据-取费表'!C42),0)</f>
        <v>#REF!</v>
      </c>
      <c r="E53" s="2504" t="s">
        <v>1798</v>
      </c>
      <c r="F53" s="2726">
        <f>'数据-取费表'!B41</f>
        <v>5.6000000000000001E-2</v>
      </c>
      <c r="G53" s="2727"/>
      <c r="H53" s="2716"/>
      <c r="I53" s="1940"/>
      <c r="J53" s="2695">
        <v>2</v>
      </c>
      <c r="K53" s="3422" t="s">
        <v>1801</v>
      </c>
      <c r="L53" s="3422"/>
      <c r="M53" s="2697" t="e">
        <f t="shared" ref="M53:O54" ca="1" si="0">D55</f>
        <v>#REF!</v>
      </c>
      <c r="N53" s="2695" t="str">
        <f t="shared" si="0"/>
        <v>销售额×税（费）率</v>
      </c>
      <c r="O53" s="2698" t="str">
        <f t="shared" si="0"/>
        <v>免征</v>
      </c>
    </row>
    <row r="54" spans="1:35" ht="12" customHeight="1">
      <c r="A54" s="2505" t="s">
        <v>1802</v>
      </c>
      <c r="B54" s="3380" t="s">
        <v>2791</v>
      </c>
      <c r="C54" s="3381"/>
      <c r="D54" s="1196" t="e">
        <f ca="1">C68</f>
        <v>#REF!</v>
      </c>
      <c r="E54" s="332" t="s">
        <v>1803</v>
      </c>
      <c r="F54" s="2726">
        <f>'数据-取费表'!B41</f>
        <v>5.6000000000000001E-2</v>
      </c>
      <c r="G54" s="2727"/>
      <c r="H54" s="2728"/>
      <c r="I54" s="1940"/>
      <c r="J54" s="2695">
        <v>3</v>
      </c>
      <c r="K54" s="3422" t="s">
        <v>1804</v>
      </c>
      <c r="L54" s="3422"/>
      <c r="M54" s="2697" t="e">
        <f t="shared" ca="1" si="0"/>
        <v>#REF!</v>
      </c>
      <c r="N54" s="2695" t="str">
        <f t="shared" si="0"/>
        <v>增值额×税（费）率</v>
      </c>
      <c r="O54" s="2699" t="str">
        <f t="shared" si="0"/>
        <v>免征</v>
      </c>
    </row>
    <row r="55" spans="1:35" ht="24" customHeight="1">
      <c r="A55" s="3369" t="s">
        <v>1805</v>
      </c>
      <c r="B55" s="3370"/>
      <c r="C55" s="3370"/>
      <c r="D55" s="2494" t="e">
        <f ca="1">IF(H55="个人住宅",0,ROUND(D45*I55,0))</f>
        <v>#REF!</v>
      </c>
      <c r="E55" s="2504" t="s">
        <v>1806</v>
      </c>
      <c r="F55" s="2726" t="str">
        <f>IF(H55="正常",I55,"免征")</f>
        <v>免征</v>
      </c>
      <c r="G55" s="2727"/>
      <c r="H55" s="2722"/>
      <c r="I55" s="169">
        <f>'数据-取费表'!B49</f>
        <v>5.0000000000000001E-4</v>
      </c>
      <c r="J55" s="2695">
        <f>IF(H59="非个人房产","",4)</f>
        <v>4</v>
      </c>
      <c r="K55" s="3422" t="str">
        <f>IF(H59="非个人房产","——","个人所得税")</f>
        <v>个人所得税</v>
      </c>
      <c r="L55" s="3422"/>
      <c r="M55" s="2700" t="e">
        <f ca="1">D59</f>
        <v>#REF!</v>
      </c>
      <c r="N55" s="2175" t="str">
        <f>E59</f>
        <v>差额计税</v>
      </c>
      <c r="O55" s="2701">
        <f>F59</f>
        <v>0.01</v>
      </c>
    </row>
    <row r="56" spans="1:35" ht="24.75">
      <c r="A56" s="3369" t="s">
        <v>1807</v>
      </c>
      <c r="B56" s="3370"/>
      <c r="C56" s="3370"/>
      <c r="D56" s="2494" t="e">
        <f ca="1">IF(H56="个人住宅",D57,D58)</f>
        <v>#REF!</v>
      </c>
      <c r="E56" s="2504" t="s">
        <v>1808</v>
      </c>
      <c r="F56" s="2726" t="str">
        <f>IF(H56="正常",F58,"免征")</f>
        <v>免征</v>
      </c>
      <c r="G56" s="2729" t="s">
        <v>1809</v>
      </c>
      <c r="H56" s="2730"/>
      <c r="I56" s="1941"/>
      <c r="J56" s="2695" t="str">
        <f>IF(项目基本情况!K6="上海银行",IF(J55="",4,J55+1),"")</f>
        <v/>
      </c>
      <c r="K56" s="3445" t="str">
        <f>IF(项目基本情况!K6="上海银行","其他处置费用","")</f>
        <v/>
      </c>
      <c r="L56" s="3446"/>
      <c r="M56" s="2697" t="str">
        <f>IF(项目基本情况!K6="上海银行",M69,"")</f>
        <v/>
      </c>
      <c r="N56" s="3445" t="str">
        <f>IF(项目基本情况!K6="上海银行","包含处置中涉及的律师、诉讼、拍卖、评估等费用","")</f>
        <v/>
      </c>
      <c r="O56" s="3448"/>
    </row>
    <row r="57" spans="1:35" ht="12.75">
      <c r="A57" s="2505" t="s">
        <v>1785</v>
      </c>
      <c r="B57" s="3380" t="s">
        <v>1810</v>
      </c>
      <c r="C57" s="3381"/>
      <c r="D57" s="1722">
        <v>0</v>
      </c>
      <c r="E57" s="329" t="s">
        <v>1787</v>
      </c>
      <c r="F57" s="307"/>
      <c r="G57" s="2727"/>
      <c r="H57" s="2731"/>
      <c r="I57" s="1941"/>
      <c r="J57" s="3422">
        <f>IF(AND(J55="",J56=""),4,IF(项目基本情况!K6="上海银行",结果表!J56+1,结果表!J55+1))</f>
        <v>5</v>
      </c>
      <c r="K57" s="3422" t="s">
        <v>1811</v>
      </c>
      <c r="L57" s="2702" t="s">
        <v>1812</v>
      </c>
      <c r="M57" s="2703"/>
      <c r="N57" s="2704">
        <f ca="1">SUMIF(M52:M56,"&lt;9e307")</f>
        <v>0</v>
      </c>
      <c r="O57" s="2705"/>
      <c r="P57" s="2865" t="e">
        <f ca="1">N57/M49</f>
        <v>#VALUE!</v>
      </c>
    </row>
    <row r="58" spans="1:35" ht="24.75">
      <c r="A58" s="2505" t="s">
        <v>1796</v>
      </c>
      <c r="B58" s="3380" t="s">
        <v>1813</v>
      </c>
      <c r="C58" s="3354"/>
      <c r="D58" s="2494" t="e">
        <f ca="1">IF(H58="转让取得",C81,C97)</f>
        <v>#REF!</v>
      </c>
      <c r="E58" s="2504" t="s">
        <v>1808</v>
      </c>
      <c r="F58" s="307" t="s">
        <v>34</v>
      </c>
      <c r="G58" s="2727"/>
      <c r="H58" s="2730"/>
      <c r="I58" s="1941"/>
      <c r="J58" s="3422"/>
      <c r="K58" s="3422"/>
      <c r="L58" s="2702" t="s">
        <v>1814</v>
      </c>
      <c r="M58" s="2706"/>
      <c r="N58" s="2707" t="str">
        <f ca="1">NUMBERSTRING(INT(N57*10000),2)&amp;"元整"</f>
        <v>零元整</v>
      </c>
      <c r="O58" s="2708"/>
    </row>
    <row r="59" spans="1:35" ht="24.75" thickBot="1">
      <c r="A59" s="3425" t="s">
        <v>1815</v>
      </c>
      <c r="B59" s="3426"/>
      <c r="C59" s="3426"/>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79"/>
      <c r="I59" s="2478" t="s">
        <v>2636</v>
      </c>
      <c r="J59" s="3423">
        <f>J57+1</f>
        <v>6</v>
      </c>
      <c r="K59" s="3422" t="s">
        <v>1816</v>
      </c>
      <c r="L59" s="2695" t="s">
        <v>1812</v>
      </c>
      <c r="M59" s="2709"/>
      <c r="N59" s="2710" t="e">
        <f ca="1">M49-N57</f>
        <v>#VALUE!</v>
      </c>
      <c r="O59" s="2711"/>
    </row>
    <row r="60" spans="1:35" ht="12" customHeight="1">
      <c r="A60" s="1942"/>
      <c r="B60" s="1880"/>
      <c r="C60" s="1880"/>
      <c r="D60" s="1880"/>
      <c r="E60" s="1710"/>
      <c r="F60" s="1941"/>
      <c r="G60" s="1941"/>
      <c r="H60" s="1943"/>
      <c r="I60" s="133"/>
      <c r="J60" s="3424"/>
      <c r="K60" s="3422"/>
      <c r="L60" s="2702" t="s">
        <v>1814</v>
      </c>
      <c r="M60" s="2706"/>
      <c r="N60" s="2707" t="e">
        <f ca="1">NUMBERSTRING(INT(N59*10000),2)&amp;"元整"</f>
        <v>#VALUE!</v>
      </c>
      <c r="O60" s="2708"/>
    </row>
    <row r="61" spans="1:35" ht="13.5" thickBot="1">
      <c r="A61" s="3367" t="s">
        <v>1817</v>
      </c>
      <c r="B61" s="3367"/>
      <c r="C61" s="3367"/>
      <c r="D61" s="3367"/>
      <c r="E61" s="3367"/>
      <c r="F61" s="1941"/>
      <c r="G61" s="1941"/>
      <c r="H61" s="1943"/>
      <c r="I61" s="133"/>
      <c r="J61" s="2695">
        <f>J59+1</f>
        <v>7</v>
      </c>
      <c r="K61" s="3422" t="s">
        <v>1818</v>
      </c>
      <c r="L61" s="3422"/>
      <c r="M61" s="2712"/>
      <c r="N61" s="2713" t="e">
        <f ca="1">ROUND(N59*10000/'数据-汇总表'!E3,0)</f>
        <v>#VALUE!</v>
      </c>
      <c r="O61" s="2714"/>
    </row>
    <row r="62" spans="1:35" ht="12.75">
      <c r="A62" s="3385" t="s">
        <v>1819</v>
      </c>
      <c r="B62" s="3386"/>
      <c r="C62" s="2156"/>
      <c r="D62" s="2156" t="s">
        <v>1820</v>
      </c>
      <c r="E62" s="170" t="s">
        <v>1821</v>
      </c>
      <c r="F62" s="1941"/>
      <c r="G62" s="1941"/>
      <c r="H62" s="1943"/>
      <c r="I62" s="133"/>
    </row>
    <row r="63" spans="1:35" ht="12.75">
      <c r="A63" s="177" t="s">
        <v>594</v>
      </c>
      <c r="B63" s="171" t="s">
        <v>1822</v>
      </c>
      <c r="C63" s="2736" t="e">
        <f ca="1">ROUND((C64+C65)/(1+'数据-取费表'!C42),0)</f>
        <v>#REF!</v>
      </c>
      <c r="D63" s="171"/>
      <c r="E63" s="172"/>
      <c r="F63" s="1941"/>
      <c r="G63" s="1941"/>
      <c r="H63" s="1943"/>
      <c r="I63" s="133"/>
      <c r="J63" s="3447" t="s">
        <v>1823</v>
      </c>
      <c r="K63" s="1449" t="s">
        <v>1824</v>
      </c>
      <c r="L63" s="1449" t="e">
        <f ca="1">IF(M49&gt;10000,M49*0.5%,IF(AND(M49&gt;1000,M49&lt;=10000),M49*1%,IF(AND(M49&gt;100,M49&lt;=1000),M49*3%,IF(AND(M49&gt;10,M49&lt;=100),M49*5%,M49*8%))))</f>
        <v>#VALUE!</v>
      </c>
      <c r="M63" s="307" t="e">
        <f ca="1">ROUND(L63,1)</f>
        <v>#VALUE!</v>
      </c>
      <c r="N63" s="2715"/>
      <c r="Z63" s="1885"/>
      <c r="AI63" s="1886"/>
    </row>
    <row r="64" spans="1:35" ht="14.25" customHeight="1">
      <c r="A64" s="173" t="s">
        <v>589</v>
      </c>
      <c r="B64" s="174" t="s">
        <v>1825</v>
      </c>
      <c r="C64" s="2737" t="e">
        <f ca="1">D45</f>
        <v>#REF!</v>
      </c>
      <c r="D64" s="174" t="s">
        <v>32</v>
      </c>
      <c r="E64" s="176"/>
      <c r="F64" s="1941"/>
      <c r="G64" s="1941"/>
      <c r="H64" s="1943"/>
      <c r="I64" s="133"/>
      <c r="J64" s="3447"/>
      <c r="K64" s="1449" t="s">
        <v>1826</v>
      </c>
      <c r="L64" s="144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16" t="s">
        <v>1827</v>
      </c>
      <c r="Z64" s="1885"/>
      <c r="AI64" s="1886"/>
    </row>
    <row r="65" spans="1:35" ht="14.25" customHeight="1">
      <c r="A65" s="173" t="s">
        <v>590</v>
      </c>
      <c r="B65" s="174" t="s">
        <v>1828</v>
      </c>
      <c r="C65" s="2738"/>
      <c r="D65" s="174"/>
      <c r="E65" s="176"/>
      <c r="F65" s="1941"/>
      <c r="G65" s="1941"/>
      <c r="H65" s="1943"/>
      <c r="I65" s="133"/>
      <c r="J65" s="3447"/>
      <c r="K65" s="1449" t="s">
        <v>1829</v>
      </c>
      <c r="L65" s="1449" t="e">
        <f ca="1">IF(M49&gt;1000,M49*0.1%,IF(AND(M49&gt;500,M49&lt;=1000),M49*0.5%,IF(AND(M49&gt;50,M49&lt;=500),M49*1%,IF(AND(M49&gt;1,M49&lt;=50),M49*1.5%))))</f>
        <v>#VALUE!</v>
      </c>
      <c r="M65" s="307" t="e">
        <f t="shared" ca="1" si="1"/>
        <v>#VALUE!</v>
      </c>
      <c r="N65" s="2716" t="s">
        <v>1827</v>
      </c>
      <c r="Z65" s="1885"/>
      <c r="AI65" s="1886"/>
    </row>
    <row r="66" spans="1:35" ht="14.25" customHeight="1">
      <c r="A66" s="177" t="s">
        <v>591</v>
      </c>
      <c r="B66" s="178" t="s">
        <v>1830</v>
      </c>
      <c r="C66" s="2739"/>
      <c r="D66" s="178" t="s">
        <v>32</v>
      </c>
      <c r="E66" s="1456" t="s">
        <v>1096</v>
      </c>
      <c r="F66" s="1941"/>
      <c r="G66" s="1941"/>
      <c r="H66" s="1943"/>
      <c r="I66" s="133"/>
      <c r="J66" s="3447"/>
      <c r="K66" s="1449" t="s">
        <v>1831</v>
      </c>
      <c r="L66" s="1449" t="e">
        <f ca="1">M49*0.5%</f>
        <v>#VALUE!</v>
      </c>
      <c r="M66" s="307" t="e">
        <f ca="1">IF(L66&gt;0.5,0.5,ROUND(L66,0))</f>
        <v>#VALUE!</v>
      </c>
      <c r="N66" s="2716" t="s">
        <v>1832</v>
      </c>
      <c r="Z66" s="1885"/>
      <c r="AI66" s="1886"/>
    </row>
    <row r="67" spans="1:35" ht="14.25" customHeight="1">
      <c r="A67" s="177" t="s">
        <v>592</v>
      </c>
      <c r="B67" s="178" t="s">
        <v>1833</v>
      </c>
      <c r="C67" s="2740" t="e">
        <f ca="1">C63-C66</f>
        <v>#REF!</v>
      </c>
      <c r="D67" s="174" t="s">
        <v>32</v>
      </c>
      <c r="E67" s="176"/>
      <c r="F67" s="1941"/>
      <c r="G67" s="1941"/>
      <c r="H67" s="1943"/>
      <c r="I67" s="133"/>
      <c r="J67" s="3447"/>
      <c r="K67" s="1449" t="s">
        <v>1834</v>
      </c>
      <c r="L67" s="144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15"/>
      <c r="Z67" s="1885"/>
      <c r="AI67" s="1886"/>
    </row>
    <row r="68" spans="1:35" ht="14.25" customHeight="1" thickBot="1">
      <c r="A68" s="180" t="s">
        <v>593</v>
      </c>
      <c r="B68" s="181" t="s">
        <v>1835</v>
      </c>
      <c r="C68" s="2741" t="e">
        <f ca="1">IF(C67&lt;=0,0,ROUND(C67*D68,0))</f>
        <v>#REF!</v>
      </c>
      <c r="D68" s="2742">
        <f>'数据-取费表'!B41</f>
        <v>5.6000000000000001E-2</v>
      </c>
      <c r="E68" s="183"/>
      <c r="F68" s="1941"/>
      <c r="G68" s="1941"/>
      <c r="H68" s="1943"/>
      <c r="I68" s="133"/>
      <c r="J68" s="3447"/>
      <c r="K68" s="1449" t="s">
        <v>1836</v>
      </c>
      <c r="L68" s="1449" t="e">
        <f ca="1">IF(M49&gt;10000,M49*0.5%,IF(AND(M49&gt;5000,M49&lt;=10000),M49*1%,IF(AND(M49&gt;1000,M49&lt;=5000),M49*2%,IF(AND(M49&gt;200,M49&lt;=1000),M49*3%,M49*5%))))</f>
        <v>#VALUE!</v>
      </c>
      <c r="M68" s="307" t="e">
        <f ca="1">ROUND(L68,1)</f>
        <v>#VALUE!</v>
      </c>
      <c r="N68" s="2715"/>
      <c r="Z68" s="1885"/>
      <c r="AI68" s="1886"/>
    </row>
    <row r="69" spans="1:35" s="1905" customFormat="1" ht="16.5" customHeight="1">
      <c r="A69" s="1944"/>
      <c r="B69" s="1945"/>
      <c r="C69" s="1946"/>
      <c r="D69" s="1947"/>
      <c r="E69" s="1948"/>
      <c r="F69" s="1710"/>
      <c r="G69" s="1710"/>
      <c r="H69" s="1709"/>
      <c r="I69" s="1880"/>
      <c r="J69" s="3447"/>
      <c r="K69" s="1449" t="s">
        <v>1837</v>
      </c>
      <c r="L69" s="1449"/>
      <c r="M69" s="307" t="e">
        <f ca="1">ROUND(SUM(M63:M68),0)</f>
        <v>#VALUE!</v>
      </c>
      <c r="N69" s="2717" t="e">
        <f ca="1">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406" t="s">
        <v>1838</v>
      </c>
      <c r="B70" s="3407"/>
      <c r="C70" s="3407"/>
      <c r="D70" s="3407"/>
      <c r="E70" s="3407"/>
      <c r="F70" s="3407"/>
      <c r="G70" s="3407"/>
      <c r="H70" s="3407"/>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385" t="s">
        <v>1819</v>
      </c>
      <c r="B71" s="3386"/>
      <c r="C71" s="2156"/>
      <c r="D71" s="2156" t="s">
        <v>1820</v>
      </c>
      <c r="E71" s="184" t="s">
        <v>1821</v>
      </c>
      <c r="F71" s="185"/>
      <c r="G71" s="185"/>
      <c r="H71" s="186"/>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7" t="s">
        <v>594</v>
      </c>
      <c r="B72" s="178" t="s">
        <v>1839</v>
      </c>
      <c r="C72" s="2740" t="e">
        <f ca="1">ROUND(D45/(1+'数据-取费表'!C42),0)</f>
        <v>#REF!</v>
      </c>
      <c r="D72" s="174" t="s">
        <v>32</v>
      </c>
      <c r="E72" s="2501"/>
      <c r="F72" s="2500"/>
      <c r="G72" s="2500"/>
      <c r="H72" s="187"/>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7" t="s">
        <v>591</v>
      </c>
      <c r="B73" s="167" t="s">
        <v>1840</v>
      </c>
      <c r="C73" s="2740" t="e">
        <f ca="1">C74+C78</f>
        <v>#REF!</v>
      </c>
      <c r="D73" s="174" t="s">
        <v>32</v>
      </c>
      <c r="E73" s="2501"/>
      <c r="F73" s="2500"/>
      <c r="G73" s="2500"/>
      <c r="H73" s="187"/>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3" t="s">
        <v>589</v>
      </c>
      <c r="B74" s="174" t="s">
        <v>1841</v>
      </c>
      <c r="C74" s="174">
        <f>ROUND(IF(G77="2016年5月1日后购买",C75/(1+'数据-取费表'!C42)+C76+C77,C75+C76+C77),0)</f>
        <v>0</v>
      </c>
      <c r="D74" s="174" t="s">
        <v>32</v>
      </c>
      <c r="E74" s="2501"/>
      <c r="F74" s="2500"/>
      <c r="G74" s="2500"/>
      <c r="H74" s="187"/>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3" t="s">
        <v>595</v>
      </c>
      <c r="B75" s="174" t="s">
        <v>1842</v>
      </c>
      <c r="C75" s="2743"/>
      <c r="D75" s="174" t="s">
        <v>32</v>
      </c>
      <c r="E75" s="189" t="s">
        <v>1843</v>
      </c>
      <c r="F75" s="2744"/>
      <c r="G75" s="189" t="s">
        <v>1844</v>
      </c>
      <c r="H75" s="2745"/>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3" t="s">
        <v>596</v>
      </c>
      <c r="B76" s="190" t="s">
        <v>1845</v>
      </c>
      <c r="C76" s="174">
        <f>IF(F75="购房发票",ROUND(C75*H75*D76,0),0)</f>
        <v>0</v>
      </c>
      <c r="D76" s="2746">
        <v>0.05</v>
      </c>
      <c r="E76" s="3380" t="s">
        <v>1846</v>
      </c>
      <c r="F76" s="3354"/>
      <c r="G76" s="3354"/>
      <c r="H76" s="3405"/>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3" t="s">
        <v>597</v>
      </c>
      <c r="B77" s="174" t="s">
        <v>1847</v>
      </c>
      <c r="C77" s="174">
        <f>ROUND(IF(G77="个人住宅",0,IF(G77="2016年5月1日前购买",C75*D77,C75*D77/(1+'数据-取费表'!C42))),0)</f>
        <v>0</v>
      </c>
      <c r="D77" s="2747">
        <f>'数据-取费表'!B48+'数据-取费表'!B49</f>
        <v>3.0499999999999999E-2</v>
      </c>
      <c r="E77" s="2494" t="s">
        <v>1848</v>
      </c>
      <c r="F77" s="191"/>
      <c r="G77" s="1955"/>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3" t="s">
        <v>590</v>
      </c>
      <c r="B78" s="174" t="s">
        <v>1849</v>
      </c>
      <c r="C78" s="2748" t="e">
        <f ca="1">ROUND(D45*D78/(1+'数据-取费表'!C42),0)</f>
        <v>#REF!</v>
      </c>
      <c r="D78" s="2749">
        <f>'数据-取费表'!B43</f>
        <v>6.000000000000001E-3</v>
      </c>
      <c r="E78" s="3364" t="s">
        <v>1850</v>
      </c>
      <c r="F78" s="3365"/>
      <c r="G78" s="3365"/>
      <c r="H78" s="3374"/>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7" t="s">
        <v>598</v>
      </c>
      <c r="B79" s="178" t="s">
        <v>1851</v>
      </c>
      <c r="C79" s="2740" t="e">
        <f ca="1">C72-C73</f>
        <v>#REF!</v>
      </c>
      <c r="D79" s="174" t="s">
        <v>32</v>
      </c>
      <c r="E79" s="2501"/>
      <c r="F79" s="2500"/>
      <c r="G79" s="2500"/>
      <c r="H79" s="187"/>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7" t="s">
        <v>599</v>
      </c>
      <c r="B80" s="178" t="s">
        <v>1852</v>
      </c>
      <c r="C80" s="2750" t="e">
        <f ca="1">IF(C79&lt;=0,0,C79/C73)</f>
        <v>#REF!</v>
      </c>
      <c r="D80" s="174"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7"/>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0" t="s">
        <v>600</v>
      </c>
      <c r="B81" s="181" t="s">
        <v>1853</v>
      </c>
      <c r="C81" s="2751" t="e">
        <f ca="1">ROUND(IF(C79&lt;=0,0,IF(C80&gt;=200%,C79*60%-C73*35%,IF(C80&gt;=100%,C79*50%-C73*15%,IF(C80&gt;=50%,C79*40%-C73*5%,IF(C80&lt;50%,C79*30%,0))))),0)</f>
        <v>#REF!</v>
      </c>
      <c r="D81" s="275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06" t="s">
        <v>1854</v>
      </c>
      <c r="B83" s="3407"/>
      <c r="C83" s="3407"/>
      <c r="D83" s="3407"/>
      <c r="E83" s="3407"/>
      <c r="F83" s="3407"/>
      <c r="G83" s="3407"/>
      <c r="H83" s="3407"/>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385" t="s">
        <v>1819</v>
      </c>
      <c r="B84" s="3386"/>
      <c r="C84" s="2156"/>
      <c r="D84" s="2156" t="s">
        <v>1820</v>
      </c>
      <c r="E84" s="184" t="s">
        <v>1821</v>
      </c>
      <c r="F84" s="185"/>
      <c r="G84" s="185"/>
      <c r="H84" s="196"/>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7" t="s">
        <v>594</v>
      </c>
      <c r="B85" s="178" t="s">
        <v>1839</v>
      </c>
      <c r="C85" s="2740" t="e">
        <f ca="1">ROUND(D45/(1+'数据-取费表'!C42),0)</f>
        <v>#REF!</v>
      </c>
      <c r="D85" s="174" t="s">
        <v>32</v>
      </c>
      <c r="E85" s="2501"/>
      <c r="F85" s="2500"/>
      <c r="G85" s="2500"/>
      <c r="H85" s="197"/>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7" t="s">
        <v>591</v>
      </c>
      <c r="B86" s="167" t="s">
        <v>1840</v>
      </c>
      <c r="C86" s="2740" t="e">
        <f ca="1">IF(H88="仅含出让金",C87+C90+C91+C92+C93+C94,C87+C91+C92+C93+C94)</f>
        <v>#REF!</v>
      </c>
      <c r="D86" s="2753"/>
      <c r="E86" s="2501"/>
      <c r="F86" s="2500"/>
      <c r="G86" s="2500"/>
      <c r="H86" s="197"/>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3" t="s">
        <v>589</v>
      </c>
      <c r="B87" s="174" t="s">
        <v>1855</v>
      </c>
      <c r="C87" s="2748">
        <f>C88+C89</f>
        <v>0</v>
      </c>
      <c r="D87" s="2749"/>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3" t="s">
        <v>595</v>
      </c>
      <c r="B88" s="174" t="s">
        <v>1856</v>
      </c>
      <c r="C88" s="2754"/>
      <c r="D88" s="2749"/>
      <c r="E88" s="198" t="s">
        <v>1857</v>
      </c>
      <c r="F88" s="2497"/>
      <c r="G88" s="199" t="s">
        <v>1858</v>
      </c>
      <c r="H88" s="1957"/>
      <c r="I88" s="1954"/>
      <c r="J88" s="2693" t="s">
        <v>2787</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3" t="s">
        <v>596</v>
      </c>
      <c r="B89" s="174" t="s">
        <v>1847</v>
      </c>
      <c r="C89" s="2748">
        <f>ROUND(C88*D89,0)</f>
        <v>0</v>
      </c>
      <c r="D89" s="2749">
        <f>'数据-取费表'!B48+'数据-取费表'!B49</f>
        <v>3.0499999999999999E-2</v>
      </c>
      <c r="E89" s="198" t="s">
        <v>1859</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3" t="s">
        <v>590</v>
      </c>
      <c r="B90" s="174" t="s">
        <v>1860</v>
      </c>
      <c r="C90" s="2754"/>
      <c r="D90" s="2749"/>
      <c r="E90" s="198" t="str">
        <f>IF(H88="-","土地取得成本中已包含该笔费用"," ")</f>
        <v xml:space="preserve"> </v>
      </c>
      <c r="F90" s="2497"/>
      <c r="G90" s="3449" t="s">
        <v>2628</v>
      </c>
      <c r="H90" s="3450"/>
      <c r="I90" s="1954"/>
      <c r="J90" s="2693" t="s">
        <v>2788</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3" t="s">
        <v>1861</v>
      </c>
      <c r="B91" s="174" t="s">
        <v>1862</v>
      </c>
      <c r="C91" s="2748">
        <f>IF(H91="——",成本法!C33,I91)</f>
        <v>0</v>
      </c>
      <c r="D91" s="2749"/>
      <c r="E91" s="3364" t="s">
        <v>1863</v>
      </c>
      <c r="F91" s="3365"/>
      <c r="G91" s="3365"/>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3" t="s">
        <v>1864</v>
      </c>
      <c r="B92" s="174" t="s">
        <v>1865</v>
      </c>
      <c r="C92" s="2748">
        <f>ROUND((C87+C90+C91)*D92,0)</f>
        <v>0</v>
      </c>
      <c r="D92" s="2755"/>
      <c r="E92" s="3364" t="s">
        <v>1866</v>
      </c>
      <c r="F92" s="3365"/>
      <c r="G92" s="3365"/>
      <c r="H92" s="3374"/>
      <c r="I92" s="1954"/>
      <c r="J92" s="2694" t="s">
        <v>2789</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3" t="s">
        <v>1867</v>
      </c>
      <c r="B93" s="174" t="s">
        <v>1849</v>
      </c>
      <c r="C93" s="2748" t="e">
        <f ca="1">ROUND(D45*D93/(1+'数据-取费表'!C42),0)</f>
        <v>#REF!</v>
      </c>
      <c r="D93" s="2749">
        <f>'数据-取费表'!B43</f>
        <v>6.000000000000001E-3</v>
      </c>
      <c r="E93" s="3364" t="s">
        <v>1850</v>
      </c>
      <c r="F93" s="3365"/>
      <c r="G93" s="3365"/>
      <c r="H93" s="3374"/>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3" t="s">
        <v>1868</v>
      </c>
      <c r="B94" s="174" t="s">
        <v>1869</v>
      </c>
      <c r="C94" s="2754">
        <f>ROUND((C87+C90+C91)*D94,0)</f>
        <v>0</v>
      </c>
      <c r="D94" s="2749">
        <v>0.2</v>
      </c>
      <c r="E94" s="3375" t="s">
        <v>1870</v>
      </c>
      <c r="F94" s="3376"/>
      <c r="G94" s="3376"/>
      <c r="H94" s="3377"/>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7" t="s">
        <v>598</v>
      </c>
      <c r="B95" s="178" t="s">
        <v>1851</v>
      </c>
      <c r="C95" s="2740" t="e">
        <f ca="1">ROUND(C85-C86,0)</f>
        <v>#REF!</v>
      </c>
      <c r="D95" s="174" t="s">
        <v>32</v>
      </c>
      <c r="E95" s="2501"/>
      <c r="F95" s="2500"/>
      <c r="G95" s="2500"/>
      <c r="H95" s="197"/>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7" t="s">
        <v>599</v>
      </c>
      <c r="B96" s="178" t="s">
        <v>1852</v>
      </c>
      <c r="C96" s="2750" t="e">
        <f ca="1">IF(C95&lt;=0,0,C95/C86)</f>
        <v>#REF!</v>
      </c>
      <c r="D96" s="174"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7"/>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0" t="s">
        <v>600</v>
      </c>
      <c r="B97" s="181" t="s">
        <v>1853</v>
      </c>
      <c r="C97" s="2751" t="e">
        <f ca="1">ROUND(IF(C95&lt;=0,0,IF(C96&gt;=200%,C95*60%-C86*35%,IF(C96&gt;=100%,C95*50%-C86*15%,IF(C96&gt;=50%,C95*40%-C86*5%,IF(C96&lt;50%,C95*30%,0))))),0)</f>
        <v>#REF!</v>
      </c>
      <c r="D97" s="275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3"/>
    </row>
    <row r="99" spans="1:35" ht="21.75" customHeight="1" thickBot="1">
      <c r="A99" s="1933" t="s">
        <v>1871</v>
      </c>
      <c r="B99" s="1880"/>
      <c r="C99" s="1880"/>
      <c r="D99" s="1880"/>
      <c r="E99" s="1710"/>
      <c r="F99" s="1710"/>
      <c r="G99" s="1710"/>
      <c r="H99" s="1709"/>
      <c r="I99" s="133"/>
    </row>
    <row r="100" spans="1:35" ht="18.75" customHeight="1">
      <c r="A100" s="3348" t="s">
        <v>1872</v>
      </c>
      <c r="B100" s="3349"/>
      <c r="C100" s="3349"/>
      <c r="D100" s="3366"/>
      <c r="E100" s="3349" t="s">
        <v>1873</v>
      </c>
      <c r="F100" s="3349"/>
      <c r="G100" s="3349"/>
      <c r="H100" s="3366"/>
      <c r="I100" s="133"/>
    </row>
    <row r="101" spans="1:35" ht="18.75" customHeight="1">
      <c r="A101" s="3430" t="s">
        <v>1874</v>
      </c>
      <c r="B101" s="3431"/>
      <c r="C101" s="2757" t="str">
        <f>C4</f>
        <v>比较法-办公</v>
      </c>
      <c r="D101" s="2758" t="str">
        <f>D4</f>
        <v>收益法-办公</v>
      </c>
      <c r="E101" s="3444" t="s">
        <v>1875</v>
      </c>
      <c r="F101" s="3398"/>
      <c r="G101" s="1960" t="s">
        <v>1876</v>
      </c>
      <c r="H101" s="2767" t="e">
        <f ca="1">H118</f>
        <v>#REF!</v>
      </c>
      <c r="I101" s="133"/>
    </row>
    <row r="102" spans="1:35" ht="18.75" customHeight="1">
      <c r="A102" s="3400" t="s">
        <v>1877</v>
      </c>
      <c r="B102" s="2756" t="s">
        <v>1876</v>
      </c>
      <c r="C102" s="2757">
        <f ca="1">C19</f>
        <v>7215</v>
      </c>
      <c r="D102" s="2758">
        <f ca="1">D19</f>
        <v>7823</v>
      </c>
      <c r="E102" s="3444"/>
      <c r="F102" s="3398"/>
      <c r="G102" s="1960" t="s">
        <v>1878</v>
      </c>
      <c r="H102" s="2727" t="e">
        <f ca="1">I118</f>
        <v>#REF!</v>
      </c>
      <c r="I102" s="133"/>
    </row>
    <row r="103" spans="1:35" ht="42.75" customHeight="1">
      <c r="A103" s="3400"/>
      <c r="B103" s="2756" t="s">
        <v>1878</v>
      </c>
      <c r="C103" s="2759">
        <f ca="1">C20</f>
        <v>47889</v>
      </c>
      <c r="D103" s="2760">
        <f ca="1">D20</f>
        <v>51928</v>
      </c>
      <c r="E103" s="3438" t="s">
        <v>1879</v>
      </c>
      <c r="F103" s="3439"/>
      <c r="G103" s="1961" t="s">
        <v>1880</v>
      </c>
      <c r="H103" s="2767">
        <f>IF(D36="正常操作",H104+H105+H106,H105+H106)</f>
        <v>0</v>
      </c>
      <c r="I103" s="133"/>
    </row>
    <row r="104" spans="1:35" ht="18.75" customHeight="1">
      <c r="A104" s="3400" t="s">
        <v>1881</v>
      </c>
      <c r="B104" s="2761" t="s">
        <v>1876</v>
      </c>
      <c r="C104" s="2762" t="e">
        <f ca="1">H118</f>
        <v>#REF!</v>
      </c>
      <c r="D104" s="2763"/>
      <c r="E104" s="1807" t="s">
        <v>1882</v>
      </c>
      <c r="F104" s="1798"/>
      <c r="G104" s="1961" t="s">
        <v>1880</v>
      </c>
      <c r="H104" s="2768">
        <f>IF(D36="同一抵押权人同一抵押物续贷",C36&amp;"（续贷，未扣减，详见特别提示）",C36)</f>
        <v>0</v>
      </c>
      <c r="I104" s="133"/>
    </row>
    <row r="105" spans="1:35" ht="18.75" customHeight="1" thickBot="1">
      <c r="A105" s="3401"/>
      <c r="B105" s="2764" t="s">
        <v>1878</v>
      </c>
      <c r="C105" s="2765" t="e">
        <f ca="1">I118</f>
        <v>#REF!</v>
      </c>
      <c r="D105" s="2766"/>
      <c r="E105" s="1807" t="s">
        <v>1883</v>
      </c>
      <c r="F105" s="1798"/>
      <c r="G105" s="1961" t="s">
        <v>1880</v>
      </c>
      <c r="H105" s="2769">
        <f>C37</f>
        <v>0</v>
      </c>
      <c r="I105" s="133"/>
    </row>
    <row r="106" spans="1:35" ht="18.75" customHeight="1">
      <c r="A106" s="1880" t="s">
        <v>1884</v>
      </c>
      <c r="B106" s="1880"/>
      <c r="C106" s="1880"/>
      <c r="D106" s="1880"/>
      <c r="E106" s="1962" t="s">
        <v>1885</v>
      </c>
      <c r="F106" s="1798"/>
      <c r="G106" s="1961" t="s">
        <v>1880</v>
      </c>
      <c r="H106" s="2769">
        <f>C38</f>
        <v>0</v>
      </c>
      <c r="I106" s="133"/>
    </row>
    <row r="107" spans="1:35" ht="18.75" customHeight="1">
      <c r="A107" s="133"/>
      <c r="B107" s="133"/>
      <c r="C107" s="133"/>
      <c r="D107" s="133"/>
      <c r="E107" s="3397" t="str">
        <f>IF(项目基本情况!E8="已注销","——","3.房地产抵押价值")</f>
        <v>3.房地产抵押价值</v>
      </c>
      <c r="F107" s="3398"/>
      <c r="G107" s="1960" t="s">
        <v>1876</v>
      </c>
      <c r="H107" s="2767" t="e">
        <f ca="1">IF(E107="——","——",H101-H103)</f>
        <v>#REF!</v>
      </c>
      <c r="I107" s="133"/>
    </row>
    <row r="108" spans="1:35" ht="18.75" customHeight="1">
      <c r="A108" s="133"/>
      <c r="B108" s="133"/>
      <c r="C108" s="133"/>
      <c r="D108" s="133"/>
      <c r="E108" s="3397"/>
      <c r="F108" s="3398"/>
      <c r="G108" s="1960" t="s">
        <v>1878</v>
      </c>
      <c r="H108" s="2727" t="e">
        <f ca="1">ROUND(H107*10000/'数据-汇总表'!E3,0)</f>
        <v>#REF!</v>
      </c>
      <c r="I108" s="133"/>
    </row>
    <row r="109" spans="1:35" ht="18.75" customHeight="1">
      <c r="A109" s="133"/>
      <c r="B109" s="133"/>
      <c r="C109" s="133"/>
      <c r="D109" s="133"/>
      <c r="E109" s="3397" t="str">
        <f>IF(项目基本情况!E8="已注销及未注销","4.抵押担保权已注销时的房地产抵押价值",IF(项目基本情况!E8="已注销","3.抵押担保权已注销时的房地产抵押价值","——"))</f>
        <v>——</v>
      </c>
      <c r="F109" s="3398"/>
      <c r="G109" s="1960" t="s">
        <v>1876</v>
      </c>
      <c r="H109" s="2770" t="str">
        <f>IF(E109="——","——",H101-H105-H106)</f>
        <v>——</v>
      </c>
      <c r="I109" s="133"/>
    </row>
    <row r="110" spans="1:35" ht="18.75" customHeight="1">
      <c r="A110" s="133"/>
      <c r="B110" s="133"/>
      <c r="C110" s="133"/>
      <c r="D110" s="133"/>
      <c r="E110" s="3397"/>
      <c r="F110" s="3398"/>
      <c r="G110" s="1960" t="s">
        <v>1878</v>
      </c>
      <c r="H110" s="2727" t="str">
        <f>IF(H109="——","——",ROUND(H109*10000/'数据-汇总表'!E3,0))</f>
        <v>——</v>
      </c>
      <c r="I110" s="133"/>
    </row>
    <row r="111" spans="1:35" ht="18.75" customHeight="1">
      <c r="A111" s="133"/>
      <c r="B111" s="133"/>
      <c r="C111" s="133"/>
      <c r="D111" s="133"/>
      <c r="E111" s="3432" t="str">
        <f>IF(项目基本情况!E9="抵押净值",IF(OR(项目基本情况!E8="已注销",项目基本情况!E8="房地产抵押价值"),"4.抵押净值","5.抵押净值"),"——")</f>
        <v>——</v>
      </c>
      <c r="F111" s="3399"/>
      <c r="G111" s="1960" t="s">
        <v>1876</v>
      </c>
      <c r="H111" s="2767" t="str">
        <f>IF(E111="——","——",N59)</f>
        <v>——</v>
      </c>
      <c r="I111" s="133"/>
    </row>
    <row r="112" spans="1:35" ht="18.75" customHeight="1" thickBot="1">
      <c r="A112" s="133"/>
      <c r="B112" s="133"/>
      <c r="C112" s="133"/>
      <c r="D112" s="133"/>
      <c r="E112" s="3433"/>
      <c r="F112" s="3434"/>
      <c r="G112" s="1963" t="s">
        <v>1878</v>
      </c>
      <c r="H112" s="2771" t="str">
        <f>IF(E111="——","——",N61)</f>
        <v>——</v>
      </c>
      <c r="I112" s="133"/>
    </row>
    <row r="113" spans="1:27" ht="18.75" customHeight="1">
      <c r="A113" s="133"/>
      <c r="B113" s="133"/>
      <c r="C113" s="133"/>
      <c r="D113" s="133"/>
      <c r="E113" s="3402" t="s">
        <v>1884</v>
      </c>
      <c r="F113" s="3402"/>
      <c r="G113" s="3402"/>
      <c r="H113" s="3402"/>
      <c r="I113" s="133"/>
    </row>
    <row r="114" spans="1:27" ht="3.75" customHeight="1">
      <c r="A114" s="1880"/>
      <c r="B114" s="1880"/>
      <c r="C114" s="1880"/>
      <c r="D114" s="1880"/>
      <c r="E114" s="1942"/>
      <c r="F114" s="1942"/>
      <c r="G114" s="1942"/>
      <c r="H114" s="1942"/>
      <c r="I114" s="1880"/>
    </row>
    <row r="115" spans="1:27" ht="18.75" customHeight="1">
      <c r="A115" s="3415" t="s">
        <v>1886</v>
      </c>
      <c r="B115" s="3416"/>
      <c r="C115" s="3416"/>
      <c r="D115" s="3416"/>
      <c r="E115" s="3416"/>
      <c r="F115" s="3416"/>
      <c r="G115" s="3416"/>
      <c r="H115" s="3416"/>
      <c r="I115" s="3417"/>
    </row>
    <row r="116" spans="1:27" ht="27" customHeight="1">
      <c r="A116" s="3368" t="s">
        <v>1887</v>
      </c>
      <c r="B116" s="3403" t="s">
        <v>1888</v>
      </c>
      <c r="C116" s="3403" t="s">
        <v>1889</v>
      </c>
      <c r="D116" s="3419" t="s">
        <v>1890</v>
      </c>
      <c r="E116" s="3420"/>
      <c r="F116" s="3411" t="s">
        <v>1891</v>
      </c>
      <c r="G116" s="3411"/>
      <c r="H116" s="3368" t="s">
        <v>1892</v>
      </c>
      <c r="I116" s="3368"/>
    </row>
    <row r="117" spans="1:27" ht="18.75" customHeight="1">
      <c r="A117" s="3368"/>
      <c r="B117" s="3404"/>
      <c r="C117" s="3404"/>
      <c r="D117" s="2499" t="s">
        <v>1893</v>
      </c>
      <c r="E117" s="2499" t="s">
        <v>1894</v>
      </c>
      <c r="F117" s="2499" t="s">
        <v>1893</v>
      </c>
      <c r="G117" s="2499" t="s">
        <v>1895</v>
      </c>
      <c r="H117" s="2499" t="s">
        <v>1893</v>
      </c>
      <c r="I117" s="2499" t="s">
        <v>1895</v>
      </c>
    </row>
    <row r="118" spans="1:27" ht="24.75" customHeight="1">
      <c r="A118" s="2772" t="str">
        <f>项目基本情况!S2</f>
        <v>北京市房地产</v>
      </c>
      <c r="B118" s="2499">
        <f>M18</f>
        <v>24865.040000000005</v>
      </c>
      <c r="C118" s="2499">
        <f>M19</f>
        <v>1899.7</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368" t="s">
        <v>1896</v>
      </c>
      <c r="B119" s="3368"/>
      <c r="C119" s="3368"/>
      <c r="D119" s="3408" t="e">
        <f ca="1">NUMBERSTRING(INT(D118*10000),2)&amp;"元整"</f>
        <v>#REF!</v>
      </c>
      <c r="E119" s="3410"/>
      <c r="F119" s="3408" t="e">
        <f ca="1">NUMBERSTRING(INT(F118*10000),2)&amp;"元整"</f>
        <v>#REF!</v>
      </c>
      <c r="G119" s="3410"/>
      <c r="H119" s="3408" t="e">
        <f ca="1">NUMBERSTRING(INT(H118*10000),2)&amp;"元整"</f>
        <v>#REF!</v>
      </c>
      <c r="I119" s="3410"/>
    </row>
    <row r="120" spans="1:27" ht="18.75" customHeight="1">
      <c r="A120" s="3435" t="str">
        <f>IF(项目基本情况!B9="房地产市场价值","",MID(E103,3,LEN(E103)-2))</f>
        <v>估价师知悉的法定优先受偿款</v>
      </c>
      <c r="B120" s="3436"/>
      <c r="C120" s="3437"/>
      <c r="D120" s="3435">
        <f>H103</f>
        <v>0</v>
      </c>
      <c r="E120" s="3436"/>
      <c r="F120" s="3436"/>
      <c r="G120" s="3436"/>
      <c r="H120" s="3436"/>
      <c r="I120" s="343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12" t="s">
        <v>1896</v>
      </c>
      <c r="B121" s="3413"/>
      <c r="C121" s="3414"/>
      <c r="D121" s="3408" t="str">
        <f>IF(D120=0,"零元整",NUMBERSTRING(INT(D120*10000),2)&amp;"元整")</f>
        <v>零元整</v>
      </c>
      <c r="E121" s="3409"/>
      <c r="F121" s="3409"/>
      <c r="G121" s="3409"/>
      <c r="H121" s="3409"/>
      <c r="I121" s="3410"/>
      <c r="AA121" s="731"/>
    </row>
    <row r="122" spans="1:27" ht="18.75" customHeight="1">
      <c r="A122" s="3399" t="str">
        <f>IF(项目基本情况!B9="房地产市场价值","",MID(E107,3,LEN(E107)-2))</f>
        <v>房地产抵押价值</v>
      </c>
      <c r="B122" s="3399"/>
      <c r="C122" s="3399"/>
      <c r="D122" s="3435" t="e">
        <f ca="1">H107</f>
        <v>#REF!</v>
      </c>
      <c r="E122" s="3436"/>
      <c r="F122" s="3436"/>
      <c r="G122" s="3436"/>
      <c r="H122" s="3436"/>
      <c r="I122" s="3437"/>
      <c r="AA122" s="731"/>
    </row>
    <row r="123" spans="1:27" ht="18.75" customHeight="1">
      <c r="A123" s="3368" t="s">
        <v>1896</v>
      </c>
      <c r="B123" s="3368"/>
      <c r="C123" s="3368"/>
      <c r="D123" s="3408" t="e">
        <f ca="1">NUMBERSTRING(INT(D122*10000),2)&amp;"元整"</f>
        <v>#REF!</v>
      </c>
      <c r="E123" s="3409"/>
      <c r="F123" s="3409"/>
      <c r="G123" s="3409"/>
      <c r="H123" s="3409"/>
      <c r="I123" s="3410"/>
      <c r="AA123" s="731"/>
    </row>
    <row r="124" spans="1:27" ht="18.75" customHeight="1">
      <c r="A124" s="3399" t="str">
        <f>IF(项目基本情况!B9="房地产市场价值","",MID(E109,3,LEN(E109)-2))</f>
        <v/>
      </c>
      <c r="B124" s="3399"/>
      <c r="C124" s="3399"/>
      <c r="D124" s="3435" t="str">
        <f>H109</f>
        <v>——</v>
      </c>
      <c r="E124" s="3436"/>
      <c r="F124" s="3436"/>
      <c r="G124" s="3436"/>
      <c r="H124" s="3436"/>
      <c r="I124" s="3437"/>
      <c r="AA124" s="731"/>
    </row>
    <row r="125" spans="1:27" ht="18.75" customHeight="1">
      <c r="A125" s="3368" t="s">
        <v>1896</v>
      </c>
      <c r="B125" s="3368"/>
      <c r="C125" s="3368"/>
      <c r="D125" s="3408" t="e">
        <f>NUMBERSTRING(INT(D124*10000),2)&amp;"元整"</f>
        <v>#VALUE!</v>
      </c>
      <c r="E125" s="3409"/>
      <c r="F125" s="3409"/>
      <c r="G125" s="3409"/>
      <c r="H125" s="3409"/>
      <c r="I125" s="3410"/>
      <c r="AA125" s="731"/>
    </row>
    <row r="126" spans="1:27" ht="18.75" customHeight="1">
      <c r="A126" s="3399" t="str">
        <f>IF(项目基本情况!B9="房地产市场价值","",MID(E111,3,LEN(E111)-2))</f>
        <v/>
      </c>
      <c r="B126" s="3399"/>
      <c r="C126" s="3399"/>
      <c r="D126" s="3435" t="str">
        <f>H111</f>
        <v>——</v>
      </c>
      <c r="E126" s="3436"/>
      <c r="F126" s="3436"/>
      <c r="G126" s="3436"/>
      <c r="H126" s="3436"/>
      <c r="I126" s="3437"/>
      <c r="AA126" s="731"/>
    </row>
    <row r="127" spans="1:27" ht="18.75" customHeight="1">
      <c r="A127" s="3368" t="s">
        <v>1896</v>
      </c>
      <c r="B127" s="3368"/>
      <c r="C127" s="3368"/>
      <c r="D127" s="3408" t="e">
        <f>NUMBERSTRING(INT(D126*10000),2)&amp;"元整"</f>
        <v>#VALUE!</v>
      </c>
      <c r="E127" s="3409"/>
      <c r="F127" s="3409"/>
      <c r="G127" s="3409"/>
      <c r="H127" s="3409"/>
      <c r="I127" s="3410"/>
      <c r="AA127" s="731"/>
    </row>
    <row r="128" spans="1:27" ht="21.75" customHeight="1">
      <c r="A128" s="3418" t="s">
        <v>1897</v>
      </c>
      <c r="B128" s="3418"/>
      <c r="C128" s="3418"/>
      <c r="D128" s="3418"/>
      <c r="E128" s="3418"/>
      <c r="F128" s="3418"/>
      <c r="G128" s="3418"/>
      <c r="H128" s="3418"/>
      <c r="I128" s="3418"/>
      <c r="AA128" s="731"/>
    </row>
    <row r="129" spans="1:35" ht="21.75" customHeight="1">
      <c r="A129" s="1964" t="s">
        <v>1898</v>
      </c>
      <c r="B129" s="1965"/>
      <c r="C129" s="1966" t="s">
        <v>1899</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1900</v>
      </c>
      <c r="G135" s="1981"/>
      <c r="H135" s="1981"/>
      <c r="I135" s="1982" t="s">
        <v>1901</v>
      </c>
    </row>
    <row r="136" spans="1:35" ht="21.75" customHeight="1">
      <c r="A136" s="731"/>
      <c r="B136" s="1983"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1903</v>
      </c>
    </row>
    <row r="139" spans="1:35" ht="21.75" customHeight="1">
      <c r="A139" s="731"/>
      <c r="B139" s="1983" t="s">
        <v>1904</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1903</v>
      </c>
    </row>
    <row r="142" spans="1:35" ht="21.75" customHeight="1">
      <c r="A142" s="731"/>
      <c r="B142" s="1983"/>
      <c r="C142" s="1984"/>
      <c r="D142" s="1985"/>
      <c r="E142" s="1985"/>
      <c r="F142" s="1874"/>
      <c r="G142" s="731"/>
      <c r="H142" s="731"/>
      <c r="I142" s="731"/>
    </row>
    <row r="143" spans="1:35" s="134"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I46" sqref="I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2265</v>
      </c>
      <c r="C1" s="1341" t="s">
        <v>2109</v>
      </c>
      <c r="D1" s="1342" t="s">
        <v>27</v>
      </c>
      <c r="E1" s="1351"/>
      <c r="F1" s="2012" t="s">
        <v>3264</v>
      </c>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f>IF(C2="——",ROUND(C50*D3/10000,0),ROUND(C50*D3/10000,0)-D2)</f>
        <v>7215</v>
      </c>
      <c r="C2" s="2014" t="s">
        <v>70</v>
      </c>
      <c r="D2" s="1224" t="e">
        <f ca="1">SUMIF(INDIRECT("'"&amp;F2&amp;"'"&amp;"!A:A"),"承租人权益价值",INDIRECT("'"&amp;F2&amp;"'"&amp;"!c:c"))</f>
        <v>#REF!</v>
      </c>
      <c r="E2" s="2015" t="s">
        <v>1907</v>
      </c>
      <c r="F2" s="2016"/>
      <c r="G2" s="1017"/>
      <c r="H2" s="1017"/>
      <c r="I2" s="1017"/>
      <c r="J2" s="1017"/>
      <c r="K2" s="1017"/>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47889</v>
      </c>
      <c r="C3" s="359" t="s">
        <v>2223</v>
      </c>
      <c r="D3" s="358">
        <f>IF(D1="",'数据-汇总表'!E3,SUMIF('数据-汇总表'!$C19:$C33,D1,'数据-汇总表'!$E19:$E33))</f>
        <v>1506.52</v>
      </c>
      <c r="E3" s="2087"/>
      <c r="F3" s="1018"/>
      <c r="G3" s="1017"/>
      <c r="H3" s="1017"/>
      <c r="I3" s="1017"/>
      <c r="J3" s="1017"/>
      <c r="K3" s="1019"/>
      <c r="L3" s="2909"/>
      <c r="M3" s="2910"/>
      <c r="N3" s="2910"/>
      <c r="O3" s="2910"/>
      <c r="P3" s="705"/>
      <c r="Q3" s="705"/>
      <c r="R3" s="705"/>
      <c r="S3" s="705"/>
      <c r="T3" s="705"/>
      <c r="U3" s="705"/>
      <c r="V3" s="705"/>
      <c r="W3" s="705"/>
      <c r="X3" s="705"/>
      <c r="Y3" s="705"/>
      <c r="Z3" s="705"/>
      <c r="AA3" s="705"/>
      <c r="AB3" s="705"/>
      <c r="AC3" s="706"/>
    </row>
    <row r="4" spans="1:29" ht="15">
      <c r="A4" s="360" t="s">
        <v>2224</v>
      </c>
      <c r="B4" s="361"/>
      <c r="C4" s="3469" t="s">
        <v>2225</v>
      </c>
      <c r="D4" s="3470"/>
      <c r="E4" s="3471" t="s">
        <v>2226</v>
      </c>
      <c r="F4" s="3472"/>
      <c r="G4" s="3469" t="s">
        <v>2227</v>
      </c>
      <c r="H4" s="3470"/>
      <c r="I4" s="3469" t="s">
        <v>2228</v>
      </c>
      <c r="J4" s="3470"/>
      <c r="K4" s="566" t="s">
        <v>2229</v>
      </c>
      <c r="L4" s="2890"/>
      <c r="M4" s="2891"/>
      <c r="N4" s="2891"/>
      <c r="O4" s="2891"/>
      <c r="P4" s="3473" t="s">
        <v>2230</v>
      </c>
      <c r="Q4" s="3474"/>
      <c r="R4" s="3479" t="s">
        <v>2226</v>
      </c>
      <c r="S4" s="3480"/>
      <c r="T4" s="3479" t="s">
        <v>2227</v>
      </c>
      <c r="U4" s="3480"/>
      <c r="V4" s="3485" t="s">
        <v>2228</v>
      </c>
      <c r="W4" s="3485"/>
      <c r="X4" s="2091"/>
      <c r="Y4" s="3479" t="s">
        <v>2230</v>
      </c>
      <c r="Z4" s="3480"/>
      <c r="AA4" s="3498" t="s">
        <v>2226</v>
      </c>
      <c r="AB4" s="3498" t="s">
        <v>2227</v>
      </c>
      <c r="AC4" s="3466" t="s">
        <v>2228</v>
      </c>
    </row>
    <row r="5" spans="1:29" ht="15">
      <c r="A5" s="363"/>
      <c r="B5" s="364"/>
      <c r="C5" s="3495" t="s">
        <v>2121</v>
      </c>
      <c r="D5" s="3490"/>
      <c r="E5" s="3501" t="s">
        <v>3259</v>
      </c>
      <c r="F5" s="3502"/>
      <c r="G5" s="3489" t="s">
        <v>3271</v>
      </c>
      <c r="H5" s="3490"/>
      <c r="I5" s="3489" t="s">
        <v>3260</v>
      </c>
      <c r="J5" s="3490"/>
      <c r="K5" s="566"/>
      <c r="L5" s="2890"/>
      <c r="M5" s="2891"/>
      <c r="N5" s="2891"/>
      <c r="O5" s="2891"/>
      <c r="P5" s="3475"/>
      <c r="Q5" s="3476"/>
      <c r="R5" s="3481"/>
      <c r="S5" s="3482"/>
      <c r="T5" s="3481"/>
      <c r="U5" s="3482"/>
      <c r="V5" s="3486"/>
      <c r="W5" s="3486"/>
      <c r="X5" s="1486"/>
      <c r="Y5" s="3481"/>
      <c r="Z5" s="3482"/>
      <c r="AA5" s="3499"/>
      <c r="AB5" s="3499"/>
      <c r="AC5" s="3467"/>
    </row>
    <row r="6" spans="1:29" ht="15.75" thickBot="1">
      <c r="A6" s="365"/>
      <c r="B6" s="366"/>
      <c r="C6" s="3487" t="s">
        <v>2125</v>
      </c>
      <c r="D6" s="3488"/>
      <c r="E6" s="3496" t="s">
        <v>2125</v>
      </c>
      <c r="F6" s="3497"/>
      <c r="G6" s="3487" t="s">
        <v>2125</v>
      </c>
      <c r="H6" s="3488"/>
      <c r="I6" s="3487" t="s">
        <v>2125</v>
      </c>
      <c r="J6" s="3488"/>
      <c r="K6" s="566" t="s">
        <v>2126</v>
      </c>
      <c r="L6" s="2890"/>
      <c r="M6" s="2891"/>
      <c r="N6" s="2891"/>
      <c r="O6" s="2891"/>
      <c r="P6" s="3477"/>
      <c r="Q6" s="3478"/>
      <c r="R6" s="3481"/>
      <c r="S6" s="3482"/>
      <c r="T6" s="3483"/>
      <c r="U6" s="3484"/>
      <c r="V6" s="3486"/>
      <c r="W6" s="3486"/>
      <c r="X6" s="1486"/>
      <c r="Y6" s="3483"/>
      <c r="Z6" s="3484"/>
      <c r="AA6" s="3500"/>
      <c r="AB6" s="3500"/>
      <c r="AC6" s="3468"/>
    </row>
    <row r="7" spans="1:29" s="112" customFormat="1" ht="15.75" thickBot="1">
      <c r="A7" s="367" t="s">
        <v>2127</v>
      </c>
      <c r="B7" s="368"/>
      <c r="C7" s="369">
        <f>'数据-取费表'!B2</f>
        <v>44805</v>
      </c>
      <c r="D7" s="370">
        <v>100</v>
      </c>
      <c r="E7" s="371">
        <v>44805</v>
      </c>
      <c r="F7" s="372">
        <f>SUMIF(59:59,YEAR(E7)&amp;"-"&amp;MONTH(E7),60:60)</f>
        <v>100</v>
      </c>
      <c r="G7" s="371">
        <f>E7</f>
        <v>44805</v>
      </c>
      <c r="H7" s="370">
        <f>SUMIF(59:59,YEAR(G7)&amp;"-"&amp;MONTH(G7),60:60)</f>
        <v>100</v>
      </c>
      <c r="I7" s="371">
        <f>G7</f>
        <v>44805</v>
      </c>
      <c r="J7" s="370">
        <f>SUMIF(59:59,YEAR(I7)&amp;"-"&amp;MONTH(I7),60:60)</f>
        <v>100</v>
      </c>
      <c r="K7" s="567"/>
      <c r="L7" s="2892"/>
      <c r="M7" s="2893"/>
      <c r="N7" s="2893"/>
      <c r="O7" s="2893"/>
      <c r="P7" s="3491" t="s">
        <v>2128</v>
      </c>
      <c r="Q7" s="3494"/>
      <c r="R7" s="707" t="s">
        <v>17</v>
      </c>
      <c r="S7" s="708">
        <f t="shared" ref="S7:S15" si="0">F7</f>
        <v>100</v>
      </c>
      <c r="T7" s="707" t="s">
        <v>17</v>
      </c>
      <c r="U7" s="708">
        <f t="shared" ref="U7:U15" si="1">H7</f>
        <v>100</v>
      </c>
      <c r="V7" s="707" t="s">
        <v>17</v>
      </c>
      <c r="W7" s="708">
        <f t="shared" ref="W7:W15" si="2">J7</f>
        <v>100</v>
      </c>
      <c r="X7" s="709"/>
      <c r="Y7" s="3493" t="s">
        <v>2128</v>
      </c>
      <c r="Z7" s="3492"/>
      <c r="AA7" s="710">
        <f>D7/F7</f>
        <v>1</v>
      </c>
      <c r="AB7" s="710">
        <f>D7/H7</f>
        <v>1</v>
      </c>
      <c r="AC7" s="2092">
        <f>D7/J7</f>
        <v>1</v>
      </c>
    </row>
    <row r="8" spans="1:29" s="112" customFormat="1" ht="15.75" thickBot="1">
      <c r="A8" s="367" t="s">
        <v>2129</v>
      </c>
      <c r="B8" s="368"/>
      <c r="C8" s="373" t="s">
        <v>2231</v>
      </c>
      <c r="D8" s="370">
        <v>100</v>
      </c>
      <c r="E8" s="373" t="s">
        <v>3247</v>
      </c>
      <c r="F8" s="372">
        <f>SUMIF(62:62,E8,63:63)-SUMIF(62:62,C8,63:63)+100</f>
        <v>100</v>
      </c>
      <c r="G8" s="373" t="s">
        <v>3247</v>
      </c>
      <c r="H8" s="370">
        <f>SUMIF(62:62,G8,63:63)-SUMIF(62:62,C8,63:63)+100</f>
        <v>100</v>
      </c>
      <c r="I8" s="373" t="s">
        <v>3247</v>
      </c>
      <c r="J8" s="370">
        <f>SUMIF(62:62,I8,63:63)-SUMIF(62:62,C8,63:63)+100</f>
        <v>100</v>
      </c>
      <c r="K8" s="567"/>
      <c r="L8" s="2892"/>
      <c r="M8" s="2893"/>
      <c r="N8" s="2893"/>
      <c r="O8" s="2893"/>
      <c r="P8" s="3491" t="s">
        <v>2131</v>
      </c>
      <c r="Q8" s="3492"/>
      <c r="R8" s="707" t="s">
        <v>17</v>
      </c>
      <c r="S8" s="708">
        <f t="shared" si="0"/>
        <v>100</v>
      </c>
      <c r="T8" s="707" t="s">
        <v>17</v>
      </c>
      <c r="U8" s="708">
        <f t="shared" si="1"/>
        <v>100</v>
      </c>
      <c r="V8" s="707" t="s">
        <v>17</v>
      </c>
      <c r="W8" s="708">
        <f t="shared" si="2"/>
        <v>100</v>
      </c>
      <c r="X8" s="709"/>
      <c r="Y8" s="3493" t="s">
        <v>2131</v>
      </c>
      <c r="Z8" s="3492"/>
      <c r="AA8" s="710">
        <f t="shared" ref="AA8:AA47" si="3">D8/F8</f>
        <v>1</v>
      </c>
      <c r="AB8" s="710">
        <f t="shared" ref="AB8:AB47" si="4">D8/H8</f>
        <v>1</v>
      </c>
      <c r="AC8" s="2092">
        <f t="shared" ref="AC8:AC47" si="5">D8/J8</f>
        <v>1</v>
      </c>
    </row>
    <row r="9" spans="1:29" s="112" customFormat="1">
      <c r="A9" s="374" t="s">
        <v>2132</v>
      </c>
      <c r="B9" s="66" t="s">
        <v>2133</v>
      </c>
      <c r="C9" s="3253" t="s">
        <v>3245</v>
      </c>
      <c r="D9" s="130">
        <v>100</v>
      </c>
      <c r="E9" s="378" t="s">
        <v>27</v>
      </c>
      <c r="F9" s="130">
        <f>SUMIF(64:64,E9,65:65)-SUMIF(64:64,C9,65:65)+100</f>
        <v>100</v>
      </c>
      <c r="G9" s="378" t="s">
        <v>27</v>
      </c>
      <c r="H9" s="130">
        <f>SUMIF(64:64,G9,65:65)-SUMIF(64:64,C9,65:65)+100</f>
        <v>100</v>
      </c>
      <c r="I9" s="378" t="s">
        <v>27</v>
      </c>
      <c r="J9" s="130">
        <f>SUMIF(64:64,I9,65:65)-SUMIF(64:64,C9,65:65)+100</f>
        <v>100</v>
      </c>
      <c r="K9" s="567"/>
      <c r="L9" s="2892"/>
      <c r="M9" s="2893"/>
      <c r="N9" s="2893"/>
      <c r="O9" s="2893"/>
      <c r="P9" s="3451"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2092">
        <f t="shared" si="5"/>
        <v>1</v>
      </c>
    </row>
    <row r="10" spans="1:29" s="385" customFormat="1" ht="27">
      <c r="A10" s="379"/>
      <c r="B10" s="380" t="s">
        <v>2136</v>
      </c>
      <c r="C10" s="381" t="s">
        <v>3246</v>
      </c>
      <c r="D10" s="131">
        <v>100</v>
      </c>
      <c r="E10" s="381" t="s">
        <v>3246</v>
      </c>
      <c r="F10" s="131">
        <f>SUMIF(66:66,E10,67:67)-SUMIF(66:66,C10,67:67)+100</f>
        <v>100</v>
      </c>
      <c r="G10" s="381" t="s">
        <v>3246</v>
      </c>
      <c r="H10" s="131">
        <f>SUMIF(66:66,G10,67:67)-SUMIF(66:66,C10,67:67)+100</f>
        <v>100</v>
      </c>
      <c r="I10" s="381" t="s">
        <v>3246</v>
      </c>
      <c r="J10" s="131">
        <f>SUMIF(66:66,I10,67:67)-SUMIF(66:66,C10,67:67)+100</f>
        <v>100</v>
      </c>
      <c r="K10" s="568"/>
      <c r="L10" s="2894"/>
      <c r="M10" s="2895"/>
      <c r="N10" s="2895"/>
      <c r="O10" s="2895"/>
      <c r="P10" s="3451"/>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2092">
        <f t="shared" si="5"/>
        <v>1</v>
      </c>
    </row>
    <row r="11" spans="1:29" ht="15">
      <c r="A11" s="386"/>
      <c r="B11" s="380" t="s">
        <v>2137</v>
      </c>
      <c r="C11" s="387"/>
      <c r="D11" s="131">
        <v>100</v>
      </c>
      <c r="E11" s="387"/>
      <c r="F11" s="131">
        <f>LOOKUP(E11,69:69,70:70)-LOOKUP(C11,69:69,70:70)+100</f>
        <v>100</v>
      </c>
      <c r="G11" s="388"/>
      <c r="H11" s="131">
        <f>LOOKUP(G11,69:69,70:70)-LOOKUP(C11,69:69,70:70)+100</f>
        <v>100</v>
      </c>
      <c r="I11" s="387"/>
      <c r="J11" s="131">
        <f>LOOKUP(I11,69:69,70:70)-LOOKUP(C11,69:69,70:70)+100</f>
        <v>100</v>
      </c>
      <c r="K11" s="568"/>
      <c r="L11" s="2896"/>
      <c r="M11" s="2891"/>
      <c r="N11" s="2891"/>
      <c r="O11" s="2891"/>
      <c r="P11" s="3451"/>
      <c r="Q11" s="1474" t="str">
        <f t="shared" si="6"/>
        <v>容积率</v>
      </c>
      <c r="R11" s="707" t="s">
        <v>17</v>
      </c>
      <c r="S11" s="708">
        <f t="shared" si="0"/>
        <v>100</v>
      </c>
      <c r="T11" s="707" t="s">
        <v>17</v>
      </c>
      <c r="U11" s="708">
        <f t="shared" si="1"/>
        <v>100</v>
      </c>
      <c r="V11" s="707" t="s">
        <v>17</v>
      </c>
      <c r="W11" s="708">
        <f t="shared" si="2"/>
        <v>100</v>
      </c>
      <c r="X11" s="709"/>
      <c r="Y11" s="3355"/>
      <c r="Z11" s="54" t="str">
        <f t="shared" si="7"/>
        <v>容积率</v>
      </c>
      <c r="AA11" s="710">
        <f t="shared" si="3"/>
        <v>1</v>
      </c>
      <c r="AB11" s="710">
        <f t="shared" si="4"/>
        <v>1</v>
      </c>
      <c r="AC11" s="2092">
        <f t="shared" si="5"/>
        <v>1</v>
      </c>
    </row>
    <row r="12" spans="1:29" s="112" customFormat="1" ht="15">
      <c r="A12" s="389"/>
      <c r="B12" s="2026">
        <v>111</v>
      </c>
      <c r="C12" s="390"/>
      <c r="D12" s="391">
        <v>100</v>
      </c>
      <c r="E12" s="390"/>
      <c r="F12" s="131">
        <f>SUMIF(71:71,E12,72:72)-SUMIF(71:71,C12,72:72)+100</f>
        <v>100</v>
      </c>
      <c r="G12" s="2093"/>
      <c r="H12" s="131">
        <f>SUMIF(71:71,G12,72:72)-SUMIF(71:71,C12,72:72)+100</f>
        <v>100</v>
      </c>
      <c r="I12" s="390"/>
      <c r="J12" s="131">
        <f>SUMIF(71:71,I12,72:72)-SUMIF(71:71,C12,72:72)+100</f>
        <v>100</v>
      </c>
      <c r="K12" s="569"/>
      <c r="L12" s="2892"/>
      <c r="M12" s="2893"/>
      <c r="N12" s="2893"/>
      <c r="O12" s="2893"/>
      <c r="P12" s="3451"/>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2092">
        <f>D12/J12</f>
        <v>1</v>
      </c>
    </row>
    <row r="13" spans="1:29" ht="15">
      <c r="A13" s="386"/>
      <c r="B13" s="2026">
        <v>111</v>
      </c>
      <c r="C13" s="392"/>
      <c r="D13" s="393">
        <v>100</v>
      </c>
      <c r="E13" s="390"/>
      <c r="F13" s="131">
        <f>SUMIF(73:73,E13,74:74)-SUMIF(73:73,C13,74:74)+100</f>
        <v>100</v>
      </c>
      <c r="G13" s="2093"/>
      <c r="H13" s="393">
        <f>SUMIF(73:73,G13,74:74)-SUMIF(73:73,C13,74:74)+100</f>
        <v>100</v>
      </c>
      <c r="I13" s="390"/>
      <c r="J13" s="393">
        <f>SUMIF(73:73,I13,74:74)-SUMIF(73:73,C13,74:74)+100</f>
        <v>100</v>
      </c>
      <c r="K13" s="569"/>
      <c r="L13" s="2897"/>
      <c r="M13" s="2891"/>
      <c r="N13" s="2891"/>
      <c r="O13" s="2891"/>
      <c r="P13" s="3451"/>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2092">
        <f t="shared" si="5"/>
        <v>1</v>
      </c>
    </row>
    <row r="14" spans="1:29" ht="15.75" thickBot="1">
      <c r="A14" s="394"/>
      <c r="B14" s="2028">
        <v>111</v>
      </c>
      <c r="C14" s="395"/>
      <c r="D14" s="396">
        <v>100</v>
      </c>
      <c r="E14" s="583"/>
      <c r="F14" s="396">
        <f>SUMIF(75:75,E14,76:76)-SUMIF(75:75,C14,76:76)+100</f>
        <v>100</v>
      </c>
      <c r="G14" s="2093"/>
      <c r="H14" s="396">
        <f>SUMIF(75:75,G14,76:76)-SUMIF(75:75,C14,76:76)+100</f>
        <v>100</v>
      </c>
      <c r="I14" s="390"/>
      <c r="J14" s="396">
        <f>SUMIF(75:75,I14,76:76)-SUMIF(75:75,C14,76:76)+100</f>
        <v>100</v>
      </c>
      <c r="K14" s="569"/>
      <c r="L14" s="2897"/>
      <c r="M14" s="2891"/>
      <c r="N14" s="2891"/>
      <c r="O14" s="2891"/>
      <c r="P14" s="3451"/>
      <c r="Q14" s="1474">
        <f t="shared" si="6"/>
        <v>111</v>
      </c>
      <c r="R14" s="707" t="s">
        <v>17</v>
      </c>
      <c r="S14" s="708">
        <f t="shared" si="0"/>
        <v>100</v>
      </c>
      <c r="T14" s="707" t="s">
        <v>17</v>
      </c>
      <c r="U14" s="708">
        <f t="shared" si="1"/>
        <v>100</v>
      </c>
      <c r="V14" s="707" t="s">
        <v>17</v>
      </c>
      <c r="W14" s="708">
        <f t="shared" si="2"/>
        <v>100</v>
      </c>
      <c r="X14" s="709"/>
      <c r="Y14" s="3355"/>
      <c r="Z14" s="54">
        <f t="shared" si="7"/>
        <v>111</v>
      </c>
      <c r="AA14" s="710">
        <f t="shared" si="3"/>
        <v>1</v>
      </c>
      <c r="AB14" s="710">
        <f t="shared" si="4"/>
        <v>1</v>
      </c>
      <c r="AC14" s="2092">
        <f t="shared" si="5"/>
        <v>1</v>
      </c>
    </row>
    <row r="15" spans="1:29" ht="71.25">
      <c r="A15" s="398" t="s">
        <v>2138</v>
      </c>
      <c r="B15" s="584" t="s">
        <v>2266</v>
      </c>
      <c r="C15" s="2094" t="str">
        <f>估价对象房地状况!C5</f>
        <v>估价对象位于XX商圈，周边办公楼项目较多，入驻率高，办公集聚程度较好</v>
      </c>
      <c r="D15" s="399">
        <v>100</v>
      </c>
      <c r="E15" s="402"/>
      <c r="F15" s="399">
        <f>SUMIF(77:77,E16,78:78)-SUMIF(77:77,C16,78:78)+100</f>
        <v>95</v>
      </c>
      <c r="G15" s="400"/>
      <c r="H15" s="399">
        <f>SUMIF(77:77,G16,78:78)-SUMIF(77:77,C16,78:78)+100</f>
        <v>100</v>
      </c>
      <c r="I15" s="400"/>
      <c r="J15" s="399">
        <f>SUMIF(77:77,I16,78:78)-SUMIF(77:77,C16,78:78)+100</f>
        <v>95</v>
      </c>
      <c r="K15" s="570">
        <v>5</v>
      </c>
      <c r="L15" s="2897"/>
      <c r="M15" s="2891"/>
      <c r="N15" s="2891"/>
      <c r="O15" s="2891"/>
      <c r="P15" s="3457" t="s">
        <v>2139</v>
      </c>
      <c r="Q15" s="1483" t="str">
        <f t="shared" si="6"/>
        <v>办公集聚程度</v>
      </c>
      <c r="R15" s="711" t="s">
        <v>17</v>
      </c>
      <c r="S15" s="712">
        <f t="shared" si="0"/>
        <v>95</v>
      </c>
      <c r="T15" s="711" t="s">
        <v>17</v>
      </c>
      <c r="U15" s="712">
        <f t="shared" si="1"/>
        <v>100</v>
      </c>
      <c r="V15" s="711" t="s">
        <v>17</v>
      </c>
      <c r="W15" s="712">
        <f t="shared" si="2"/>
        <v>95</v>
      </c>
      <c r="X15" s="1486"/>
      <c r="Y15" s="3459" t="s">
        <v>2139</v>
      </c>
      <c r="Z15" s="1487" t="str">
        <f t="shared" si="7"/>
        <v>办公集聚程度</v>
      </c>
      <c r="AA15" s="1484">
        <f t="shared" si="3"/>
        <v>1.0526315789473684</v>
      </c>
      <c r="AB15" s="1484">
        <f t="shared" si="4"/>
        <v>1</v>
      </c>
      <c r="AC15" s="2095">
        <f t="shared" si="5"/>
        <v>1.0526315789473684</v>
      </c>
    </row>
    <row r="16" spans="1:29" ht="15">
      <c r="A16" s="386"/>
      <c r="B16" s="585"/>
      <c r="C16" s="2037" t="s">
        <v>3267</v>
      </c>
      <c r="D16" s="406"/>
      <c r="E16" s="2037" t="s">
        <v>3248</v>
      </c>
      <c r="F16" s="406"/>
      <c r="G16" s="2037" t="s">
        <v>3267</v>
      </c>
      <c r="H16" s="408"/>
      <c r="I16" s="2037" t="s">
        <v>3248</v>
      </c>
      <c r="J16" s="406"/>
      <c r="K16" s="571"/>
      <c r="L16" s="2897"/>
      <c r="M16" s="2891"/>
      <c r="N16" s="2891"/>
      <c r="O16" s="2891"/>
      <c r="P16" s="3458"/>
      <c r="Q16" s="1483"/>
      <c r="R16" s="711"/>
      <c r="S16" s="712"/>
      <c r="T16" s="711"/>
      <c r="U16" s="712"/>
      <c r="V16" s="711"/>
      <c r="W16" s="712"/>
      <c r="X16" s="1486"/>
      <c r="Y16" s="3460"/>
      <c r="Z16" s="1487"/>
      <c r="AA16" s="1484">
        <v>1</v>
      </c>
      <c r="AB16" s="1484">
        <v>1</v>
      </c>
      <c r="AC16" s="2095">
        <v>1</v>
      </c>
    </row>
    <row r="17" spans="1:29" ht="71.25">
      <c r="A17" s="386"/>
      <c r="B17" s="586" t="s">
        <v>1703</v>
      </c>
      <c r="C17" s="209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897"/>
      <c r="M17" s="2891"/>
      <c r="N17" s="2891"/>
      <c r="O17" s="2891"/>
      <c r="P17" s="3458"/>
      <c r="Q17" s="1483" t="str">
        <f>B17</f>
        <v>交通便捷度</v>
      </c>
      <c r="R17" s="711" t="s">
        <v>17</v>
      </c>
      <c r="S17" s="712">
        <f>F17</f>
        <v>100</v>
      </c>
      <c r="T17" s="711" t="s">
        <v>17</v>
      </c>
      <c r="U17" s="712">
        <f>H17</f>
        <v>100</v>
      </c>
      <c r="V17" s="711" t="s">
        <v>17</v>
      </c>
      <c r="W17" s="712">
        <f>J17</f>
        <v>100</v>
      </c>
      <c r="X17" s="1486"/>
      <c r="Y17" s="3460"/>
      <c r="Z17" s="1487" t="str">
        <f>Q17</f>
        <v>交通便捷度</v>
      </c>
      <c r="AA17" s="1484">
        <f t="shared" si="3"/>
        <v>1</v>
      </c>
      <c r="AB17" s="1484">
        <f t="shared" si="4"/>
        <v>1</v>
      </c>
      <c r="AC17" s="2095">
        <f t="shared" si="5"/>
        <v>1</v>
      </c>
    </row>
    <row r="18" spans="1:29" ht="15">
      <c r="A18" s="386"/>
      <c r="B18" s="587"/>
      <c r="C18" s="2037" t="s">
        <v>3248</v>
      </c>
      <c r="D18" s="408"/>
      <c r="E18" s="2037" t="s">
        <v>3248</v>
      </c>
      <c r="F18" s="408"/>
      <c r="G18" s="2037" t="s">
        <v>3248</v>
      </c>
      <c r="H18" s="406"/>
      <c r="I18" s="2037" t="s">
        <v>3248</v>
      </c>
      <c r="J18" s="406"/>
      <c r="K18" s="571"/>
      <c r="L18" s="2897"/>
      <c r="M18" s="2891"/>
      <c r="N18" s="2891"/>
      <c r="O18" s="2891"/>
      <c r="P18" s="3458"/>
      <c r="Q18" s="1483"/>
      <c r="R18" s="711"/>
      <c r="S18" s="712"/>
      <c r="T18" s="711"/>
      <c r="U18" s="712"/>
      <c r="V18" s="711"/>
      <c r="W18" s="712"/>
      <c r="X18" s="1486"/>
      <c r="Y18" s="3460"/>
      <c r="Z18" s="1487"/>
      <c r="AA18" s="1484">
        <v>1</v>
      </c>
      <c r="AB18" s="1484">
        <v>1</v>
      </c>
      <c r="AC18" s="2095">
        <v>1</v>
      </c>
    </row>
    <row r="19" spans="1:29" ht="42.75">
      <c r="A19" s="386"/>
      <c r="B19" s="586" t="s">
        <v>2267</v>
      </c>
      <c r="C19" s="209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v>2</v>
      </c>
      <c r="L19" s="2897"/>
      <c r="M19" s="2891"/>
      <c r="N19" s="2891"/>
      <c r="O19" s="2891"/>
      <c r="P19" s="3458"/>
      <c r="Q19" s="1483" t="str">
        <f>B19</f>
        <v>公共配套设施</v>
      </c>
      <c r="R19" s="711" t="s">
        <v>17</v>
      </c>
      <c r="S19" s="712">
        <f>F19</f>
        <v>100</v>
      </c>
      <c r="T19" s="711" t="s">
        <v>17</v>
      </c>
      <c r="U19" s="712">
        <f>H19</f>
        <v>100</v>
      </c>
      <c r="V19" s="711" t="s">
        <v>17</v>
      </c>
      <c r="W19" s="712">
        <f>J19</f>
        <v>100</v>
      </c>
      <c r="X19" s="1486"/>
      <c r="Y19" s="3460"/>
      <c r="Z19" s="1487" t="str">
        <f>Q19</f>
        <v>公共配套设施</v>
      </c>
      <c r="AA19" s="1484">
        <f t="shared" si="3"/>
        <v>1</v>
      </c>
      <c r="AB19" s="1484">
        <f t="shared" si="4"/>
        <v>1</v>
      </c>
      <c r="AC19" s="2095">
        <f t="shared" si="5"/>
        <v>1</v>
      </c>
    </row>
    <row r="20" spans="1:29" ht="15">
      <c r="A20" s="386"/>
      <c r="B20" s="587"/>
      <c r="C20" s="2037" t="s">
        <v>3248</v>
      </c>
      <c r="D20" s="406"/>
      <c r="E20" s="2037" t="s">
        <v>3248</v>
      </c>
      <c r="F20" s="406"/>
      <c r="G20" s="2037" t="s">
        <v>3248</v>
      </c>
      <c r="H20" s="406"/>
      <c r="I20" s="2037" t="s">
        <v>3248</v>
      </c>
      <c r="J20" s="406"/>
      <c r="K20" s="571"/>
      <c r="L20" s="2897"/>
      <c r="M20" s="2891"/>
      <c r="N20" s="2891"/>
      <c r="O20" s="2891"/>
      <c r="P20" s="3458"/>
      <c r="Q20" s="1483"/>
      <c r="R20" s="711"/>
      <c r="S20" s="712"/>
      <c r="T20" s="711"/>
      <c r="U20" s="712"/>
      <c r="V20" s="711"/>
      <c r="W20" s="712"/>
      <c r="X20" s="1486"/>
      <c r="Y20" s="3460"/>
      <c r="Z20" s="1487"/>
      <c r="AA20" s="1484">
        <v>1</v>
      </c>
      <c r="AB20" s="1484">
        <v>1</v>
      </c>
      <c r="AC20" s="2095">
        <v>1</v>
      </c>
    </row>
    <row r="21" spans="1:29" ht="28.5">
      <c r="A21" s="386"/>
      <c r="B21" s="588" t="s">
        <v>2268</v>
      </c>
      <c r="C21" s="209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897"/>
      <c r="M21" s="2891"/>
      <c r="N21" s="2891"/>
      <c r="O21" s="2891"/>
      <c r="P21" s="3458"/>
      <c r="Q21" s="1483" t="str">
        <f>B21</f>
        <v>基础设施水平</v>
      </c>
      <c r="R21" s="711" t="s">
        <v>17</v>
      </c>
      <c r="S21" s="712">
        <f>F21</f>
        <v>100</v>
      </c>
      <c r="T21" s="711" t="s">
        <v>17</v>
      </c>
      <c r="U21" s="712">
        <f>H21</f>
        <v>100</v>
      </c>
      <c r="V21" s="711" t="s">
        <v>17</v>
      </c>
      <c r="W21" s="712">
        <f>J21</f>
        <v>100</v>
      </c>
      <c r="X21" s="1486"/>
      <c r="Y21" s="3460"/>
      <c r="Z21" s="1487" t="str">
        <f>Q21</f>
        <v>基础设施水平</v>
      </c>
      <c r="AA21" s="1484">
        <f t="shared" ref="AA21" si="8">D21/F21</f>
        <v>1</v>
      </c>
      <c r="AB21" s="1484">
        <f t="shared" ref="AB21" si="9">D21/H21</f>
        <v>1</v>
      </c>
      <c r="AC21" s="2095">
        <f t="shared" ref="AC21" si="10">D21/J21</f>
        <v>1</v>
      </c>
    </row>
    <row r="22" spans="1:29" ht="15">
      <c r="A22" s="386"/>
      <c r="B22" s="588"/>
      <c r="C22" s="2097" t="s">
        <v>3240</v>
      </c>
      <c r="D22" s="406"/>
      <c r="E22" s="2097" t="s">
        <v>3240</v>
      </c>
      <c r="F22" s="406"/>
      <c r="G22" s="2097" t="s">
        <v>3240</v>
      </c>
      <c r="H22" s="406"/>
      <c r="I22" s="2097" t="s">
        <v>3240</v>
      </c>
      <c r="J22" s="406"/>
      <c r="K22" s="1241"/>
      <c r="L22" s="2897"/>
      <c r="M22" s="2891"/>
      <c r="N22" s="2891"/>
      <c r="O22" s="2891"/>
      <c r="P22" s="3458"/>
      <c r="Q22" s="1483"/>
      <c r="R22" s="711"/>
      <c r="S22" s="712"/>
      <c r="T22" s="711"/>
      <c r="U22" s="712"/>
      <c r="V22" s="711"/>
      <c r="W22" s="712"/>
      <c r="X22" s="1486"/>
      <c r="Y22" s="3460"/>
      <c r="Z22" s="1487"/>
      <c r="AA22" s="1484">
        <v>1</v>
      </c>
      <c r="AB22" s="1484">
        <v>1</v>
      </c>
      <c r="AC22" s="2095">
        <v>1</v>
      </c>
    </row>
    <row r="23" spans="1:29" ht="42.75">
      <c r="A23" s="386"/>
      <c r="B23" s="586" t="s">
        <v>2269</v>
      </c>
      <c r="C23" s="209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v>2</v>
      </c>
      <c r="L23" s="2897"/>
      <c r="M23" s="2891"/>
      <c r="N23" s="2891"/>
      <c r="O23" s="2891"/>
      <c r="P23" s="3458"/>
      <c r="Q23" s="1483" t="str">
        <f>B23</f>
        <v>环境质量</v>
      </c>
      <c r="R23" s="711" t="s">
        <v>17</v>
      </c>
      <c r="S23" s="712">
        <f>F23</f>
        <v>100</v>
      </c>
      <c r="T23" s="711" t="s">
        <v>17</v>
      </c>
      <c r="U23" s="712">
        <f>H23</f>
        <v>100</v>
      </c>
      <c r="V23" s="711" t="s">
        <v>17</v>
      </c>
      <c r="W23" s="712">
        <f>J23</f>
        <v>100</v>
      </c>
      <c r="X23" s="1486"/>
      <c r="Y23" s="3460"/>
      <c r="Z23" s="1487" t="str">
        <f>Q23</f>
        <v>环境质量</v>
      </c>
      <c r="AA23" s="1484">
        <f t="shared" si="3"/>
        <v>1</v>
      </c>
      <c r="AB23" s="1484">
        <f t="shared" si="4"/>
        <v>1</v>
      </c>
      <c r="AC23" s="2095">
        <f t="shared" si="5"/>
        <v>1</v>
      </c>
    </row>
    <row r="24" spans="1:29" ht="15">
      <c r="A24" s="386"/>
      <c r="B24" s="588"/>
      <c r="C24" s="2037" t="s">
        <v>3248</v>
      </c>
      <c r="D24" s="406"/>
      <c r="E24" s="2037" t="s">
        <v>3248</v>
      </c>
      <c r="F24" s="406"/>
      <c r="G24" s="2037" t="s">
        <v>3248</v>
      </c>
      <c r="H24" s="406"/>
      <c r="I24" s="2037" t="s">
        <v>3248</v>
      </c>
      <c r="J24" s="406"/>
      <c r="K24" s="571"/>
      <c r="L24" s="2897"/>
      <c r="M24" s="2891"/>
      <c r="N24" s="2891"/>
      <c r="O24" s="2891"/>
      <c r="P24" s="3458"/>
      <c r="Q24" s="1483"/>
      <c r="R24" s="711"/>
      <c r="S24" s="712"/>
      <c r="T24" s="711"/>
      <c r="U24" s="712"/>
      <c r="V24" s="711"/>
      <c r="W24" s="712"/>
      <c r="X24" s="1486"/>
      <c r="Y24" s="3460"/>
      <c r="Z24" s="1487"/>
      <c r="AA24" s="1484">
        <v>1</v>
      </c>
      <c r="AB24" s="1484">
        <v>1</v>
      </c>
      <c r="AC24" s="2095">
        <v>1</v>
      </c>
    </row>
    <row r="25" spans="1:29" ht="27">
      <c r="A25" s="363"/>
      <c r="B25" s="586" t="s">
        <v>2270</v>
      </c>
      <c r="C25" s="2041"/>
      <c r="D25" s="393">
        <v>100</v>
      </c>
      <c r="E25" s="392"/>
      <c r="F25" s="393">
        <f>SUMIF(87:87,E26,88:88)-SUMIF(87:87,C26,88:88)+100</f>
        <v>100</v>
      </c>
      <c r="G25" s="2041"/>
      <c r="H25" s="393">
        <f>SUMIF(87:87,G26,88:88)-SUMIF(87:87,C26,88:88)+100</f>
        <v>100</v>
      </c>
      <c r="I25" s="392"/>
      <c r="J25" s="393">
        <f>SUMIF(87:87,I26,88:88)-SUMIF(87:87,C26,88:88)+100</f>
        <v>100</v>
      </c>
      <c r="K25" s="570">
        <v>2</v>
      </c>
      <c r="L25" s="2897"/>
      <c r="M25" s="2891"/>
      <c r="N25" s="2891"/>
      <c r="O25" s="2891"/>
      <c r="P25" s="3458"/>
      <c r="Q25" s="1483" t="str">
        <f>B25</f>
        <v>毗邻道路的类型与等级</v>
      </c>
      <c r="R25" s="711" t="s">
        <v>17</v>
      </c>
      <c r="S25" s="712">
        <f>F25</f>
        <v>100</v>
      </c>
      <c r="T25" s="711" t="s">
        <v>17</v>
      </c>
      <c r="U25" s="712">
        <f>H25</f>
        <v>100</v>
      </c>
      <c r="V25" s="711" t="s">
        <v>17</v>
      </c>
      <c r="W25" s="712">
        <f>J25</f>
        <v>100</v>
      </c>
      <c r="X25" s="1486"/>
      <c r="Y25" s="3460"/>
      <c r="Z25" s="1487" t="str">
        <f>Q25</f>
        <v>毗邻道路的类型与等级</v>
      </c>
      <c r="AA25" s="1484">
        <f t="shared" si="3"/>
        <v>1</v>
      </c>
      <c r="AB25" s="1484">
        <f t="shared" si="4"/>
        <v>1</v>
      </c>
      <c r="AC25" s="2095">
        <f t="shared" si="5"/>
        <v>1</v>
      </c>
    </row>
    <row r="26" spans="1:29" ht="15">
      <c r="A26" s="363"/>
      <c r="B26" s="587"/>
      <c r="C26" s="589" t="s">
        <v>3229</v>
      </c>
      <c r="D26" s="393"/>
      <c r="E26" s="589" t="s">
        <v>3229</v>
      </c>
      <c r="F26" s="393"/>
      <c r="G26" s="589" t="s">
        <v>3229</v>
      </c>
      <c r="H26" s="393"/>
      <c r="I26" s="589" t="s">
        <v>3229</v>
      </c>
      <c r="J26" s="393"/>
      <c r="K26" s="571"/>
      <c r="L26" s="2897"/>
      <c r="M26" s="2891"/>
      <c r="N26" s="2891"/>
      <c r="O26" s="2891"/>
      <c r="P26" s="3458"/>
      <c r="Q26" s="1483"/>
      <c r="R26" s="711"/>
      <c r="S26" s="712"/>
      <c r="T26" s="711"/>
      <c r="U26" s="712"/>
      <c r="V26" s="711"/>
      <c r="W26" s="712"/>
      <c r="X26" s="1486"/>
      <c r="Y26" s="3460"/>
      <c r="Z26" s="1487"/>
      <c r="AA26" s="1484">
        <v>1</v>
      </c>
      <c r="AB26" s="1484">
        <v>1</v>
      </c>
      <c r="AC26" s="2095">
        <v>1</v>
      </c>
    </row>
    <row r="27" spans="1:29" ht="15">
      <c r="A27" s="386"/>
      <c r="B27" s="587" t="s">
        <v>2238</v>
      </c>
      <c r="C27" s="589" t="s">
        <v>3253</v>
      </c>
      <c r="D27" s="393">
        <v>100</v>
      </c>
      <c r="E27" s="572" t="s">
        <v>3251</v>
      </c>
      <c r="F27" s="393">
        <f>SUMIF(89:89,E27,90:90)-SUMIF(89:89,C27,90:90)+100</f>
        <v>102</v>
      </c>
      <c r="G27" s="589" t="s">
        <v>3251</v>
      </c>
      <c r="H27" s="393">
        <f>SUMIF(89:89,G27,90:90)-SUMIF(89:89,C27,90:90)+100</f>
        <v>102</v>
      </c>
      <c r="I27" s="572" t="s">
        <v>3253</v>
      </c>
      <c r="J27" s="393">
        <f>SUMIF(89:89,I27,90:90)-SUMIF(89:89,C27,90:90)+100</f>
        <v>100</v>
      </c>
      <c r="K27" s="568">
        <v>2</v>
      </c>
      <c r="L27" s="2897"/>
      <c r="M27" s="2891"/>
      <c r="N27" s="2891"/>
      <c r="O27" s="2891"/>
      <c r="P27" s="3458"/>
      <c r="Q27" s="1483" t="str">
        <f t="shared" ref="Q27:Q47" si="11">B27</f>
        <v>楼层</v>
      </c>
      <c r="R27" s="711" t="s">
        <v>17</v>
      </c>
      <c r="S27" s="712">
        <f>F27</f>
        <v>102</v>
      </c>
      <c r="T27" s="711" t="s">
        <v>17</v>
      </c>
      <c r="U27" s="712">
        <f>H27</f>
        <v>102</v>
      </c>
      <c r="V27" s="711" t="s">
        <v>17</v>
      </c>
      <c r="W27" s="712">
        <f>J27</f>
        <v>100</v>
      </c>
      <c r="X27" s="1486"/>
      <c r="Y27" s="3460"/>
      <c r="Z27" s="1487" t="str">
        <f>Q27</f>
        <v>楼层</v>
      </c>
      <c r="AA27" s="1484">
        <f t="shared" si="3"/>
        <v>0.98039215686274506</v>
      </c>
      <c r="AB27" s="1484">
        <f t="shared" si="4"/>
        <v>0.98039215686274506</v>
      </c>
      <c r="AC27" s="2095">
        <f t="shared" si="5"/>
        <v>1</v>
      </c>
    </row>
    <row r="28" spans="1:29" s="112" customFormat="1" ht="15">
      <c r="A28" s="389"/>
      <c r="B28" s="586" t="s">
        <v>2271</v>
      </c>
      <c r="C28" s="2098"/>
      <c r="D28" s="420">
        <v>100</v>
      </c>
      <c r="E28" s="2089"/>
      <c r="F28" s="420">
        <f>SUMIF(91:91,E28,92:92)-SUMIF(91:91,C28,92:92)+100</f>
        <v>100</v>
      </c>
      <c r="G28" s="2098"/>
      <c r="H28" s="420">
        <f>SUMIF(91:91,G28,92:92)-SUMIF(91:91,C28,92:92)+100</f>
        <v>100</v>
      </c>
      <c r="I28" s="2089"/>
      <c r="J28" s="420">
        <f>SUMIF(91:91,I28,92:92)-SUMIF(91:91,C28,92:92)+100</f>
        <v>100</v>
      </c>
      <c r="K28" s="568"/>
      <c r="L28" s="2892"/>
      <c r="M28" s="2893"/>
      <c r="N28" s="2893"/>
      <c r="O28" s="2893"/>
      <c r="P28" s="3458"/>
      <c r="Q28" s="1474" t="str">
        <f t="shared" si="11"/>
        <v>朝向</v>
      </c>
      <c r="R28" s="707" t="s">
        <v>17</v>
      </c>
      <c r="S28" s="708">
        <f>F28</f>
        <v>100</v>
      </c>
      <c r="T28" s="707" t="s">
        <v>17</v>
      </c>
      <c r="U28" s="708">
        <f>H28</f>
        <v>100</v>
      </c>
      <c r="V28" s="707" t="s">
        <v>17</v>
      </c>
      <c r="W28" s="708">
        <f>J28</f>
        <v>100</v>
      </c>
      <c r="X28" s="709"/>
      <c r="Y28" s="3460"/>
      <c r="Z28" s="54" t="str">
        <f>Q28</f>
        <v>朝向</v>
      </c>
      <c r="AA28" s="1484">
        <f>D28/F28</f>
        <v>1</v>
      </c>
      <c r="AB28" s="1484">
        <f>D28/H28</f>
        <v>1</v>
      </c>
      <c r="AC28" s="2095">
        <f>D28/J28</f>
        <v>1</v>
      </c>
    </row>
    <row r="29" spans="1:29" ht="15">
      <c r="A29" s="386"/>
      <c r="B29" s="2099">
        <v>111</v>
      </c>
      <c r="C29" s="2041"/>
      <c r="D29" s="393">
        <v>100</v>
      </c>
      <c r="E29" s="390"/>
      <c r="F29" s="393">
        <f>SUMIF(93:93,E29,94:94)-SUMIF(93:93,C29,94:94)+100</f>
        <v>100</v>
      </c>
      <c r="G29" s="2093"/>
      <c r="H29" s="393">
        <f>SUMIF(93:93,G29,94:94)-SUMIF(93:93,C29,94:94)+100</f>
        <v>100</v>
      </c>
      <c r="I29" s="390"/>
      <c r="J29" s="393">
        <f>SUMIF(93:93,I29,94:94)-SUMIF(93:93,C29,94:94)+100</f>
        <v>100</v>
      </c>
      <c r="K29" s="569"/>
      <c r="L29" s="2897"/>
      <c r="M29" s="2891"/>
      <c r="N29" s="2891"/>
      <c r="O29" s="2891"/>
      <c r="P29" s="3458"/>
      <c r="Q29" s="1483">
        <f t="shared" si="11"/>
        <v>111</v>
      </c>
      <c r="R29" s="711" t="s">
        <v>17</v>
      </c>
      <c r="S29" s="712">
        <f t="shared" ref="S29:S47" si="12">F29</f>
        <v>100</v>
      </c>
      <c r="T29" s="711" t="s">
        <v>17</v>
      </c>
      <c r="U29" s="712">
        <f t="shared" ref="U29:U47" si="13">H29</f>
        <v>100</v>
      </c>
      <c r="V29" s="711" t="s">
        <v>17</v>
      </c>
      <c r="W29" s="712">
        <f t="shared" ref="W29:W47" si="14">J29</f>
        <v>100</v>
      </c>
      <c r="X29" s="1486"/>
      <c r="Y29" s="3460"/>
      <c r="Z29" s="1487">
        <f t="shared" ref="Z29:Z47" si="15">Q29</f>
        <v>111</v>
      </c>
      <c r="AA29" s="1484">
        <f t="shared" si="3"/>
        <v>1</v>
      </c>
      <c r="AB29" s="1484">
        <f t="shared" si="4"/>
        <v>1</v>
      </c>
      <c r="AC29" s="2095">
        <f t="shared" si="5"/>
        <v>1</v>
      </c>
    </row>
    <row r="30" spans="1:29" ht="15">
      <c r="A30" s="386"/>
      <c r="B30" s="2099">
        <v>111</v>
      </c>
      <c r="C30" s="2041"/>
      <c r="D30" s="393">
        <v>100</v>
      </c>
      <c r="E30" s="390"/>
      <c r="F30" s="393">
        <f>SUMIF(95:95,E30,96:96)-SUMIF(95:95,C30,96:96)+100</f>
        <v>100</v>
      </c>
      <c r="G30" s="2093"/>
      <c r="H30" s="393">
        <f>SUMIF(95:95,G30,96:96)-SUMIF(95:95,C30,96:96)+100</f>
        <v>100</v>
      </c>
      <c r="I30" s="390"/>
      <c r="J30" s="393">
        <f>SUMIF(95:95,I30,96:96)-SUMIF(95:95,C30,96:96)+100</f>
        <v>100</v>
      </c>
      <c r="K30" s="569"/>
      <c r="L30" s="2897"/>
      <c r="M30" s="2891"/>
      <c r="N30" s="2891"/>
      <c r="O30" s="2891"/>
      <c r="P30" s="3458"/>
      <c r="Q30" s="1483">
        <f t="shared" si="11"/>
        <v>111</v>
      </c>
      <c r="R30" s="711" t="s">
        <v>17</v>
      </c>
      <c r="S30" s="712">
        <f t="shared" si="12"/>
        <v>100</v>
      </c>
      <c r="T30" s="711" t="s">
        <v>17</v>
      </c>
      <c r="U30" s="712">
        <f t="shared" si="13"/>
        <v>100</v>
      </c>
      <c r="V30" s="711" t="s">
        <v>17</v>
      </c>
      <c r="W30" s="712">
        <f t="shared" si="14"/>
        <v>100</v>
      </c>
      <c r="X30" s="1486"/>
      <c r="Y30" s="3460"/>
      <c r="Z30" s="1487">
        <f t="shared" si="15"/>
        <v>111</v>
      </c>
      <c r="AA30" s="1484">
        <f t="shared" si="3"/>
        <v>1</v>
      </c>
      <c r="AB30" s="1484">
        <f t="shared" si="4"/>
        <v>1</v>
      </c>
      <c r="AC30" s="2095">
        <f t="shared" si="5"/>
        <v>1</v>
      </c>
    </row>
    <row r="31" spans="1:29" ht="15">
      <c r="A31" s="386"/>
      <c r="B31" s="2099">
        <v>111</v>
      </c>
      <c r="C31" s="2041"/>
      <c r="D31" s="393">
        <v>100</v>
      </c>
      <c r="E31" s="390"/>
      <c r="F31" s="393">
        <f>SUMIF(97:97,E31,98:98)-SUMIF(97:97,C31,98:98)+100</f>
        <v>100</v>
      </c>
      <c r="G31" s="2093"/>
      <c r="H31" s="393">
        <f>SUMIF(97:97,G31,98:98)-SUMIF(97:97,C31,98:98)+100</f>
        <v>100</v>
      </c>
      <c r="I31" s="390"/>
      <c r="J31" s="393">
        <f>SUMIF(97:97,I31,98:98)-SUMIF(97:97,C31,98:98)+100</f>
        <v>100</v>
      </c>
      <c r="K31" s="569"/>
      <c r="L31" s="2897"/>
      <c r="M31" s="2891"/>
      <c r="N31" s="2891"/>
      <c r="O31" s="2891"/>
      <c r="P31" s="3458"/>
      <c r="Q31" s="1483">
        <f t="shared" si="11"/>
        <v>111</v>
      </c>
      <c r="R31" s="711" t="s">
        <v>17</v>
      </c>
      <c r="S31" s="712">
        <f t="shared" si="12"/>
        <v>100</v>
      </c>
      <c r="T31" s="711" t="s">
        <v>17</v>
      </c>
      <c r="U31" s="712">
        <f t="shared" si="13"/>
        <v>100</v>
      </c>
      <c r="V31" s="711" t="s">
        <v>17</v>
      </c>
      <c r="W31" s="712">
        <f t="shared" si="14"/>
        <v>100</v>
      </c>
      <c r="X31" s="1486"/>
      <c r="Y31" s="3460"/>
      <c r="Z31" s="1487">
        <f t="shared" si="15"/>
        <v>111</v>
      </c>
      <c r="AA31" s="1484">
        <f t="shared" si="3"/>
        <v>1</v>
      </c>
      <c r="AB31" s="1484">
        <f t="shared" si="4"/>
        <v>1</v>
      </c>
      <c r="AC31" s="2095">
        <f t="shared" si="5"/>
        <v>1</v>
      </c>
    </row>
    <row r="32" spans="1:29" ht="15.75" thickBot="1">
      <c r="A32" s="394"/>
      <c r="B32" s="590">
        <v>111</v>
      </c>
      <c r="C32" s="2042"/>
      <c r="D32" s="396">
        <v>100</v>
      </c>
      <c r="E32" s="583"/>
      <c r="F32" s="396">
        <f>SUMIF(99:99,E32,100:100)-SUMIF(99:99,C32,100:100)+100</f>
        <v>100</v>
      </c>
      <c r="G32" s="2093"/>
      <c r="H32" s="396">
        <f>SUMIF(99:99,G32,100:100)-SUMIF(99:99,C32,100:100)+100</f>
        <v>100</v>
      </c>
      <c r="I32" s="390"/>
      <c r="J32" s="396">
        <f>SUMIF(99:99,I32,100:100)-SUMIF(99:99,C32,100:100)+100</f>
        <v>100</v>
      </c>
      <c r="K32" s="569"/>
      <c r="L32" s="2897"/>
      <c r="M32" s="2891"/>
      <c r="N32" s="2891"/>
      <c r="O32" s="2891"/>
      <c r="P32" s="3458"/>
      <c r="Q32" s="1483">
        <f t="shared" si="11"/>
        <v>111</v>
      </c>
      <c r="R32" s="711" t="s">
        <v>17</v>
      </c>
      <c r="S32" s="712">
        <f t="shared" si="12"/>
        <v>100</v>
      </c>
      <c r="T32" s="711" t="s">
        <v>17</v>
      </c>
      <c r="U32" s="712">
        <f t="shared" si="13"/>
        <v>100</v>
      </c>
      <c r="V32" s="711" t="s">
        <v>17</v>
      </c>
      <c r="W32" s="712">
        <f t="shared" si="14"/>
        <v>100</v>
      </c>
      <c r="X32" s="1486"/>
      <c r="Y32" s="3460"/>
      <c r="Z32" s="1487">
        <f t="shared" si="15"/>
        <v>111</v>
      </c>
      <c r="AA32" s="1484">
        <f t="shared" si="3"/>
        <v>1</v>
      </c>
      <c r="AB32" s="1484">
        <f t="shared" si="4"/>
        <v>1</v>
      </c>
      <c r="AC32" s="2095">
        <f t="shared" si="5"/>
        <v>1</v>
      </c>
    </row>
    <row r="33" spans="1:29" ht="15">
      <c r="A33" s="398" t="s">
        <v>2142</v>
      </c>
      <c r="B33" s="66" t="s">
        <v>2272</v>
      </c>
      <c r="C33" s="2100" t="s">
        <v>3231</v>
      </c>
      <c r="D33" s="425">
        <v>100</v>
      </c>
      <c r="E33" s="2100" t="s">
        <v>3231</v>
      </c>
      <c r="F33" s="419">
        <f>SUMIF(101:101,E33,102:102)-SUMIF(101:101,C33,102:102)+100</f>
        <v>100</v>
      </c>
      <c r="G33" s="2100" t="s">
        <v>3231</v>
      </c>
      <c r="H33" s="393">
        <f>SUMIF(101:101,G33,102:102)-SUMIF(101:101,C33,102:102)+100</f>
        <v>100</v>
      </c>
      <c r="I33" s="2100" t="s">
        <v>3231</v>
      </c>
      <c r="J33" s="425">
        <f>SUMIF(101:101,I33,102:102)-SUMIF(101:101,C33,102:102)+100</f>
        <v>100</v>
      </c>
      <c r="K33" s="568">
        <v>2</v>
      </c>
      <c r="L33" s="2897"/>
      <c r="M33" s="2891"/>
      <c r="N33" s="2891"/>
      <c r="O33" s="2891"/>
      <c r="P33" s="3461" t="s">
        <v>2144</v>
      </c>
      <c r="Q33" s="1483" t="str">
        <f t="shared" si="11"/>
        <v>建筑类型</v>
      </c>
      <c r="R33" s="711" t="s">
        <v>17</v>
      </c>
      <c r="S33" s="712">
        <f t="shared" si="12"/>
        <v>100</v>
      </c>
      <c r="T33" s="711" t="s">
        <v>17</v>
      </c>
      <c r="U33" s="712">
        <f t="shared" si="13"/>
        <v>100</v>
      </c>
      <c r="V33" s="711" t="s">
        <v>17</v>
      </c>
      <c r="W33" s="712">
        <f t="shared" si="14"/>
        <v>100</v>
      </c>
      <c r="X33" s="1486"/>
      <c r="Y33" s="3464" t="s">
        <v>2144</v>
      </c>
      <c r="Z33" s="1487" t="str">
        <f t="shared" si="15"/>
        <v>建筑类型</v>
      </c>
      <c r="AA33" s="1484">
        <f t="shared" si="3"/>
        <v>1</v>
      </c>
      <c r="AB33" s="1484">
        <f t="shared" si="4"/>
        <v>1</v>
      </c>
      <c r="AC33" s="2095">
        <f t="shared" si="5"/>
        <v>1</v>
      </c>
    </row>
    <row r="34" spans="1:29" s="429" customFormat="1" ht="15">
      <c r="A34" s="426"/>
      <c r="B34" s="380" t="s">
        <v>2145</v>
      </c>
      <c r="C34" s="427">
        <f>典型户型修正!B24</f>
        <v>1506.52</v>
      </c>
      <c r="D34" s="131">
        <v>100</v>
      </c>
      <c r="E34" s="427">
        <v>190</v>
      </c>
      <c r="F34" s="383">
        <f>LOOKUP(E34,104:104,105:105)-LOOKUP(C34,104:104,105:105)+100</f>
        <v>102</v>
      </c>
      <c r="G34" s="427">
        <v>413</v>
      </c>
      <c r="H34" s="131">
        <f>LOOKUP(G34,104:104,105:105)-LOOKUP(C34,104:104,105:105)+100</f>
        <v>103</v>
      </c>
      <c r="I34" s="427">
        <v>849.54</v>
      </c>
      <c r="J34" s="131">
        <f>LOOKUP(I34,104:104,105:105)-LOOKUP(C34,104:104,105:105)+100</f>
        <v>102</v>
      </c>
      <c r="K34" s="569"/>
      <c r="L34" s="2896"/>
      <c r="M34" s="2898"/>
      <c r="N34" s="2898"/>
      <c r="O34" s="2898"/>
      <c r="P34" s="3462"/>
      <c r="Q34" s="713" t="str">
        <f t="shared" si="11"/>
        <v>项目建筑规模</v>
      </c>
      <c r="R34" s="714" t="s">
        <v>17</v>
      </c>
      <c r="S34" s="715">
        <f t="shared" si="12"/>
        <v>102</v>
      </c>
      <c r="T34" s="714" t="s">
        <v>17</v>
      </c>
      <c r="U34" s="715">
        <f t="shared" si="13"/>
        <v>103</v>
      </c>
      <c r="V34" s="714" t="s">
        <v>17</v>
      </c>
      <c r="W34" s="715">
        <f t="shared" si="14"/>
        <v>102</v>
      </c>
      <c r="X34" s="716"/>
      <c r="Y34" s="3464"/>
      <c r="Z34" s="717" t="str">
        <f t="shared" si="15"/>
        <v>项目建筑规模</v>
      </c>
      <c r="AA34" s="1484">
        <f t="shared" si="3"/>
        <v>0.98039215686274506</v>
      </c>
      <c r="AB34" s="1484">
        <f t="shared" si="4"/>
        <v>0.970873786407767</v>
      </c>
      <c r="AC34" s="2095">
        <f t="shared" si="5"/>
        <v>0.98039215686274506</v>
      </c>
    </row>
    <row r="35" spans="1:29" ht="15">
      <c r="A35" s="430"/>
      <c r="B35" s="380" t="s">
        <v>2146</v>
      </c>
      <c r="C35" s="418" t="s">
        <v>3218</v>
      </c>
      <c r="D35" s="393">
        <v>100</v>
      </c>
      <c r="E35" s="418" t="s">
        <v>3218</v>
      </c>
      <c r="F35" s="419">
        <f>SUMIF(106:106,E35,107:107)-SUMIF(106:106,C35,107:107)+100</f>
        <v>100</v>
      </c>
      <c r="G35" s="418" t="s">
        <v>3218</v>
      </c>
      <c r="H35" s="393">
        <f>SUMIF(106:106,G35,107:107)-SUMIF(106:106,C35,107:107)+100</f>
        <v>100</v>
      </c>
      <c r="I35" s="418" t="s">
        <v>3218</v>
      </c>
      <c r="J35" s="393">
        <f>SUMIF(106:106,I35,107:107)-SUMIF(106:106,C35,107:107)+100</f>
        <v>100</v>
      </c>
      <c r="K35" s="568">
        <v>2</v>
      </c>
      <c r="L35" s="2897"/>
      <c r="M35" s="2891"/>
      <c r="N35" s="2891"/>
      <c r="O35" s="2891"/>
      <c r="P35" s="3462"/>
      <c r="Q35" s="1483" t="str">
        <f t="shared" si="11"/>
        <v>建筑结构</v>
      </c>
      <c r="R35" s="711" t="s">
        <v>17</v>
      </c>
      <c r="S35" s="712">
        <f t="shared" si="12"/>
        <v>100</v>
      </c>
      <c r="T35" s="711" t="s">
        <v>17</v>
      </c>
      <c r="U35" s="712">
        <f t="shared" si="13"/>
        <v>100</v>
      </c>
      <c r="V35" s="711" t="s">
        <v>17</v>
      </c>
      <c r="W35" s="712">
        <f t="shared" si="14"/>
        <v>100</v>
      </c>
      <c r="X35" s="1486"/>
      <c r="Y35" s="3464"/>
      <c r="Z35" s="1487" t="str">
        <f t="shared" si="15"/>
        <v>建筑结构</v>
      </c>
      <c r="AA35" s="1484">
        <f t="shared" si="3"/>
        <v>1</v>
      </c>
      <c r="AB35" s="1484">
        <f t="shared" si="4"/>
        <v>1</v>
      </c>
      <c r="AC35" s="2095">
        <f t="shared" si="5"/>
        <v>1</v>
      </c>
    </row>
    <row r="36" spans="1:29" ht="15">
      <c r="A36" s="430"/>
      <c r="B36" s="380" t="s">
        <v>2240</v>
      </c>
      <c r="C36" s="418" t="s">
        <v>3234</v>
      </c>
      <c r="D36" s="393">
        <v>100</v>
      </c>
      <c r="E36" s="418" t="s">
        <v>3234</v>
      </c>
      <c r="F36" s="419">
        <f>SUMIF(108:108,E36,109:109)-SUMIF(108:108,C36,109:109)+100</f>
        <v>100</v>
      </c>
      <c r="G36" s="418" t="s">
        <v>3234</v>
      </c>
      <c r="H36" s="393">
        <f>SUMIF(108:108,G36,109:109)-SUMIF(108:108,C36,109:109)+100</f>
        <v>100</v>
      </c>
      <c r="I36" s="418" t="s">
        <v>3234</v>
      </c>
      <c r="J36" s="393">
        <f>SUMIF(108:108,I36,109:109)-SUMIF(108:108,C36,109:109)+100</f>
        <v>100</v>
      </c>
      <c r="K36" s="568">
        <v>1</v>
      </c>
      <c r="L36" s="2897"/>
      <c r="M36" s="2891"/>
      <c r="N36" s="2891"/>
      <c r="O36" s="2891"/>
      <c r="P36" s="3462"/>
      <c r="Q36" s="1483" t="str">
        <f t="shared" si="11"/>
        <v>公共部分装修</v>
      </c>
      <c r="R36" s="711" t="s">
        <v>17</v>
      </c>
      <c r="S36" s="712">
        <f t="shared" si="12"/>
        <v>100</v>
      </c>
      <c r="T36" s="711" t="s">
        <v>17</v>
      </c>
      <c r="U36" s="712">
        <f t="shared" si="13"/>
        <v>100</v>
      </c>
      <c r="V36" s="711" t="s">
        <v>17</v>
      </c>
      <c r="W36" s="712">
        <f t="shared" si="14"/>
        <v>100</v>
      </c>
      <c r="X36" s="1486"/>
      <c r="Y36" s="3464"/>
      <c r="Z36" s="1487" t="str">
        <f t="shared" si="15"/>
        <v>公共部分装修</v>
      </c>
      <c r="AA36" s="1484">
        <f t="shared" si="3"/>
        <v>1</v>
      </c>
      <c r="AB36" s="1484">
        <f t="shared" si="4"/>
        <v>1</v>
      </c>
      <c r="AC36" s="2095">
        <f t="shared" si="5"/>
        <v>1</v>
      </c>
    </row>
    <row r="37" spans="1:29" ht="15">
      <c r="A37" s="430"/>
      <c r="B37" s="380" t="s">
        <v>2241</v>
      </c>
      <c r="C37" s="432">
        <f>'数据-取费表'!N6</f>
        <v>0.77</v>
      </c>
      <c r="D37" s="393">
        <v>100</v>
      </c>
      <c r="E37" s="432">
        <f>ROUND(1-(1-0%)*(2022-2003)/60,2)</f>
        <v>0.68</v>
      </c>
      <c r="F37" s="419">
        <f>LOOKUP(E37,111:111,112:112)-LOOKUP(C37,111:111,112:112)+100</f>
        <v>97</v>
      </c>
      <c r="G37" s="432">
        <f>ROUND(1-(1-0%)*(2022-2006)/60,2)</f>
        <v>0.73</v>
      </c>
      <c r="H37" s="419">
        <f>LOOKUP(G37,111:111,112:112)-LOOKUP(C37,111:111,112:112)+100</f>
        <v>100</v>
      </c>
      <c r="I37" s="432">
        <f>ROUND(1-(1-0%)*(2022-2000)/60,2)</f>
        <v>0.63</v>
      </c>
      <c r="J37" s="393">
        <f>LOOKUP(I37,111:111,112:112)-LOOKUP(C37,111:111,112:112)+100</f>
        <v>97</v>
      </c>
      <c r="K37" s="568">
        <v>3</v>
      </c>
      <c r="L37" s="2897"/>
      <c r="M37" s="2891"/>
      <c r="N37" s="2891"/>
      <c r="O37" s="2891"/>
      <c r="P37" s="3462"/>
      <c r="Q37" s="1483" t="str">
        <f t="shared" si="11"/>
        <v>成新度</v>
      </c>
      <c r="R37" s="711" t="s">
        <v>17</v>
      </c>
      <c r="S37" s="712">
        <f t="shared" si="12"/>
        <v>97</v>
      </c>
      <c r="T37" s="711" t="s">
        <v>17</v>
      </c>
      <c r="U37" s="712">
        <f t="shared" si="13"/>
        <v>100</v>
      </c>
      <c r="V37" s="711" t="s">
        <v>17</v>
      </c>
      <c r="W37" s="712">
        <f t="shared" si="14"/>
        <v>97</v>
      </c>
      <c r="X37" s="1486"/>
      <c r="Y37" s="3464"/>
      <c r="Z37" s="1487" t="str">
        <f t="shared" si="15"/>
        <v>成新度</v>
      </c>
      <c r="AA37" s="1484">
        <f t="shared" si="3"/>
        <v>1.0309278350515463</v>
      </c>
      <c r="AB37" s="1484">
        <f t="shared" si="4"/>
        <v>1</v>
      </c>
      <c r="AC37" s="2095">
        <f t="shared" si="5"/>
        <v>1.0309278350515463</v>
      </c>
    </row>
    <row r="38" spans="1:29" s="112" customFormat="1" ht="15">
      <c r="A38" s="431"/>
      <c r="B38" s="380" t="s">
        <v>2273</v>
      </c>
      <c r="C38" s="418" t="s">
        <v>3236</v>
      </c>
      <c r="D38" s="131">
        <v>100</v>
      </c>
      <c r="E38" s="418" t="s">
        <v>3236</v>
      </c>
      <c r="F38" s="419">
        <f>SUMIF(113:113,E38,114:114)-SUMIF(113:113,C38,114:114)+100</f>
        <v>100</v>
      </c>
      <c r="G38" s="418" t="s">
        <v>3236</v>
      </c>
      <c r="H38" s="393">
        <f>SUMIF(113:113,G38,114:114)-SUMIF(113:113,C38,114:114)+100</f>
        <v>100</v>
      </c>
      <c r="I38" s="418" t="s">
        <v>3236</v>
      </c>
      <c r="J38" s="393">
        <f>SUMIF(113:113,I38,114:114)-SUMIF(113:113,C38,114:114)+100</f>
        <v>100</v>
      </c>
      <c r="K38" s="568">
        <v>2</v>
      </c>
      <c r="L38" s="2892"/>
      <c r="M38" s="2893"/>
      <c r="N38" s="2893"/>
      <c r="O38" s="2893"/>
      <c r="P38" s="3462"/>
      <c r="Q38" s="1474" t="str">
        <f t="shared" si="11"/>
        <v>写字楼等级</v>
      </c>
      <c r="R38" s="707" t="s">
        <v>17</v>
      </c>
      <c r="S38" s="708">
        <f t="shared" si="12"/>
        <v>100</v>
      </c>
      <c r="T38" s="707" t="s">
        <v>17</v>
      </c>
      <c r="U38" s="708">
        <f t="shared" si="13"/>
        <v>100</v>
      </c>
      <c r="V38" s="707" t="s">
        <v>17</v>
      </c>
      <c r="W38" s="708">
        <f t="shared" si="14"/>
        <v>100</v>
      </c>
      <c r="X38" s="709"/>
      <c r="Y38" s="3464"/>
      <c r="Z38" s="54" t="str">
        <f t="shared" si="15"/>
        <v>写字楼等级</v>
      </c>
      <c r="AA38" s="710">
        <f t="shared" si="3"/>
        <v>1</v>
      </c>
      <c r="AB38" s="710">
        <f t="shared" si="4"/>
        <v>1</v>
      </c>
      <c r="AC38" s="2092">
        <f t="shared" si="5"/>
        <v>1</v>
      </c>
    </row>
    <row r="39" spans="1:29" ht="15">
      <c r="A39" s="430"/>
      <c r="B39" s="380" t="s">
        <v>2274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1</v>
      </c>
      <c r="L39" s="2897"/>
      <c r="M39" s="2891"/>
      <c r="N39" s="2891"/>
      <c r="O39" s="2891"/>
      <c r="P39" s="3462" t="s">
        <v>2144</v>
      </c>
      <c r="Q39" s="1483" t="str">
        <f t="shared" si="11"/>
        <v>物业管理</v>
      </c>
      <c r="R39" s="711" t="s">
        <v>17</v>
      </c>
      <c r="S39" s="712">
        <f t="shared" si="12"/>
        <v>100</v>
      </c>
      <c r="T39" s="711" t="s">
        <v>17</v>
      </c>
      <c r="U39" s="712">
        <f t="shared" si="13"/>
        <v>100</v>
      </c>
      <c r="V39" s="711" t="s">
        <v>17</v>
      </c>
      <c r="W39" s="712">
        <f t="shared" si="14"/>
        <v>100</v>
      </c>
      <c r="X39" s="1486"/>
      <c r="Y39" s="3464" t="s">
        <v>2144</v>
      </c>
      <c r="Z39" s="1487" t="str">
        <f t="shared" si="15"/>
        <v>物业管理</v>
      </c>
      <c r="AA39" s="1484">
        <f t="shared" si="3"/>
        <v>1</v>
      </c>
      <c r="AB39" s="1484">
        <f t="shared" si="4"/>
        <v>1</v>
      </c>
      <c r="AC39" s="2095">
        <f t="shared" si="5"/>
        <v>1</v>
      </c>
    </row>
    <row r="40" spans="1:29" ht="15">
      <c r="A40" s="430"/>
      <c r="B40" s="380" t="s">
        <v>2242</v>
      </c>
      <c r="C40" s="418" t="s">
        <v>3242</v>
      </c>
      <c r="D40" s="393">
        <v>100</v>
      </c>
      <c r="E40" s="418" t="s">
        <v>3242</v>
      </c>
      <c r="F40" s="419">
        <f>SUMIF(117:117,E40,118:118)-SUMIF(117:117,C40,118:118)+100</f>
        <v>100</v>
      </c>
      <c r="G40" s="418" t="s">
        <v>3242</v>
      </c>
      <c r="H40" s="393">
        <f>SUMIF(117:117,G40,118:118)-SUMIF(117:117,C40,118:118)+100</f>
        <v>100</v>
      </c>
      <c r="I40" s="418" t="s">
        <v>3242</v>
      </c>
      <c r="J40" s="393">
        <f>SUMIF(117:117,I40,118:118)-SUMIF(117:117,C40,118:118)+100</f>
        <v>100</v>
      </c>
      <c r="K40" s="568">
        <v>2</v>
      </c>
      <c r="L40" s="2897"/>
      <c r="M40" s="2891"/>
      <c r="N40" s="2891"/>
      <c r="O40" s="2891"/>
      <c r="P40" s="3462"/>
      <c r="Q40" s="1483" t="str">
        <f t="shared" si="11"/>
        <v>市政基础设施</v>
      </c>
      <c r="R40" s="711" t="s">
        <v>17</v>
      </c>
      <c r="S40" s="712">
        <f t="shared" si="12"/>
        <v>100</v>
      </c>
      <c r="T40" s="711" t="s">
        <v>17</v>
      </c>
      <c r="U40" s="712">
        <f t="shared" si="13"/>
        <v>100</v>
      </c>
      <c r="V40" s="711" t="s">
        <v>17</v>
      </c>
      <c r="W40" s="712">
        <f t="shared" si="14"/>
        <v>100</v>
      </c>
      <c r="X40" s="1486"/>
      <c r="Y40" s="3464"/>
      <c r="Z40" s="1487" t="str">
        <f t="shared" si="15"/>
        <v>市政基础设施</v>
      </c>
      <c r="AA40" s="1484">
        <f t="shared" si="3"/>
        <v>1</v>
      </c>
      <c r="AB40" s="1484">
        <f t="shared" si="4"/>
        <v>1</v>
      </c>
      <c r="AC40" s="2095">
        <f t="shared" si="5"/>
        <v>1</v>
      </c>
    </row>
    <row r="41" spans="1:29" ht="15">
      <c r="A41" s="430"/>
      <c r="B41" s="380" t="s">
        <v>2244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462"/>
      <c r="Q41" s="1483" t="str">
        <f t="shared" si="11"/>
        <v>层高</v>
      </c>
      <c r="R41" s="711" t="s">
        <v>17</v>
      </c>
      <c r="S41" s="712">
        <f t="shared" si="12"/>
        <v>100</v>
      </c>
      <c r="T41" s="711" t="s">
        <v>17</v>
      </c>
      <c r="U41" s="712">
        <f t="shared" si="13"/>
        <v>100</v>
      </c>
      <c r="V41" s="711" t="s">
        <v>17</v>
      </c>
      <c r="W41" s="712">
        <f t="shared" si="14"/>
        <v>100</v>
      </c>
      <c r="X41" s="1486"/>
      <c r="Y41" s="3464"/>
      <c r="Z41" s="1487" t="str">
        <f t="shared" si="15"/>
        <v>层高</v>
      </c>
      <c r="AA41" s="1484">
        <f t="shared" si="3"/>
        <v>1</v>
      </c>
      <c r="AB41" s="1484">
        <f t="shared" si="4"/>
        <v>1</v>
      </c>
      <c r="AC41" s="2095">
        <f t="shared" si="5"/>
        <v>1</v>
      </c>
    </row>
    <row r="42" spans="1:29" s="429" customFormat="1" ht="15">
      <c r="A42" s="426"/>
      <c r="B42" s="1485"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462"/>
      <c r="Q42" s="713" t="str">
        <f t="shared" si="11"/>
        <v>单套建筑面积</v>
      </c>
      <c r="R42" s="714" t="s">
        <v>17</v>
      </c>
      <c r="S42" s="715">
        <f t="shared" si="12"/>
        <v>100</v>
      </c>
      <c r="T42" s="714" t="s">
        <v>17</v>
      </c>
      <c r="U42" s="715">
        <f t="shared" si="13"/>
        <v>100</v>
      </c>
      <c r="V42" s="714" t="s">
        <v>17</v>
      </c>
      <c r="W42" s="715">
        <f t="shared" si="14"/>
        <v>100</v>
      </c>
      <c r="X42" s="716"/>
      <c r="Y42" s="3464"/>
      <c r="Z42" s="717" t="str">
        <f t="shared" si="15"/>
        <v>单套建筑面积</v>
      </c>
      <c r="AA42" s="1484">
        <f t="shared" si="3"/>
        <v>1</v>
      </c>
      <c r="AB42" s="1484">
        <f t="shared" si="4"/>
        <v>1</v>
      </c>
      <c r="AC42" s="2095">
        <f t="shared" si="5"/>
        <v>1</v>
      </c>
    </row>
    <row r="43" spans="1:29" ht="15">
      <c r="A43" s="430"/>
      <c r="B43" s="380" t="s">
        <v>2247</v>
      </c>
      <c r="C43" s="418" t="s">
        <v>3234</v>
      </c>
      <c r="D43" s="393">
        <v>100</v>
      </c>
      <c r="E43" s="418" t="s">
        <v>3234</v>
      </c>
      <c r="F43" s="419">
        <f>SUMIF(123:123,E43,124:124)-SUMIF(123:123,C43,124:124)+100</f>
        <v>100</v>
      </c>
      <c r="G43" s="418" t="s">
        <v>3234</v>
      </c>
      <c r="H43" s="393">
        <f>SUMIF(123:123,G43,124:124)-SUMIF(123:123,C43,124:124)+100</f>
        <v>100</v>
      </c>
      <c r="I43" s="418" t="s">
        <v>3261</v>
      </c>
      <c r="J43" s="393">
        <f>SUMIF(123:123,I43,124:124)-SUMIF(123:123,C43,124:124)+100</f>
        <v>98</v>
      </c>
      <c r="K43" s="568">
        <v>2</v>
      </c>
      <c r="L43" s="2897"/>
      <c r="M43" s="2891"/>
      <c r="N43" s="2891"/>
      <c r="O43" s="2891"/>
      <c r="P43" s="3462"/>
      <c r="Q43" s="1483" t="str">
        <f t="shared" si="11"/>
        <v>内部装修</v>
      </c>
      <c r="R43" s="711" t="s">
        <v>17</v>
      </c>
      <c r="S43" s="712">
        <f t="shared" si="12"/>
        <v>100</v>
      </c>
      <c r="T43" s="711" t="s">
        <v>17</v>
      </c>
      <c r="U43" s="712">
        <f t="shared" si="13"/>
        <v>100</v>
      </c>
      <c r="V43" s="711" t="s">
        <v>17</v>
      </c>
      <c r="W43" s="712">
        <f t="shared" si="14"/>
        <v>98</v>
      </c>
      <c r="X43" s="1486"/>
      <c r="Y43" s="3464"/>
      <c r="Z43" s="1487" t="str">
        <f t="shared" si="15"/>
        <v>内部装修</v>
      </c>
      <c r="AA43" s="1484">
        <f t="shared" si="3"/>
        <v>1</v>
      </c>
      <c r="AB43" s="1484">
        <f t="shared" si="4"/>
        <v>1</v>
      </c>
      <c r="AC43" s="2095">
        <f t="shared" si="5"/>
        <v>1.0204081632653061</v>
      </c>
    </row>
    <row r="44" spans="1:29" ht="15">
      <c r="A44" s="430"/>
      <c r="B44" s="380" t="s">
        <v>2155</v>
      </c>
      <c r="C44" s="418" t="s">
        <v>3248</v>
      </c>
      <c r="D44" s="393">
        <v>100</v>
      </c>
      <c r="E44" s="418" t="s">
        <v>3270</v>
      </c>
      <c r="F44" s="419">
        <f>SUMIF(125:125,E44,126:126)-SUMIF(125:125,C44,126:126)+100</f>
        <v>95</v>
      </c>
      <c r="G44" s="418" t="s">
        <v>3248</v>
      </c>
      <c r="H44" s="393">
        <f>SUMIF(125:125,G44,126:126)-SUMIF(125:125,C44,126:126)+100</f>
        <v>100</v>
      </c>
      <c r="I44" s="418" t="s">
        <v>3270</v>
      </c>
      <c r="J44" s="393">
        <f>SUMIF(125:125,I44,126:126)-SUMIF(125:125,C44,126:126)+100</f>
        <v>95</v>
      </c>
      <c r="K44" s="568">
        <v>5</v>
      </c>
      <c r="L44" s="2897"/>
      <c r="M44" s="2891"/>
      <c r="N44" s="2891"/>
      <c r="O44" s="2891"/>
      <c r="P44" s="3462"/>
      <c r="Q44" s="1483" t="str">
        <f t="shared" si="11"/>
        <v>内部装修维护情况</v>
      </c>
      <c r="R44" s="711" t="s">
        <v>17</v>
      </c>
      <c r="S44" s="712">
        <f t="shared" si="12"/>
        <v>95</v>
      </c>
      <c r="T44" s="711" t="s">
        <v>17</v>
      </c>
      <c r="U44" s="712">
        <f t="shared" si="13"/>
        <v>100</v>
      </c>
      <c r="V44" s="711" t="s">
        <v>17</v>
      </c>
      <c r="W44" s="712">
        <f t="shared" si="14"/>
        <v>95</v>
      </c>
      <c r="X44" s="1486"/>
      <c r="Y44" s="3464"/>
      <c r="Z44" s="1487" t="str">
        <f t="shared" si="15"/>
        <v>内部装修维护情况</v>
      </c>
      <c r="AA44" s="1484">
        <f t="shared" si="3"/>
        <v>1.0526315789473684</v>
      </c>
      <c r="AB44" s="1484">
        <f t="shared" si="4"/>
        <v>1</v>
      </c>
      <c r="AC44" s="2095">
        <f t="shared" si="5"/>
        <v>1.0526315789473684</v>
      </c>
    </row>
    <row r="45" spans="1:29" s="112" customFormat="1" ht="15">
      <c r="A45" s="431"/>
      <c r="B45" s="3259"/>
      <c r="C45" s="3260"/>
      <c r="D45" s="131">
        <v>100</v>
      </c>
      <c r="E45" s="3261"/>
      <c r="F45" s="383">
        <f>SUMIF(127:127,E45,128:128)-SUMIF(127:127,C45,128:128)+100</f>
        <v>100</v>
      </c>
      <c r="G45" s="3261"/>
      <c r="H45" s="131">
        <f>SUMIF(127:127,G45,128:128)-SUMIF(127:127,C45,128:128)+100</f>
        <v>100</v>
      </c>
      <c r="I45" s="3261"/>
      <c r="J45" s="131">
        <f>SUMIF(127:127,I45,128:128)-SUMIF(127:127,C45,128:128)+100</f>
        <v>100</v>
      </c>
      <c r="K45" s="569"/>
      <c r="L45" s="2892"/>
      <c r="M45" s="2893"/>
      <c r="N45" s="2893"/>
      <c r="O45" s="2893"/>
      <c r="P45" s="3462"/>
      <c r="Q45" s="1474">
        <f t="shared" si="11"/>
        <v>0</v>
      </c>
      <c r="R45" s="707" t="s">
        <v>17</v>
      </c>
      <c r="S45" s="708">
        <f t="shared" si="12"/>
        <v>100</v>
      </c>
      <c r="T45" s="707" t="s">
        <v>17</v>
      </c>
      <c r="U45" s="708">
        <f t="shared" si="13"/>
        <v>100</v>
      </c>
      <c r="V45" s="707" t="s">
        <v>17</v>
      </c>
      <c r="W45" s="708">
        <f t="shared" si="14"/>
        <v>100</v>
      </c>
      <c r="X45" s="709"/>
      <c r="Y45" s="3464"/>
      <c r="Z45" s="54">
        <f t="shared" si="15"/>
        <v>0</v>
      </c>
      <c r="AA45" s="710">
        <f t="shared" si="3"/>
        <v>1</v>
      </c>
      <c r="AB45" s="710">
        <f t="shared" si="4"/>
        <v>1</v>
      </c>
      <c r="AC45" s="2092">
        <f t="shared" si="5"/>
        <v>1</v>
      </c>
    </row>
    <row r="46" spans="1:29" ht="15">
      <c r="A46" s="430"/>
      <c r="B46" s="124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462"/>
      <c r="Q46" s="1483">
        <f t="shared" si="11"/>
        <v>111</v>
      </c>
      <c r="R46" s="711" t="s">
        <v>17</v>
      </c>
      <c r="S46" s="712">
        <f t="shared" si="12"/>
        <v>100</v>
      </c>
      <c r="T46" s="711" t="s">
        <v>17</v>
      </c>
      <c r="U46" s="712">
        <f t="shared" si="13"/>
        <v>100</v>
      </c>
      <c r="V46" s="711" t="s">
        <v>17</v>
      </c>
      <c r="W46" s="712">
        <f t="shared" si="14"/>
        <v>100</v>
      </c>
      <c r="X46" s="1486"/>
      <c r="Y46" s="3464"/>
      <c r="Z46" s="1487">
        <f t="shared" si="15"/>
        <v>111</v>
      </c>
      <c r="AA46" s="1484">
        <f t="shared" si="3"/>
        <v>1</v>
      </c>
      <c r="AB46" s="1484">
        <f t="shared" si="4"/>
        <v>1</v>
      </c>
      <c r="AC46" s="2095">
        <f t="shared" si="5"/>
        <v>1</v>
      </c>
    </row>
    <row r="47" spans="1:29" ht="15.75" thickBot="1">
      <c r="A47" s="436"/>
      <c r="B47" s="202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463"/>
      <c r="Q47" s="1483">
        <f t="shared" si="11"/>
        <v>111</v>
      </c>
      <c r="R47" s="711" t="s">
        <v>17</v>
      </c>
      <c r="S47" s="712">
        <f t="shared" si="12"/>
        <v>100</v>
      </c>
      <c r="T47" s="711" t="s">
        <v>17</v>
      </c>
      <c r="U47" s="712">
        <f t="shared" si="13"/>
        <v>100</v>
      </c>
      <c r="V47" s="711" t="s">
        <v>17</v>
      </c>
      <c r="W47" s="712">
        <f t="shared" si="14"/>
        <v>100</v>
      </c>
      <c r="X47" s="1486"/>
      <c r="Y47" s="3465"/>
      <c r="Z47" s="1487">
        <f t="shared" si="15"/>
        <v>111</v>
      </c>
      <c r="AA47" s="1484">
        <f t="shared" si="3"/>
        <v>1</v>
      </c>
      <c r="AB47" s="1484">
        <f t="shared" si="4"/>
        <v>1</v>
      </c>
      <c r="AC47" s="2095">
        <f t="shared" si="5"/>
        <v>1</v>
      </c>
    </row>
    <row r="48" spans="1:29" ht="15">
      <c r="A48" s="437" t="s">
        <v>2156</v>
      </c>
      <c r="B48" s="438"/>
      <c r="C48" s="1265" t="s">
        <v>1</v>
      </c>
      <c r="D48" s="1266"/>
      <c r="E48" s="1267">
        <v>45000</v>
      </c>
      <c r="F48" s="1268"/>
      <c r="G48" s="1269">
        <v>45000</v>
      </c>
      <c r="H48" s="1270"/>
      <c r="I48" s="1267">
        <v>45001</v>
      </c>
      <c r="J48" s="443"/>
      <c r="K48" s="720"/>
      <c r="L48" s="2899"/>
      <c r="M48" s="2891"/>
      <c r="N48" s="2891"/>
      <c r="O48" s="2891"/>
      <c r="P48" s="3451" t="str">
        <f>A48</f>
        <v>成交单价（元/平方米）</v>
      </c>
      <c r="Q48" s="3452"/>
      <c r="R48" s="3453">
        <f>E48</f>
        <v>45000</v>
      </c>
      <c r="S48" s="3453"/>
      <c r="T48" s="3453">
        <f>G48</f>
        <v>45000</v>
      </c>
      <c r="U48" s="3453"/>
      <c r="V48" s="3453">
        <f>I48</f>
        <v>45001</v>
      </c>
      <c r="W48" s="3453"/>
      <c r="X48" s="404"/>
      <c r="Y48" s="718"/>
      <c r="Z48" s="404"/>
      <c r="AA48" s="404"/>
      <c r="AB48" s="404"/>
      <c r="AC48" s="585"/>
    </row>
    <row r="49" spans="1:29" ht="15.75" thickBot="1">
      <c r="A49" s="444" t="s">
        <v>2248</v>
      </c>
      <c r="B49" s="445"/>
      <c r="C49" s="1271">
        <f>R50</f>
        <v>47889</v>
      </c>
      <c r="D49" s="2485" t="s">
        <v>2637</v>
      </c>
      <c r="E49" s="1272">
        <f>R49</f>
        <v>49408</v>
      </c>
      <c r="F49" s="2486"/>
      <c r="G49" s="1271">
        <f>T49</f>
        <v>42833</v>
      </c>
      <c r="H49" s="2486"/>
      <c r="I49" s="1272">
        <f>V49</f>
        <v>51425</v>
      </c>
      <c r="J49" s="2486"/>
      <c r="K49" s="2488">
        <f>F49+H49+J49</f>
        <v>0</v>
      </c>
      <c r="L49" s="2899"/>
      <c r="M49" s="2891"/>
      <c r="N49" s="2891"/>
      <c r="O49" s="2891"/>
      <c r="P49" s="3451" t="str">
        <f>A49</f>
        <v>比较价值（元/平方米）</v>
      </c>
      <c r="Q49" s="3452"/>
      <c r="R49" s="3453">
        <f>IF(F1="售价",ROUND(PRODUCT(R48,AA7:AA47),0),ROUND(PRODUCT(R48,AA7:AA47),1))</f>
        <v>49408</v>
      </c>
      <c r="S49" s="3453"/>
      <c r="T49" s="3453">
        <f>IF(F1="售价",ROUND(PRODUCT(T48,AB7:AB47),0),ROUND(PRODUCT(T48,AB7:AB47),1))</f>
        <v>42833</v>
      </c>
      <c r="U49" s="3453"/>
      <c r="V49" s="3453">
        <f>IF(F1="售价",ROUND(PRODUCT(V48,AC7:AC47),0),ROUND(PRODUCT(V48,AC7:AC47),1))</f>
        <v>51425</v>
      </c>
      <c r="W49" s="3453"/>
      <c r="X49" s="404"/>
      <c r="Y49" s="404"/>
      <c r="Z49" s="404"/>
      <c r="AA49" s="404"/>
      <c r="AB49" s="404"/>
      <c r="AC49" s="585"/>
    </row>
    <row r="50" spans="1:29" ht="15.75" thickBot="1">
      <c r="A50" s="448" t="s">
        <v>2249</v>
      </c>
      <c r="B50" s="449"/>
      <c r="C50" s="1274">
        <f>R50</f>
        <v>47889</v>
      </c>
      <c r="D50" s="1274"/>
      <c r="E50" s="1274"/>
      <c r="F50" s="1274"/>
      <c r="G50" s="1274"/>
      <c r="H50" s="1274"/>
      <c r="I50" s="1274"/>
      <c r="J50" s="450"/>
      <c r="K50" s="721"/>
      <c r="L50" s="2899"/>
      <c r="M50" s="2891"/>
      <c r="N50" s="2891"/>
      <c r="O50" s="2891"/>
      <c r="P50" s="3454" t="str">
        <f>A50</f>
        <v>估价对象XX用房的比较价值（楼面单价，元/平方米）</v>
      </c>
      <c r="Q50" s="3455"/>
      <c r="R50" s="3456">
        <f>IF(F1="售价",ROUND(IF(D49="简单平均",AVERAGE(R49:V49),R49*F49+T49*H49+V49*J49),0),ROUND(IF(D49="简单平均",AVERAGE(R49:V49),R49*F49+T49*H49+V49*J49),1))</f>
        <v>47889</v>
      </c>
      <c r="S50" s="3456"/>
      <c r="T50" s="3456"/>
      <c r="U50" s="3456"/>
      <c r="V50" s="3456"/>
      <c r="W50" s="3456"/>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2250</v>
      </c>
      <c r="D53" s="454"/>
      <c r="E53" s="455">
        <f>IF(E48&lt;E49,E49/E48-1,E48/E49-1)</f>
        <v>9.7955555555555573E-2</v>
      </c>
      <c r="F53" s="456" t="str">
        <f>IF(OR(E53&gt;=0.3,E53&lt;=-0.3),"超过30%","")</f>
        <v/>
      </c>
      <c r="G53" s="455">
        <f>IF(G48&lt;G49,G49/G48-1,G48/G49-1)</f>
        <v>5.05918333994817E-2</v>
      </c>
      <c r="H53" s="456" t="str">
        <f>IF(OR(G53&gt;=0.3,G53&lt;=-0.3),"超过30%","")</f>
        <v/>
      </c>
      <c r="I53" s="455">
        <f>IF(I48&lt;I49,I49/I48-1,I48/I49-1)</f>
        <v>0.14275238328037165</v>
      </c>
      <c r="J53" s="456" t="str">
        <f>IF(OR(I53&gt;=0.3,I53&lt;=-0.3),"超过30%","")</f>
        <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2251</v>
      </c>
      <c r="D54" s="457"/>
      <c r="E54" s="455">
        <f>IF(E49&lt;G49,G49/E49-1,E49/G49-1)</f>
        <v>0.15350314010225752</v>
      </c>
      <c r="F54" s="456" t="str">
        <f>IF(OR(E54&gt;=0.2,E54&lt;=-0.2),"超过20%","")</f>
        <v/>
      </c>
      <c r="G54" s="455">
        <f>IF(G49&lt;I49,I49/G49-1,G49/I49-1)</f>
        <v>0.20059300072374109</v>
      </c>
      <c r="H54" s="456" t="str">
        <f>IF(OR(G54&gt;=0.2,G54&lt;=-0.2),"超过20%","")</f>
        <v>超过20%</v>
      </c>
      <c r="I54" s="455">
        <f>IF(I49&lt;E49,E49/I49-1,I49/E49-1)</f>
        <v>4.0823348445595764E-2</v>
      </c>
      <c r="J54" s="456" t="str">
        <f>IF(OR(I54&gt;=0.2,I54&lt;=-0.2),"超过20%","")</f>
        <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2252</v>
      </c>
      <c r="D55" s="457"/>
      <c r="E55" s="455">
        <f>IF(E48&lt;G48,G48/E48-1,E48/G48-1)</f>
        <v>0</v>
      </c>
      <c r="F55" s="456" t="str">
        <f>IF(OR(E55&gt;=0.3,E55&lt;=-0.3),"超过30%","")</f>
        <v/>
      </c>
      <c r="G55" s="455">
        <f>IF(G48&lt;I48,I48/G48-1,G48/I48-1)</f>
        <v>2.222222222214576E-5</v>
      </c>
      <c r="H55" s="456" t="str">
        <f>IF(OR(G55&gt;=0.3,G55&lt;=-0.3),"超过30%","")</f>
        <v/>
      </c>
      <c r="I55" s="455">
        <f>IF(I48&lt;E48,E48/I48-1,I48/E48-1)</f>
        <v>2.222222222214576E-5</v>
      </c>
      <c r="J55" s="456" t="str">
        <f>IF(OR(I55&gt;=0.3,I55&lt;=-0.3),"超过30%","")</f>
        <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0" t="s">
        <v>2253</v>
      </c>
      <c r="B58" s="696"/>
      <c r="C58" s="701"/>
      <c r="D58" s="701"/>
      <c r="E58" s="701"/>
      <c r="F58" s="702"/>
      <c r="G58" s="702"/>
      <c r="H58" s="701"/>
      <c r="I58" s="701"/>
      <c r="J58" s="701"/>
      <c r="K58" s="703"/>
      <c r="L58" s="1051"/>
      <c r="M58" s="1049"/>
      <c r="N58" s="2944"/>
      <c r="O58" s="2944"/>
      <c r="P58" s="2933"/>
      <c r="Q58" s="2914"/>
      <c r="R58" s="2900"/>
      <c r="S58" s="2900"/>
      <c r="T58" s="2900"/>
      <c r="U58" s="2900"/>
      <c r="V58" s="2900"/>
      <c r="W58" s="2900"/>
      <c r="X58" s="2900"/>
      <c r="Y58" s="2900"/>
      <c r="Z58" s="2900"/>
      <c r="AA58" s="2900"/>
      <c r="AB58" s="2900"/>
      <c r="AC58" s="2900"/>
    </row>
    <row r="59" spans="1:29" s="464" customFormat="1" ht="15">
      <c r="A59" s="461" t="s">
        <v>2127</v>
      </c>
      <c r="B59" s="462"/>
      <c r="C59" s="1295" t="str">
        <f>YEAR(C7)&amp;"-"&amp;MONTH(C7)</f>
        <v>2022-9</v>
      </c>
      <c r="D59" s="1296">
        <f>EDATE(C59,-1)</f>
        <v>44774</v>
      </c>
      <c r="E59" s="1296">
        <f>EDATE(D59,-1)</f>
        <v>44743</v>
      </c>
      <c r="F59" s="1296">
        <f t="shared" ref="F59:O59" si="16">EDATE(E59,-1)</f>
        <v>44713</v>
      </c>
      <c r="G59" s="1296">
        <f t="shared" si="16"/>
        <v>44682</v>
      </c>
      <c r="H59" s="1296">
        <f t="shared" si="16"/>
        <v>44652</v>
      </c>
      <c r="I59" s="1296">
        <f t="shared" si="16"/>
        <v>44621</v>
      </c>
      <c r="J59" s="1296">
        <f t="shared" si="16"/>
        <v>44593</v>
      </c>
      <c r="K59" s="1296">
        <f t="shared" si="16"/>
        <v>44562</v>
      </c>
      <c r="L59" s="1296">
        <f t="shared" si="16"/>
        <v>44531</v>
      </c>
      <c r="M59" s="1296">
        <f t="shared" si="16"/>
        <v>44501</v>
      </c>
      <c r="N59" s="1296">
        <f t="shared" si="16"/>
        <v>44470</v>
      </c>
      <c r="O59" s="1296">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4">
        <v>100</v>
      </c>
      <c r="D60" s="468">
        <v>100</v>
      </c>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2164</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2129</v>
      </c>
      <c r="B62" s="466"/>
      <c r="C62" s="478" t="s">
        <v>2231</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2167</v>
      </c>
      <c r="B64" s="484" t="s">
        <v>2133</v>
      </c>
      <c r="C64" s="485" t="str">
        <f>C9</f>
        <v>办公</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2137</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v>0</v>
      </c>
      <c r="D69" s="505">
        <v>1</v>
      </c>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2138</v>
      </c>
      <c r="B77" s="484" t="s">
        <v>2276</v>
      </c>
      <c r="C77" s="529" t="s">
        <v>2176</v>
      </c>
      <c r="D77" s="529" t="s">
        <v>2177</v>
      </c>
      <c r="E77" s="529" t="s">
        <v>2178</v>
      </c>
      <c r="F77" s="529" t="s">
        <v>2179</v>
      </c>
      <c r="G77" s="529" t="s">
        <v>2180</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95</v>
      </c>
      <c r="E78" s="500">
        <f>D78-$K15</f>
        <v>90</v>
      </c>
      <c r="F78" s="500">
        <f>E78-$K15</f>
        <v>85</v>
      </c>
      <c r="G78" s="500">
        <f>F78-$K15</f>
        <v>80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2181</v>
      </c>
      <c r="C79" s="534" t="s">
        <v>2176</v>
      </c>
      <c r="D79" s="534" t="s">
        <v>2177</v>
      </c>
      <c r="E79" s="534" t="s">
        <v>2178</v>
      </c>
      <c r="F79" s="534" t="s">
        <v>2179</v>
      </c>
      <c r="G79" s="534" t="s">
        <v>2180</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98</v>
      </c>
      <c r="E80" s="500">
        <f>D80-$K17</f>
        <v>96</v>
      </c>
      <c r="F80" s="500">
        <f>E80-$K17</f>
        <v>94</v>
      </c>
      <c r="G80" s="500">
        <f>F80-$K17</f>
        <v>92</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2182</v>
      </c>
      <c r="C81" s="534" t="s">
        <v>2176</v>
      </c>
      <c r="D81" s="534" t="s">
        <v>2177</v>
      </c>
      <c r="E81" s="534" t="s">
        <v>2178</v>
      </c>
      <c r="F81" s="534" t="s">
        <v>2179</v>
      </c>
      <c r="G81" s="534" t="s">
        <v>2180</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98</v>
      </c>
      <c r="E82" s="500">
        <f>D82-$K19</f>
        <v>96</v>
      </c>
      <c r="F82" s="500">
        <f>E82-$K19</f>
        <v>94</v>
      </c>
      <c r="G82" s="500">
        <f>F82-$K19</f>
        <v>92</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2268</v>
      </c>
      <c r="C83" s="615" t="s">
        <v>2254</v>
      </c>
      <c r="D83" s="615" t="s">
        <v>2255</v>
      </c>
      <c r="E83" s="615" t="s">
        <v>2256</v>
      </c>
      <c r="F83" s="615" t="s">
        <v>2257</v>
      </c>
      <c r="G83" s="615" t="s">
        <v>2258</v>
      </c>
      <c r="H83" s="495"/>
      <c r="I83" s="495"/>
      <c r="J83" s="495"/>
      <c r="K83" s="495"/>
      <c r="L83" s="495"/>
      <c r="M83" s="1240"/>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98</v>
      </c>
      <c r="E84" s="500">
        <f>D84-$K21</f>
        <v>96</v>
      </c>
      <c r="F84" s="500">
        <f>E84-$K21</f>
        <v>94</v>
      </c>
      <c r="G84" s="500">
        <f>F84-$K21</f>
        <v>92</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2277</v>
      </c>
      <c r="C85" s="534" t="s">
        <v>2176</v>
      </c>
      <c r="D85" s="534" t="s">
        <v>2177</v>
      </c>
      <c r="E85" s="534" t="s">
        <v>2178</v>
      </c>
      <c r="F85" s="534" t="s">
        <v>2179</v>
      </c>
      <c r="G85" s="534" t="s">
        <v>2180</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98</v>
      </c>
      <c r="E86" s="500">
        <f>D86-$K23</f>
        <v>96</v>
      </c>
      <c r="F86" s="500">
        <f>E86-$K23</f>
        <v>94</v>
      </c>
      <c r="G86" s="500">
        <f>F86-$K23</f>
        <v>92</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2278</v>
      </c>
      <c r="C87" s="3251" t="s">
        <v>3225</v>
      </c>
      <c r="D87" s="3251" t="s">
        <v>3226</v>
      </c>
      <c r="E87" s="3251" t="s">
        <v>3227</v>
      </c>
      <c r="F87" s="3251" t="s">
        <v>3228</v>
      </c>
      <c r="G87" s="3251" t="s">
        <v>3230</v>
      </c>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3251" t="s">
        <v>3250</v>
      </c>
      <c r="D89" s="3251" t="s">
        <v>3252</v>
      </c>
      <c r="E89" s="3251" t="s">
        <v>3254</v>
      </c>
      <c r="F89" s="2060"/>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1"/>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2142</v>
      </c>
      <c r="B101" s="484" t="s">
        <v>2191</v>
      </c>
      <c r="C101" s="3252" t="s">
        <v>3232</v>
      </c>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29"/>
      <c r="O102" s="2929"/>
      <c r="P102" s="2937"/>
      <c r="Q102" s="2914"/>
      <c r="R102" s="2900"/>
      <c r="S102" s="2900"/>
      <c r="T102" s="2900"/>
      <c r="U102" s="2900"/>
      <c r="V102" s="2900"/>
      <c r="W102" s="2900"/>
      <c r="X102" s="2900"/>
      <c r="Y102" s="2900"/>
      <c r="Z102" s="2900"/>
      <c r="AA102" s="2900"/>
      <c r="AB102" s="2900"/>
      <c r="AC102" s="2900"/>
    </row>
    <row r="103" spans="1:29" ht="30" thickTop="1" thickBot="1">
      <c r="A103" s="490"/>
      <c r="B103" s="494" t="s">
        <v>2192</v>
      </c>
      <c r="C103" s="534" t="str">
        <f>C104&amp;"(含)"&amp;"-"&amp;D104</f>
        <v>0(含)-300</v>
      </c>
      <c r="D103" s="534" t="str">
        <f t="shared" ref="D103:L103" si="23">D104&amp;"(含)"&amp;"-"&amp;E104</f>
        <v>300(含)-500</v>
      </c>
      <c r="E103" s="534" t="str">
        <f t="shared" si="23"/>
        <v>500(含)-1000</v>
      </c>
      <c r="F103" s="534" t="str">
        <f t="shared" si="23"/>
        <v>1000(含)-1500</v>
      </c>
      <c r="G103" s="534" t="str">
        <f t="shared" si="23"/>
        <v>1500(含)-2000</v>
      </c>
      <c r="H103" s="534" t="str">
        <f t="shared" si="23"/>
        <v>2000(含)-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ht="15" thickTop="1">
      <c r="A104" s="549"/>
      <c r="B104" s="550"/>
      <c r="C104" s="510">
        <v>0</v>
      </c>
      <c r="D104" s="510">
        <v>300</v>
      </c>
      <c r="E104" s="510">
        <v>500</v>
      </c>
      <c r="F104" s="539">
        <v>1000</v>
      </c>
      <c r="G104" s="511">
        <v>1500</v>
      </c>
      <c r="H104" s="511">
        <v>2000</v>
      </c>
      <c r="I104" s="511"/>
      <c r="J104" s="511"/>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v>99</v>
      </c>
      <c r="D105" s="516">
        <v>100</v>
      </c>
      <c r="E105" s="516">
        <v>99</v>
      </c>
      <c r="F105" s="516">
        <v>98</v>
      </c>
      <c r="G105" s="516">
        <v>97</v>
      </c>
      <c r="H105" s="516">
        <v>96</v>
      </c>
      <c r="I105" s="516"/>
      <c r="J105" s="516"/>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2193</v>
      </c>
      <c r="C106" s="3251" t="s">
        <v>3233</v>
      </c>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2195</v>
      </c>
      <c r="C108" s="3251" t="s">
        <v>3235</v>
      </c>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103</v>
      </c>
      <c r="E112" s="500">
        <f t="shared" ref="E112:M112" si="26">D112+$K37</f>
        <v>106</v>
      </c>
      <c r="F112" s="500">
        <f t="shared" si="26"/>
        <v>109</v>
      </c>
      <c r="G112" s="500">
        <f t="shared" si="26"/>
        <v>112</v>
      </c>
      <c r="H112" s="500">
        <f t="shared" si="26"/>
        <v>115</v>
      </c>
      <c r="I112" s="500">
        <f t="shared" si="26"/>
        <v>118</v>
      </c>
      <c r="J112" s="500">
        <f t="shared" si="26"/>
        <v>121</v>
      </c>
      <c r="K112" s="500">
        <f t="shared" si="26"/>
        <v>124</v>
      </c>
      <c r="L112" s="500">
        <f t="shared" si="26"/>
        <v>127</v>
      </c>
      <c r="M112" s="500">
        <f t="shared" si="26"/>
        <v>130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2279</v>
      </c>
      <c r="C113" s="3251" t="s">
        <v>3237</v>
      </c>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2196</v>
      </c>
      <c r="C115" s="3251" t="s">
        <v>3239</v>
      </c>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99</v>
      </c>
      <c r="E116" s="500">
        <f t="shared" si="28"/>
        <v>98</v>
      </c>
      <c r="F116" s="500">
        <f t="shared" si="28"/>
        <v>97</v>
      </c>
      <c r="G116" s="500">
        <f t="shared" si="28"/>
        <v>96</v>
      </c>
      <c r="H116" s="500">
        <f t="shared" si="28"/>
        <v>95</v>
      </c>
      <c r="I116" s="500">
        <f t="shared" si="28"/>
        <v>94</v>
      </c>
      <c r="J116" s="500">
        <f t="shared" si="28"/>
        <v>93</v>
      </c>
      <c r="K116" s="500">
        <f t="shared" si="28"/>
        <v>92</v>
      </c>
      <c r="L116" s="500">
        <f t="shared" si="28"/>
        <v>91</v>
      </c>
      <c r="M116" s="501">
        <f t="shared" si="28"/>
        <v>90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2197</v>
      </c>
      <c r="C117" s="510" t="s">
        <v>3240</v>
      </c>
      <c r="D117" s="510" t="s">
        <v>3241</v>
      </c>
      <c r="E117" s="510" t="s">
        <v>3242</v>
      </c>
      <c r="F117" s="510" t="s">
        <v>3243</v>
      </c>
      <c r="G117" s="510" t="s">
        <v>3244</v>
      </c>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2280</v>
      </c>
      <c r="C119" s="539"/>
      <c r="D119" s="539"/>
      <c r="E119" s="539"/>
      <c r="F119" s="539"/>
      <c r="G119" s="539"/>
      <c r="H119" s="539"/>
      <c r="I119" s="539"/>
      <c r="J119" s="539"/>
      <c r="K119" s="539"/>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2263</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2199</v>
      </c>
      <c r="C123" s="3251" t="s">
        <v>3235</v>
      </c>
      <c r="D123" s="3251" t="s">
        <v>3262</v>
      </c>
      <c r="E123" s="3251" t="s">
        <v>3263</v>
      </c>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95</v>
      </c>
      <c r="E126" s="500">
        <f>D126-$K44</f>
        <v>90</v>
      </c>
      <c r="F126" s="500">
        <f>E126-$K44</f>
        <v>85</v>
      </c>
      <c r="G126" s="500">
        <f>F126-$K44</f>
        <v>80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0</v>
      </c>
      <c r="C127" s="3251" t="s">
        <v>3268</v>
      </c>
      <c r="D127" s="3251" t="s">
        <v>3269</v>
      </c>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v>100</v>
      </c>
      <c r="D128" s="492">
        <v>95</v>
      </c>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2" t="str">
        <f>项目基本情况!B1</f>
        <v>北京市房地产抵押价值预评估</v>
      </c>
      <c r="C37" s="3262"/>
      <c r="D37" s="3262"/>
      <c r="E37" s="3262"/>
      <c r="F37" s="3262"/>
      <c r="G37" s="3262"/>
      <c r="H37" s="3262"/>
      <c r="I37" s="3262"/>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1"/>
      <c r="C1" s="203"/>
      <c r="D1" s="203"/>
      <c r="E1" s="203"/>
      <c r="F1" s="203"/>
      <c r="G1" s="1237">
        <f>MATCH(B1,'数据-取费表'!A6:A16,0)+5</f>
        <v>8</v>
      </c>
    </row>
    <row r="2" spans="1:9" s="205" customFormat="1" ht="18" customHeight="1">
      <c r="A2" s="206" t="s">
        <v>1906</v>
      </c>
      <c r="B2" s="207">
        <f ca="1">IF(D2="——",C52,C52-E2)</f>
        <v>80873</v>
      </c>
      <c r="C2" s="204" t="s">
        <v>1907</v>
      </c>
      <c r="D2" s="1986" t="s">
        <v>70</v>
      </c>
      <c r="E2" s="1280" t="e">
        <f ca="1">SUMIF(INDIRECT("'"&amp;G2&amp;"'"&amp;"!A:A"),"承租人权益价值",INDIRECT("'"&amp;G2&amp;"'"&amp;"!c:c"))</f>
        <v>#REF!</v>
      </c>
      <c r="F2" s="1987" t="s">
        <v>1907</v>
      </c>
      <c r="G2" s="1988"/>
    </row>
    <row r="3" spans="1:9" s="205" customFormat="1" ht="18" customHeight="1" thickBot="1">
      <c r="A3" s="208" t="s">
        <v>1908</v>
      </c>
      <c r="B3" s="209">
        <f ca="1">ROUND(B2*10000/(IF(B1="",'数据-汇总表'!E3,INDIRECT("'数据-取费表'!k"&amp;$G$1))),0)</f>
        <v>32525</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55539</v>
      </c>
      <c r="D5" s="216" t="s">
        <v>1913</v>
      </c>
      <c r="E5" s="217" t="s">
        <v>1914</v>
      </c>
      <c r="F5" s="217" t="s">
        <v>1915</v>
      </c>
      <c r="G5" s="218"/>
    </row>
    <row r="6" spans="1:9" s="219" customFormat="1" ht="13.5" customHeight="1">
      <c r="A6" s="864" t="s">
        <v>1916</v>
      </c>
      <c r="B6" s="220" t="s">
        <v>1917</v>
      </c>
      <c r="C6" s="221">
        <f>[2]基准地价修正!$B$2</f>
        <v>53413</v>
      </c>
      <c r="D6" s="222"/>
      <c r="E6" s="223"/>
      <c r="F6" s="223"/>
      <c r="G6" s="224"/>
    </row>
    <row r="7" spans="1:9" s="219" customFormat="1" ht="13.5" customHeight="1">
      <c r="A7" s="864" t="s">
        <v>1918</v>
      </c>
      <c r="B7" s="220" t="s">
        <v>1919</v>
      </c>
      <c r="C7" s="225">
        <f>ROUND(C6*F7,0)</f>
        <v>1629</v>
      </c>
      <c r="D7" s="225"/>
      <c r="E7" s="223"/>
      <c r="F7" s="226">
        <f>IF(项目基本情况!B8="出让",0,'数据-取费表'!B48+'数据-取费表'!B49)</f>
        <v>3.0499999999999999E-2</v>
      </c>
      <c r="G7" s="224"/>
    </row>
    <row r="8" spans="1:9" s="228" customFormat="1">
      <c r="A8" s="864" t="s">
        <v>1920</v>
      </c>
      <c r="B8" s="220" t="s">
        <v>1921</v>
      </c>
      <c r="C8" s="225">
        <f>IF(G8="已包含在土地购买价格中","0",IF(B1="",'数据-取费表'!B29,IF(G9="全部缴纳",C9+C10,H9)))</f>
        <v>497</v>
      </c>
      <c r="D8" s="227"/>
      <c r="E8" s="225"/>
      <c r="F8" s="226"/>
      <c r="G8" s="1989"/>
    </row>
    <row r="9" spans="1:9" s="219" customFormat="1" ht="13.5" customHeight="1">
      <c r="A9" s="865" t="s">
        <v>619</v>
      </c>
      <c r="B9" s="229" t="s">
        <v>1922</v>
      </c>
      <c r="C9" s="230">
        <f ca="1">ROUND(D9*E9/10000,0)</f>
        <v>0</v>
      </c>
      <c r="D9" s="932">
        <f ca="1">IF(B1="",'数据-汇总表'!E5,IF(INDIRECT("'数据-取费表'!c"&amp;$G$1)="住宅",INDIRECT("'数据-取费表'!k"&amp;$G$1),0))</f>
        <v>0</v>
      </c>
      <c r="E9" s="230">
        <f>'数据-取费表'!B27</f>
        <v>0</v>
      </c>
      <c r="F9" s="226"/>
      <c r="G9" s="1990"/>
      <c r="H9" s="1248"/>
      <c r="I9" s="1991" t="s">
        <v>1923</v>
      </c>
    </row>
    <row r="10" spans="1:9" s="219" customFormat="1" ht="13.5" customHeight="1">
      <c r="A10" s="865" t="s">
        <v>620</v>
      </c>
      <c r="B10" s="229" t="s">
        <v>1924</v>
      </c>
      <c r="C10" s="230">
        <f ca="1">ROUND(D10*E10/10000,0)</f>
        <v>497</v>
      </c>
      <c r="D10" s="932">
        <f ca="1">IF(B1="",'数据-汇总表'!E6,IF(INDIRECT("'数据-取费表'!c"&amp;$G$1)="住宅",INDIRECT("'数据-取费表'!s"&amp;$G$1),INDIRECT("'数据-取费表'!k"&amp;$G$1)+INDIRECT("'数据-取费表'!s"&amp;$G$1)))</f>
        <v>24865.040000000005</v>
      </c>
      <c r="E10" s="230">
        <f>'数据-取费表'!B28</f>
        <v>200</v>
      </c>
      <c r="F10" s="226"/>
      <c r="G10" s="231"/>
    </row>
    <row r="11" spans="1:9" s="219" customFormat="1" ht="13.5" hidden="1" customHeight="1">
      <c r="A11" s="232" t="s">
        <v>7</v>
      </c>
      <c r="B11" s="220" t="s">
        <v>1925</v>
      </c>
      <c r="C11" s="216"/>
      <c r="D11" s="934"/>
      <c r="E11" s="223"/>
      <c r="F11" s="223"/>
      <c r="G11" s="224"/>
    </row>
    <row r="12" spans="1:9" s="219" customFormat="1" ht="13.5" hidden="1" customHeight="1">
      <c r="A12" s="232" t="s">
        <v>8</v>
      </c>
      <c r="B12" s="220" t="s">
        <v>1926</v>
      </c>
      <c r="C12" s="216">
        <v>0</v>
      </c>
      <c r="D12" s="934"/>
      <c r="E12" s="233"/>
      <c r="F12" s="226">
        <v>3.0499999999999999E-2</v>
      </c>
      <c r="G12" s="224"/>
    </row>
    <row r="13" spans="1:9" s="219" customFormat="1" ht="13.5" hidden="1" customHeight="1">
      <c r="A13" s="232" t="s">
        <v>9</v>
      </c>
      <c r="B13" s="220" t="s">
        <v>1927</v>
      </c>
      <c r="C13" s="216"/>
      <c r="D13" s="934"/>
      <c r="E13" s="223"/>
      <c r="F13" s="223"/>
      <c r="G13" s="224"/>
    </row>
    <row r="14" spans="1:9" s="219" customFormat="1" ht="13.5" hidden="1" customHeight="1">
      <c r="A14" s="232" t="s">
        <v>10</v>
      </c>
      <c r="B14" s="220" t="s">
        <v>1928</v>
      </c>
      <c r="C14" s="216"/>
      <c r="D14" s="934"/>
      <c r="E14" s="223"/>
      <c r="F14" s="223"/>
      <c r="G14" s="224" t="s">
        <v>1929</v>
      </c>
    </row>
    <row r="15" spans="1:9" s="219" customFormat="1" ht="13.5" hidden="1" customHeight="1">
      <c r="A15" s="232" t="s">
        <v>11</v>
      </c>
      <c r="B15" s="220" t="s">
        <v>1930</v>
      </c>
      <c r="C15" s="225"/>
      <c r="D15" s="934"/>
      <c r="E15" s="223"/>
      <c r="F15" s="223"/>
      <c r="G15" s="224" t="s">
        <v>1931</v>
      </c>
    </row>
    <row r="16" spans="1:9" s="219" customFormat="1" ht="13.5" hidden="1" customHeight="1">
      <c r="A16" s="232" t="s">
        <v>12</v>
      </c>
      <c r="B16" s="220" t="s">
        <v>1928</v>
      </c>
      <c r="C16" s="225"/>
      <c r="D16" s="934"/>
      <c r="E16" s="223"/>
      <c r="F16" s="223"/>
      <c r="G16" s="224"/>
    </row>
    <row r="17" spans="1:7" s="219" customFormat="1" ht="13.5" hidden="1" customHeight="1">
      <c r="A17" s="232" t="s">
        <v>13</v>
      </c>
      <c r="B17" s="220" t="s">
        <v>1932</v>
      </c>
      <c r="C17" s="234"/>
      <c r="D17" s="935"/>
      <c r="E17" s="234"/>
      <c r="F17" s="234"/>
      <c r="G17" s="224" t="s">
        <v>1931</v>
      </c>
    </row>
    <row r="18" spans="1:7" s="219" customFormat="1" ht="13.5" hidden="1" customHeight="1">
      <c r="A18" s="232" t="s">
        <v>14</v>
      </c>
      <c r="B18" s="220" t="s">
        <v>1933</v>
      </c>
      <c r="C18" s="225">
        <v>0</v>
      </c>
      <c r="D18" s="934"/>
      <c r="E18" s="223"/>
      <c r="F18" s="226">
        <v>3.0499999999999999E-2</v>
      </c>
      <c r="G18" s="224" t="s">
        <v>1934</v>
      </c>
    </row>
    <row r="19" spans="1:7" s="228" customFormat="1" ht="13.5" customHeight="1">
      <c r="A19" s="260" t="s">
        <v>1935</v>
      </c>
      <c r="B19" s="215" t="s">
        <v>1936</v>
      </c>
      <c r="C19" s="216">
        <f ca="1">IF(G19="已包含在土地取得成本中","0",ROUND(D19*E19/10000,0))</f>
        <v>497</v>
      </c>
      <c r="D19" s="936">
        <f ca="1">D9+D10</f>
        <v>24865.040000000005</v>
      </c>
      <c r="E19" s="216">
        <f>'数据-取费表'!B31</f>
        <v>200</v>
      </c>
      <c r="F19" s="236"/>
      <c r="G19" s="1989"/>
    </row>
    <row r="20" spans="1:7" s="219" customFormat="1" ht="13.5" customHeight="1">
      <c r="A20" s="260" t="s">
        <v>1937</v>
      </c>
      <c r="B20" s="215" t="s">
        <v>1938</v>
      </c>
      <c r="C20" s="237">
        <f ca="1">ROUND((C5+C19)*F20,0)</f>
        <v>1121</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3">
        <f ca="1">ROUND(SUM(C23:C25),0)</f>
        <v>4794</v>
      </c>
      <c r="D22" s="240">
        <f ca="1">C26</f>
        <v>8.0000000000000004E-4</v>
      </c>
      <c r="E22" s="241" t="s">
        <v>1942</v>
      </c>
      <c r="F22" s="242">
        <f ca="1">'数据-取费表'!B40</f>
        <v>4.1499999999999995E-2</v>
      </c>
      <c r="G22" s="239" t="str">
        <f>IF('数据-取费表'!B22&lt;=1,"单利计息","复利计息")</f>
        <v>复利计息</v>
      </c>
    </row>
    <row r="23" spans="1:7" s="219" customFormat="1" ht="13.5" customHeight="1">
      <c r="A23" s="866" t="s">
        <v>1946</v>
      </c>
      <c r="B23" s="220" t="s">
        <v>1947</v>
      </c>
      <c r="C23" s="1214">
        <f ca="1">ROUND(IF('数据-取费表'!B22&lt;=1,C5*F22*'数据-取费表'!B23,C5*(POWER((1+F22),'数据-取费表'!B23)-1)),0)</f>
        <v>4705</v>
      </c>
      <c r="D23" s="243"/>
      <c r="E23" s="243"/>
      <c r="F23" s="244"/>
      <c r="G23" s="245" t="s">
        <v>1948</v>
      </c>
    </row>
    <row r="24" spans="1:7" s="219" customFormat="1" ht="13.5" customHeight="1">
      <c r="A24" s="866" t="s">
        <v>1949</v>
      </c>
      <c r="B24" s="220" t="s">
        <v>1950</v>
      </c>
      <c r="C24" s="1214">
        <f ca="1">ROUND(IF('数据-取费表'!B22&lt;=1,C19*F22*('数据-取费表'!B19/2+'数据-取费表'!B21),C19*(POWER((1+F22),('数据-取费表'!B19/2+'数据-取费表'!B21))-1)),0)</f>
        <v>42</v>
      </c>
      <c r="D24" s="243"/>
      <c r="E24" s="243"/>
      <c r="F24" s="244"/>
      <c r="G24" s="245" t="s">
        <v>1951</v>
      </c>
    </row>
    <row r="25" spans="1:7" s="219" customFormat="1" ht="24">
      <c r="A25" s="866" t="s">
        <v>1952</v>
      </c>
      <c r="B25" s="220" t="s">
        <v>1953</v>
      </c>
      <c r="C25" s="1214">
        <f ca="1">ROUND(IF('数据-取费表'!B22&lt;=1,C20*F22*'数据-取费表'!B23/2,C20*(POWER((1+F22),'数据-取费表'!B23/2)-1)),0)</f>
        <v>47</v>
      </c>
      <c r="D25" s="243"/>
      <c r="E25" s="246"/>
      <c r="F25" s="244"/>
      <c r="G25" s="247" t="s">
        <v>1954</v>
      </c>
    </row>
    <row r="26" spans="1:7" s="219" customFormat="1">
      <c r="A26" s="866" t="s">
        <v>614</v>
      </c>
      <c r="B26" s="220" t="s">
        <v>1955</v>
      </c>
      <c r="C26" s="243">
        <f ca="1">ROUND(IF('数据-取费表'!B22&lt;=1,F21*F22*'数据-取费表'!B23/2,F21*(POWER((1+F22),'数据-取费表'!B23/2)-1)),4)</f>
        <v>8.0000000000000004E-4</v>
      </c>
      <c r="D26" s="243"/>
      <c r="E26" s="246"/>
      <c r="F26" s="244"/>
      <c r="G26" s="248"/>
    </row>
    <row r="27" spans="1:7" s="219" customFormat="1" ht="24.75">
      <c r="A27" s="260" t="s">
        <v>1956</v>
      </c>
      <c r="B27" s="249" t="s">
        <v>1957</v>
      </c>
      <c r="C27" s="250">
        <f ca="1">C28</f>
        <v>11431</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ROUND((C5+C19+C20)*F27*'数据-取费表'!B21/'数据-取费表'!B20,0)</f>
        <v>11431</v>
      </c>
      <c r="D28" s="240"/>
      <c r="E28" s="241"/>
      <c r="F28" s="251"/>
      <c r="G28" s="252"/>
    </row>
    <row r="29" spans="1:7" s="219" customFormat="1" ht="13.5" customHeight="1">
      <c r="A29" s="866" t="s">
        <v>611</v>
      </c>
      <c r="B29" s="253" t="s">
        <v>1961</v>
      </c>
      <c r="C29" s="243">
        <f ca="1">ROUND(C21*F27*'数据-取费表'!B21/'数据-取费表'!B20,4)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79599</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1205</v>
      </c>
      <c r="D33" s="237"/>
      <c r="E33" s="217"/>
      <c r="F33" s="246"/>
      <c r="G33" s="239"/>
    </row>
    <row r="34" spans="1:7" s="263" customFormat="1" ht="13.5" customHeight="1">
      <c r="A34" s="866" t="s">
        <v>610</v>
      </c>
      <c r="B34" s="220" t="s">
        <v>1969</v>
      </c>
      <c r="C34" s="225">
        <f ca="1">IF(B1="",IF(F34=100%,'数据-取费表'!M16,'数据-取费表'!O16),IF(F34=100%,INDIRECT("'数据-取费表'!m"&amp;$G$1)+INDIRECT("'数据-取费表'!t"&amp;$G$1),INDIRECT("'数据-取费表'!o"&amp;$G$1)+INDIRECT("'数据-取费表'!aq"&amp;$G$1)))</f>
        <v>678</v>
      </c>
      <c r="D34" s="222"/>
      <c r="E34" s="225"/>
      <c r="F34" s="262">
        <f ca="1">IF('数据-取费表'!B24=0,1,IF(B1="",'数据-取费表'!N16,INDIRECT("'数据-取费表'!n"&amp;$G$1)))</f>
        <v>1</v>
      </c>
      <c r="G34" s="224" t="s">
        <v>1970</v>
      </c>
    </row>
    <row r="35" spans="1:7" ht="13.5" customHeight="1">
      <c r="A35" s="866" t="s">
        <v>615</v>
      </c>
      <c r="B35" s="220" t="s">
        <v>1971</v>
      </c>
      <c r="C35" s="225">
        <f ca="1">ROUND(C34*F35,0)</f>
        <v>20</v>
      </c>
      <c r="D35" s="225"/>
      <c r="E35" s="225"/>
      <c r="F35" s="264">
        <f>'数据-取费表'!B33</f>
        <v>0.03</v>
      </c>
      <c r="G35" s="224" t="s">
        <v>1972</v>
      </c>
    </row>
    <row r="36" spans="1:7" ht="24">
      <c r="A36" s="866"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6" t="s">
        <v>617</v>
      </c>
      <c r="B37" s="220" t="s">
        <v>1975</v>
      </c>
      <c r="C37" s="254">
        <f ca="1">ROUND(E37*D37*F34/10000,0)</f>
        <v>497</v>
      </c>
      <c r="D37" s="222">
        <f ca="1">D19</f>
        <v>24865.040000000005</v>
      </c>
      <c r="E37" s="254">
        <f>'数据-取费表'!B35</f>
        <v>200</v>
      </c>
      <c r="F37" s="264"/>
      <c r="G37" s="266" t="s">
        <v>1976</v>
      </c>
    </row>
    <row r="38" spans="1:7" ht="13.5" customHeight="1">
      <c r="A38" s="866" t="s">
        <v>618</v>
      </c>
      <c r="B38" s="220" t="s">
        <v>1977</v>
      </c>
      <c r="C38" s="225">
        <f ca="1">ROUND(C34*F38,0)</f>
        <v>10</v>
      </c>
      <c r="D38" s="225"/>
      <c r="E38" s="225"/>
      <c r="F38" s="264">
        <f>'数据-取费表'!B36</f>
        <v>1.4999999999999999E-2</v>
      </c>
      <c r="G38" s="224" t="s">
        <v>1972</v>
      </c>
    </row>
    <row r="39" spans="1:7" s="219" customFormat="1" ht="13.5" customHeight="1">
      <c r="A39" s="260" t="s">
        <v>1978</v>
      </c>
      <c r="B39" s="215" t="s">
        <v>1979</v>
      </c>
      <c r="C39" s="237">
        <f ca="1">ROUND(C33*F20,0)</f>
        <v>24</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ROUND(IF('数据-取费表'!B22&lt;=1,C33*F22*'数据-取费表'!B21/2,C33*(POWER((1+F22),'数据-取费表'!B21/2)-1)),0)</f>
        <v>50</v>
      </c>
      <c r="D42" s="243"/>
      <c r="E42" s="243"/>
      <c r="F42" s="244"/>
      <c r="G42" s="3503" t="s">
        <v>1988</v>
      </c>
    </row>
    <row r="43" spans="1:7" ht="13.5" customHeight="1">
      <c r="A43" s="866" t="s">
        <v>611</v>
      </c>
      <c r="B43" s="220" t="s">
        <v>1989</v>
      </c>
      <c r="C43" s="243">
        <f ca="1">ROUND(IF('数据-取费表'!B22&lt;=1,C39*F22*'数据-取费表'!B21/2,C39*(POWER((1+F22),'数据-取费表'!B21/2)-1)),0)</f>
        <v>1</v>
      </c>
      <c r="D43" s="243"/>
      <c r="E43" s="243"/>
      <c r="F43" s="244"/>
      <c r="G43" s="3504"/>
    </row>
    <row r="44" spans="1:7" ht="13.5" customHeight="1">
      <c r="A44" s="866" t="s">
        <v>612</v>
      </c>
      <c r="B44" s="220" t="s">
        <v>1990</v>
      </c>
      <c r="C44" s="243">
        <f ca="1">ROUND(IF('数据-取费表'!B22&lt;=1,C40*F22*'数据-取费表'!B21/2,C40*(POWER((1+F22),'数据-取费表'!B21/2)-1)),4)</f>
        <v>8.0000000000000004E-4</v>
      </c>
      <c r="D44" s="243"/>
      <c r="E44" s="243"/>
      <c r="F44" s="244"/>
      <c r="G44" s="3505"/>
    </row>
    <row r="45" spans="1:7" s="219" customFormat="1" ht="13.5" customHeight="1">
      <c r="A45" s="260" t="s">
        <v>1991</v>
      </c>
      <c r="B45" s="249" t="s">
        <v>1957</v>
      </c>
      <c r="C45" s="250">
        <f ca="1">C46</f>
        <v>246</v>
      </c>
      <c r="D45" s="240">
        <f ca="1">C47</f>
        <v>4.0000000000000001E-3</v>
      </c>
      <c r="E45" s="241" t="s">
        <v>1983</v>
      </c>
      <c r="F45" s="2484">
        <f ca="1">F27</f>
        <v>0.2</v>
      </c>
      <c r="G45" s="252" t="s">
        <v>1992</v>
      </c>
    </row>
    <row r="46" spans="1:7" s="219" customFormat="1" ht="13.5" customHeight="1">
      <c r="A46" s="866" t="s">
        <v>610</v>
      </c>
      <c r="B46" s="253" t="s">
        <v>1993</v>
      </c>
      <c r="C46" s="254">
        <f ca="1">ROUND((C33+C39)*F27,0)</f>
        <v>246</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1444">
        <f>ROUND(F30/(1+'数据-取费表'!C42),4)</f>
        <v>5.33E-2</v>
      </c>
      <c r="D48" s="241" t="s">
        <v>1983</v>
      </c>
      <c r="E48" s="237"/>
      <c r="F48" s="2483">
        <f>F30</f>
        <v>5.6000000000000001E-2</v>
      </c>
      <c r="G48" s="239" t="s">
        <v>1996</v>
      </c>
    </row>
    <row r="49" spans="1:7" ht="16.5" customHeight="1">
      <c r="A49" s="260" t="s">
        <v>1962</v>
      </c>
      <c r="B49" s="215" t="s">
        <v>1997</v>
      </c>
      <c r="C49" s="237">
        <f ca="1">ROUND((C33+C39+C41+C45)/(1-C40-D41-D45-C48),0)</f>
        <v>1655</v>
      </c>
      <c r="D49" s="237"/>
      <c r="E49" s="237"/>
      <c r="F49" s="269"/>
      <c r="G49" s="239" t="s">
        <v>1998</v>
      </c>
    </row>
    <row r="50" spans="1:7" s="263" customFormat="1" ht="24">
      <c r="A50" s="260" t="s">
        <v>1999</v>
      </c>
      <c r="B50" s="215" t="s">
        <v>2000</v>
      </c>
      <c r="C50" s="237"/>
      <c r="D50" s="237"/>
      <c r="E50" s="237"/>
      <c r="F50" s="269">
        <f>IF('数据-取费表'!B24=0,'数据-取费表'!N16,1)</f>
        <v>0.77</v>
      </c>
      <c r="G50" s="252" t="s">
        <v>2001</v>
      </c>
    </row>
    <row r="51" spans="1:7" ht="16.5" customHeight="1">
      <c r="A51" s="260" t="s">
        <v>2002</v>
      </c>
      <c r="B51" s="215" t="s">
        <v>2003</v>
      </c>
      <c r="C51" s="237">
        <f ca="1">ROUND(C49*F50,0)</f>
        <v>1274</v>
      </c>
      <c r="D51" s="237"/>
      <c r="E51" s="237"/>
      <c r="F51" s="269"/>
      <c r="G51" s="239" t="s">
        <v>2004</v>
      </c>
    </row>
    <row r="52" spans="1:7" s="213" customFormat="1" ht="16.5" thickBot="1">
      <c r="A52" s="270" t="s">
        <v>2005</v>
      </c>
      <c r="B52" s="271"/>
      <c r="C52" s="272">
        <f ca="1">C31+C51</f>
        <v>80873</v>
      </c>
      <c r="D52" s="271"/>
      <c r="E52" s="271"/>
      <c r="F52" s="271"/>
      <c r="G52" s="273"/>
    </row>
    <row r="55" spans="1:7" ht="15">
      <c r="B55" s="275" t="s">
        <v>2006</v>
      </c>
      <c r="C55" s="276"/>
    </row>
    <row r="56" spans="1:7">
      <c r="B56" s="278" t="s">
        <v>1237</v>
      </c>
      <c r="C56" s="280">
        <f ca="1">1-C57</f>
        <v>0.98399999999999999</v>
      </c>
    </row>
    <row r="57" spans="1:7">
      <c r="B57" s="278" t="s">
        <v>1238</v>
      </c>
      <c r="C57" s="279">
        <f ca="1">ROUND(C51/C52,3)</f>
        <v>1.6E-2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1"/>
      <c r="C1" s="1992" t="s">
        <v>2007</v>
      </c>
      <c r="D1" s="203"/>
      <c r="E1" s="203"/>
      <c r="F1" s="203"/>
      <c r="G1" s="1237">
        <f>MATCH(B1,'数据-取费表'!A6:A16,0)+5</f>
        <v>8</v>
      </c>
      <c r="H1" s="1169" t="str">
        <f>IF(ISERROR(FIND("住宅",B1)),"非住宅","住宅")</f>
        <v>非住宅</v>
      </c>
    </row>
    <row r="2" spans="1:8" s="205" customFormat="1" ht="18" customHeight="1">
      <c r="A2" s="206" t="s">
        <v>1906</v>
      </c>
      <c r="B2" s="207">
        <f ca="1">ROUND(IF(D2="——",C52/10000,C52/10000-E2),0)</f>
        <v>2688</v>
      </c>
      <c r="C2" s="204" t="s">
        <v>1907</v>
      </c>
      <c r="D2" s="1986" t="s">
        <v>70</v>
      </c>
      <c r="E2" s="1280" t="e">
        <f ca="1">SUMIF(INDIRECT("'"&amp;G2&amp;"'"&amp;"!A:A"),"承租人权益价值",INDIRECT("'"&amp;G2&amp;"'"&amp;"!c:c"))</f>
        <v>#REF!</v>
      </c>
      <c r="F2" s="1987" t="s">
        <v>1907</v>
      </c>
      <c r="G2" s="1988"/>
    </row>
    <row r="3" spans="1:8" s="205" customFormat="1" ht="18" customHeight="1" thickBot="1">
      <c r="A3" s="208" t="s">
        <v>1908</v>
      </c>
      <c r="B3" s="209">
        <f ca="1">ROUND(B2*10000/(IF(B1="",'数据-汇总表'!E3,INDIRECT("'数据-取费表'!k"&amp;$G$1))),0)</f>
        <v>1081</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4973008</v>
      </c>
      <c r="D5" s="216" t="s">
        <v>1913</v>
      </c>
      <c r="E5" s="217" t="s">
        <v>1914</v>
      </c>
      <c r="F5" s="217" t="s">
        <v>1915</v>
      </c>
      <c r="G5" s="218"/>
    </row>
    <row r="6" spans="1:8" s="219" customFormat="1" ht="13.5" customHeight="1">
      <c r="A6" s="864" t="s">
        <v>1916</v>
      </c>
      <c r="B6" s="220" t="s">
        <v>1917</v>
      </c>
      <c r="C6" s="221"/>
      <c r="D6" s="222"/>
      <c r="E6" s="223"/>
      <c r="F6" s="223"/>
      <c r="G6" s="224"/>
    </row>
    <row r="7" spans="1:8" s="219" customFormat="1" ht="13.5" customHeight="1">
      <c r="A7" s="864" t="s">
        <v>1918</v>
      </c>
      <c r="B7" s="220" t="s">
        <v>1919</v>
      </c>
      <c r="C7" s="225">
        <f>ROUND(C6*F7,0)</f>
        <v>0</v>
      </c>
      <c r="D7" s="225"/>
      <c r="E7" s="223"/>
      <c r="F7" s="226">
        <f>IF(项目基本情况!B8="出让",0,'数据-取费表'!B48+'数据-取费表'!B49)</f>
        <v>3.0499999999999999E-2</v>
      </c>
      <c r="G7" s="224"/>
    </row>
    <row r="8" spans="1:8" s="228" customFormat="1">
      <c r="A8" s="864" t="s">
        <v>1920</v>
      </c>
      <c r="B8" s="220" t="s">
        <v>1921</v>
      </c>
      <c r="C8" s="225">
        <f ca="1">IF(G8="已包含在土地购买价格中",0,C9+C10)</f>
        <v>4973008</v>
      </c>
      <c r="D8" s="227"/>
      <c r="E8" s="225"/>
      <c r="F8" s="226"/>
      <c r="G8" s="1989"/>
    </row>
    <row r="9" spans="1:8" s="219" customFormat="1" ht="13.5" customHeight="1">
      <c r="A9" s="865" t="s">
        <v>619</v>
      </c>
      <c r="B9" s="229" t="s">
        <v>1922</v>
      </c>
      <c r="C9" s="230">
        <f ca="1">ROUND(D9*E9,0)</f>
        <v>0</v>
      </c>
      <c r="D9" s="932">
        <f ca="1">IF(B1="",'数据-汇总表'!E5,IF(INDIRECT("'数据-取费表'!c"&amp;$G$1)="住宅",INDIRECT("'数据-取费表'!k"&amp;$G$1),0))</f>
        <v>0</v>
      </c>
      <c r="E9" s="230">
        <f>'数据-取费表'!B27</f>
        <v>0</v>
      </c>
      <c r="F9" s="226"/>
      <c r="G9" s="231"/>
    </row>
    <row r="10" spans="1:8" s="219" customFormat="1" ht="13.5" customHeight="1">
      <c r="A10" s="865" t="s">
        <v>620</v>
      </c>
      <c r="B10" s="229" t="s">
        <v>1924</v>
      </c>
      <c r="C10" s="230">
        <f ca="1">ROUND(D10*E10,0)</f>
        <v>4973008</v>
      </c>
      <c r="D10" s="932">
        <f ca="1">IF(B1="",'数据-汇总表'!E6,IF(INDIRECT("'数据-取费表'!c"&amp;$G$1)="住宅",INDIRECT("'数据-取费表'!s"&amp;$G$1),INDIRECT("'数据-取费表'!k"&amp;$G$1)+INDIRECT("'数据-取费表'!s"&amp;$G$1)))</f>
        <v>24865.040000000005</v>
      </c>
      <c r="E10" s="230">
        <f>'数据-取费表'!B28</f>
        <v>200</v>
      </c>
      <c r="F10" s="226"/>
      <c r="G10" s="231"/>
    </row>
    <row r="11" spans="1:8" s="219" customFormat="1" ht="13.5" hidden="1" customHeight="1">
      <c r="A11" s="232" t="s">
        <v>7</v>
      </c>
      <c r="B11" s="220" t="s">
        <v>1925</v>
      </c>
      <c r="C11" s="216"/>
      <c r="D11" s="934"/>
      <c r="E11" s="223"/>
      <c r="F11" s="223"/>
      <c r="G11" s="224"/>
    </row>
    <row r="12" spans="1:8" s="219" customFormat="1" ht="13.5" hidden="1" customHeight="1">
      <c r="A12" s="232" t="s">
        <v>8</v>
      </c>
      <c r="B12" s="220" t="s">
        <v>2008</v>
      </c>
      <c r="C12" s="216">
        <v>0</v>
      </c>
      <c r="D12" s="934"/>
      <c r="E12" s="233"/>
      <c r="F12" s="226">
        <v>3.0499999999999999E-2</v>
      </c>
      <c r="G12" s="224"/>
    </row>
    <row r="13" spans="1:8" s="219" customFormat="1" ht="13.5" hidden="1" customHeight="1">
      <c r="A13" s="232" t="s">
        <v>9</v>
      </c>
      <c r="B13" s="220" t="s">
        <v>2009</v>
      </c>
      <c r="C13" s="216"/>
      <c r="D13" s="934"/>
      <c r="E13" s="223"/>
      <c r="F13" s="223"/>
      <c r="G13" s="224"/>
    </row>
    <row r="14" spans="1:8" s="219" customFormat="1" ht="13.5" hidden="1" customHeight="1">
      <c r="A14" s="232" t="s">
        <v>10</v>
      </c>
      <c r="B14" s="220" t="s">
        <v>1921</v>
      </c>
      <c r="C14" s="216"/>
      <c r="D14" s="934"/>
      <c r="E14" s="223"/>
      <c r="F14" s="223"/>
      <c r="G14" s="224" t="s">
        <v>2010</v>
      </c>
    </row>
    <row r="15" spans="1:8" s="219" customFormat="1" ht="13.5" hidden="1" customHeight="1">
      <c r="A15" s="232" t="s">
        <v>11</v>
      </c>
      <c r="B15" s="220" t="s">
        <v>2011</v>
      </c>
      <c r="C15" s="225"/>
      <c r="D15" s="934"/>
      <c r="E15" s="223"/>
      <c r="F15" s="223"/>
      <c r="G15" s="224" t="s">
        <v>2012</v>
      </c>
    </row>
    <row r="16" spans="1:8" s="219" customFormat="1" ht="13.5" hidden="1" customHeight="1">
      <c r="A16" s="232" t="s">
        <v>12</v>
      </c>
      <c r="B16" s="220" t="s">
        <v>1921</v>
      </c>
      <c r="C16" s="225"/>
      <c r="D16" s="934"/>
      <c r="E16" s="223"/>
      <c r="F16" s="223"/>
      <c r="G16" s="224"/>
    </row>
    <row r="17" spans="1:7" s="219" customFormat="1" ht="13.5" hidden="1" customHeight="1">
      <c r="A17" s="232" t="s">
        <v>13</v>
      </c>
      <c r="B17" s="220" t="s">
        <v>2013</v>
      </c>
      <c r="C17" s="234"/>
      <c r="D17" s="935"/>
      <c r="E17" s="234"/>
      <c r="F17" s="234"/>
      <c r="G17" s="224" t="s">
        <v>2012</v>
      </c>
    </row>
    <row r="18" spans="1:7" s="219" customFormat="1" ht="13.5" hidden="1" customHeight="1">
      <c r="A18" s="232" t="s">
        <v>14</v>
      </c>
      <c r="B18" s="220" t="s">
        <v>2014</v>
      </c>
      <c r="C18" s="225">
        <v>0</v>
      </c>
      <c r="D18" s="934"/>
      <c r="E18" s="223"/>
      <c r="F18" s="226">
        <v>3.0499999999999999E-2</v>
      </c>
      <c r="G18" s="224" t="s">
        <v>2015</v>
      </c>
    </row>
    <row r="19" spans="1:7" s="228" customFormat="1" ht="13.5" customHeight="1">
      <c r="A19" s="260" t="s">
        <v>2016</v>
      </c>
      <c r="B19" s="215" t="s">
        <v>2017</v>
      </c>
      <c r="C19" s="216">
        <f ca="1">IF(G19="已包含在土地取得成本中","0",ROUND(D19*E19,0))</f>
        <v>4973008</v>
      </c>
      <c r="D19" s="936">
        <f ca="1">D9+D10</f>
        <v>24865.040000000005</v>
      </c>
      <c r="E19" s="216">
        <f>'数据-取费表'!B31</f>
        <v>200</v>
      </c>
      <c r="F19" s="236"/>
      <c r="G19" s="1989"/>
    </row>
    <row r="20" spans="1:7" s="219" customFormat="1" ht="13.5" customHeight="1">
      <c r="A20" s="260" t="s">
        <v>2018</v>
      </c>
      <c r="B20" s="215" t="s">
        <v>2019</v>
      </c>
      <c r="C20" s="237">
        <f ca="1">ROUND((C5+C19)*F20,0)</f>
        <v>198920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8">
        <f ca="1">ROUND(SUM(C23:C25),0)</f>
        <v>850903</v>
      </c>
      <c r="D22" s="240">
        <f ca="1">C26</f>
        <v>8.0000000000000004E-4</v>
      </c>
      <c r="E22" s="241" t="s">
        <v>2023</v>
      </c>
      <c r="F22" s="242">
        <f ca="1">'数据-取费表'!B40</f>
        <v>4.1499999999999995E-2</v>
      </c>
      <c r="G22" s="239" t="str">
        <f>IF('数据-取费表'!B22&lt;=1,"单利计息","复利计息")</f>
        <v>复利计息</v>
      </c>
    </row>
    <row r="23" spans="1:7" s="219" customFormat="1" ht="13.5" customHeight="1">
      <c r="A23" s="866" t="s">
        <v>1916</v>
      </c>
      <c r="B23" s="220" t="s">
        <v>2027</v>
      </c>
      <c r="C23" s="1239">
        <f ca="1">ROUND(IF('数据-取费表'!B22&lt;=1,C5*F22*'数据-取费表'!B22,C5*(POWER((1+F22),'数据-取费表'!B22)-1)),0)</f>
        <v>421324</v>
      </c>
      <c r="D23" s="243"/>
      <c r="E23" s="243"/>
      <c r="F23" s="244"/>
      <c r="G23" s="245" t="s">
        <v>2028</v>
      </c>
    </row>
    <row r="24" spans="1:7" s="219" customFormat="1" ht="13.5" customHeight="1">
      <c r="A24" s="866" t="s">
        <v>1918</v>
      </c>
      <c r="B24" s="220" t="s">
        <v>2029</v>
      </c>
      <c r="C24" s="1239">
        <f ca="1">ROUND(IF('数据-取费表'!B22&lt;=1,C19*F22*('数据-取费表'!B19/2+'数据-取费表'!B20),C19*(POWER((1+F22),('数据-取费表'!B19/2+'数据-取费表'!B20))-1)),0)</f>
        <v>421324</v>
      </c>
      <c r="D24" s="243"/>
      <c r="E24" s="243"/>
      <c r="F24" s="244"/>
      <c r="G24" s="245" t="s">
        <v>2030</v>
      </c>
    </row>
    <row r="25" spans="1:7" s="219" customFormat="1" ht="24">
      <c r="A25" s="866" t="s">
        <v>1920</v>
      </c>
      <c r="B25" s="220" t="s">
        <v>2031</v>
      </c>
      <c r="C25" s="1239">
        <f ca="1">ROUND(IF('数据-取费表'!B22&lt;=1,C20*F22*'数据-取费表'!B22/2,C20*(POWER((1+F22),'数据-取费表'!B22/2)-1)),0)</f>
        <v>8255</v>
      </c>
      <c r="D25" s="243"/>
      <c r="E25" s="246"/>
      <c r="F25" s="244"/>
      <c r="G25" s="247" t="s">
        <v>2032</v>
      </c>
    </row>
    <row r="26" spans="1:7" s="219" customFormat="1">
      <c r="A26" s="866"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2028987</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ROUND((C5+C19+C20)*F27,0)</f>
        <v>2028987</v>
      </c>
      <c r="D28" s="240"/>
      <c r="E28" s="241"/>
      <c r="F28" s="251"/>
      <c r="G28" s="252"/>
    </row>
    <row r="29" spans="1:7" s="219" customFormat="1" ht="13.5" customHeight="1">
      <c r="A29" s="866" t="s">
        <v>611</v>
      </c>
      <c r="B29" s="253" t="s">
        <v>1961</v>
      </c>
      <c r="C29" s="243">
        <f ca="1">ROUND(C21*F27,4)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14128242</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12057418</v>
      </c>
      <c r="D33" s="237"/>
      <c r="E33" s="217"/>
      <c r="F33" s="246"/>
      <c r="G33" s="239"/>
    </row>
    <row r="34" spans="1:7" s="263" customFormat="1" ht="13.5" customHeight="1">
      <c r="A34" s="866" t="s">
        <v>610</v>
      </c>
      <c r="B34" s="220" t="s">
        <v>1969</v>
      </c>
      <c r="C34" s="225">
        <f ca="1">ROUND(IF(B1="",SUMPRODUCT('数据-取费表'!K6:K14,'数据-取费表'!L6:L14),INDIRECT("'数据-取费表'!l"&amp;$G$1)*INDIRECT("'数据-取费表'!k"&amp;$G$1)+'数据-取费表'!L14*INDIRECT("'数据-取费表'!S"&amp;$G$1)),0)</f>
        <v>6779340</v>
      </c>
      <c r="D34" s="222"/>
      <c r="E34" s="225"/>
      <c r="F34" s="262"/>
      <c r="G34" s="224"/>
    </row>
    <row r="35" spans="1:7" ht="13.5" customHeight="1">
      <c r="A35" s="866" t="s">
        <v>615</v>
      </c>
      <c r="B35" s="220" t="s">
        <v>1971</v>
      </c>
      <c r="C35" s="225">
        <f ca="1">ROUND(C34*F35,0)</f>
        <v>203380</v>
      </c>
      <c r="D35" s="225"/>
      <c r="E35" s="225"/>
      <c r="F35" s="264">
        <f>'数据-取费表'!B33</f>
        <v>0.03</v>
      </c>
      <c r="G35" s="224" t="s">
        <v>1972</v>
      </c>
    </row>
    <row r="36" spans="1:7" ht="24">
      <c r="A36" s="866"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6" t="s">
        <v>617</v>
      </c>
      <c r="B37" s="220" t="s">
        <v>1975</v>
      </c>
      <c r="C37" s="254">
        <f ca="1">ROUND(E37*D37,0)</f>
        <v>4973008</v>
      </c>
      <c r="D37" s="222">
        <f ca="1">D19</f>
        <v>24865.040000000005</v>
      </c>
      <c r="E37" s="254">
        <f>'数据-取费表'!B35</f>
        <v>200</v>
      </c>
      <c r="F37" s="264"/>
      <c r="G37" s="266"/>
    </row>
    <row r="38" spans="1:7" ht="13.5" customHeight="1">
      <c r="A38" s="866" t="s">
        <v>618</v>
      </c>
      <c r="B38" s="220" t="s">
        <v>1977</v>
      </c>
      <c r="C38" s="225">
        <f ca="1">ROUND(C34*F38,0)</f>
        <v>101690</v>
      </c>
      <c r="D38" s="225"/>
      <c r="E38" s="225"/>
      <c r="F38" s="264">
        <f>'数据-取费表'!B36</f>
        <v>1.4999999999999999E-2</v>
      </c>
      <c r="G38" s="224" t="s">
        <v>1972</v>
      </c>
    </row>
    <row r="39" spans="1:7" s="219" customFormat="1" ht="13.5" customHeight="1">
      <c r="A39" s="260" t="s">
        <v>1978</v>
      </c>
      <c r="B39" s="215" t="s">
        <v>1979</v>
      </c>
      <c r="C39" s="237">
        <f ca="1">ROUND(C33*F20,0)</f>
        <v>241148</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510391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ROUND(IF('数据-取费表'!B22&lt;=1,C33*F22*'数据-取费表'!B20/2,C33*(POWER((1+F22),'数据-取费表'!B20/2)-1)),0)</f>
        <v>500383</v>
      </c>
      <c r="D42" s="243"/>
      <c r="E42" s="243"/>
      <c r="F42" s="244"/>
      <c r="G42" s="3503" t="s">
        <v>2035</v>
      </c>
    </row>
    <row r="43" spans="1:7" ht="13.5" customHeight="1">
      <c r="A43" s="866" t="s">
        <v>611</v>
      </c>
      <c r="B43" s="220" t="s">
        <v>1989</v>
      </c>
      <c r="C43" s="243">
        <f ca="1">ROUND(IF('数据-取费表'!B22&lt;=1,C39*F22*'数据-取费表'!B20/2,C39*(POWER((1+F22),'数据-取费表'!B20/2)-1)),0)</f>
        <v>10008</v>
      </c>
      <c r="D43" s="243"/>
      <c r="E43" s="243"/>
      <c r="F43" s="244"/>
      <c r="G43" s="3504"/>
    </row>
    <row r="44" spans="1:7" ht="13.5" customHeight="1">
      <c r="A44" s="866" t="s">
        <v>612</v>
      </c>
      <c r="B44" s="220" t="s">
        <v>1990</v>
      </c>
      <c r="C44" s="243">
        <f ca="1">ROUND(IF('数据-取费表'!B22&lt;=1,C40*F22*'数据-取费表'!B20/2,C40*(POWER((1+F22),'数据-取费表'!B20/2)-1)),4)</f>
        <v>8.0000000000000004E-4</v>
      </c>
      <c r="D44" s="243"/>
      <c r="E44" s="243"/>
      <c r="F44" s="244"/>
      <c r="G44" s="3505"/>
    </row>
    <row r="45" spans="1:7" s="219" customFormat="1" ht="13.5" customHeight="1">
      <c r="A45" s="260" t="s">
        <v>1991</v>
      </c>
      <c r="B45" s="249" t="s">
        <v>1957</v>
      </c>
      <c r="C45" s="250">
        <f ca="1">C46</f>
        <v>2459713</v>
      </c>
      <c r="D45" s="240">
        <f ca="1">C47</f>
        <v>4.0000000000000001E-3</v>
      </c>
      <c r="E45" s="241" t="s">
        <v>1983</v>
      </c>
      <c r="F45" s="2484">
        <f ca="1">F27</f>
        <v>0.2</v>
      </c>
      <c r="G45" s="252" t="s">
        <v>1992</v>
      </c>
    </row>
    <row r="46" spans="1:7" s="219" customFormat="1" ht="13.5" customHeight="1">
      <c r="A46" s="866" t="s">
        <v>610</v>
      </c>
      <c r="B46" s="253" t="s">
        <v>1993</v>
      </c>
      <c r="C46" s="254">
        <f ca="1">ROUND((C33+C39)*F27,0)</f>
        <v>2459713</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267">
        <f>ROUND(F30/(1+'数据-取费表'!C42),4)</f>
        <v>5.33E-2</v>
      </c>
      <c r="D48" s="241" t="s">
        <v>1983</v>
      </c>
      <c r="E48" s="237"/>
      <c r="F48" s="2483">
        <f>F30</f>
        <v>5.6000000000000001E-2</v>
      </c>
      <c r="G48" s="239" t="s">
        <v>1996</v>
      </c>
    </row>
    <row r="49" spans="1:7" ht="16.5" customHeight="1">
      <c r="A49" s="260" t="s">
        <v>1962</v>
      </c>
      <c r="B49" s="215" t="s">
        <v>2036</v>
      </c>
      <c r="C49" s="237">
        <f ca="1">ROUND((C33+C39+C41+C45)/(1-C40-D41-D45-C48),0)</f>
        <v>16562176</v>
      </c>
      <c r="D49" s="237"/>
      <c r="E49" s="237"/>
      <c r="F49" s="269"/>
      <c r="G49" s="239" t="s">
        <v>1998</v>
      </c>
    </row>
    <row r="50" spans="1:7" s="263" customFormat="1">
      <c r="A50" s="260" t="s">
        <v>1999</v>
      </c>
      <c r="B50" s="215" t="s">
        <v>2000</v>
      </c>
      <c r="C50" s="237"/>
      <c r="D50" s="237"/>
      <c r="E50" s="237"/>
      <c r="F50" s="269">
        <f>IF('数据-取费表'!B24=0,'数据-取费表'!N16,1)</f>
        <v>0.77</v>
      </c>
      <c r="G50" s="252"/>
    </row>
    <row r="51" spans="1:7" ht="16.5" customHeight="1">
      <c r="A51" s="260" t="s">
        <v>2002</v>
      </c>
      <c r="B51" s="215" t="s">
        <v>2037</v>
      </c>
      <c r="C51" s="237">
        <f ca="1">ROUND(C49*F50,0)</f>
        <v>12752876</v>
      </c>
      <c r="D51" s="237"/>
      <c r="E51" s="237"/>
      <c r="F51" s="269"/>
      <c r="G51" s="239" t="s">
        <v>2004</v>
      </c>
    </row>
    <row r="52" spans="1:7" s="213" customFormat="1" ht="16.5" thickBot="1">
      <c r="A52" s="270" t="s">
        <v>2005</v>
      </c>
      <c r="B52" s="271"/>
      <c r="C52" s="272">
        <f ca="1">C31+C51</f>
        <v>26881118</v>
      </c>
      <c r="D52" s="271"/>
      <c r="E52" s="271"/>
      <c r="F52" s="271"/>
      <c r="G52" s="273"/>
    </row>
    <row r="55" spans="1:7" ht="15">
      <c r="B55" s="275" t="s">
        <v>2006</v>
      </c>
      <c r="C55" s="276"/>
    </row>
    <row r="56" spans="1:7">
      <c r="B56" s="278" t="s">
        <v>1237</v>
      </c>
      <c r="C56" s="280">
        <f ca="1">1-C57</f>
        <v>0.52600000000000002</v>
      </c>
    </row>
    <row r="57" spans="1:7">
      <c r="B57" s="278" t="s">
        <v>1238</v>
      </c>
      <c r="C57" s="279">
        <f ca="1">ROUND(C51/C52,3)</f>
        <v>0.47399999999999998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1" t="s">
        <v>2038</v>
      </c>
      <c r="B1" s="1302"/>
      <c r="C1" s="1303"/>
      <c r="D1" s="1301"/>
      <c r="E1" s="2983"/>
      <c r="F1" s="2983"/>
      <c r="G1" s="2846"/>
      <c r="H1" s="2983"/>
      <c r="I1" s="2983"/>
      <c r="J1" s="2983"/>
      <c r="K1" s="2984">
        <f>MATCH(C1,'数据-取费表'!A6:A16,0)+5</f>
        <v>8</v>
      </c>
    </row>
    <row r="2" spans="1:33" ht="18" customHeight="1">
      <c r="A2" s="206" t="s">
        <v>1906</v>
      </c>
      <c r="B2" s="209">
        <f ca="1">C32</f>
        <v>0</v>
      </c>
      <c r="C2" s="281" t="s">
        <v>2039</v>
      </c>
      <c r="D2" s="281"/>
      <c r="E2" s="2983"/>
      <c r="F2" s="2983"/>
      <c r="G2" s="2983"/>
      <c r="H2" s="2983"/>
      <c r="I2" s="2983"/>
      <c r="J2" s="2983"/>
      <c r="K2" s="2983"/>
    </row>
    <row r="3" spans="1:33" ht="18" customHeight="1" thickBot="1">
      <c r="A3" s="208" t="s">
        <v>1908</v>
      </c>
      <c r="B3" s="209">
        <f ca="1">ROUND(B2*10000/IF(C1="",'数据-汇总表'!E3,INDIRECT("'数据-取费表'!K"&amp;$K$1)),0)</f>
        <v>0</v>
      </c>
      <c r="C3" s="281" t="s">
        <v>2040</v>
      </c>
      <c r="D3" s="281"/>
      <c r="E3" s="2983"/>
      <c r="F3" s="2983"/>
      <c r="G3" s="2983"/>
      <c r="H3" s="2983"/>
      <c r="I3" s="2983"/>
      <c r="J3" s="2983"/>
      <c r="K3" s="2983"/>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3" t="s">
        <v>2044</v>
      </c>
      <c r="D5" s="1993" t="s">
        <v>2045</v>
      </c>
      <c r="E5" s="1993" t="s">
        <v>2046</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5"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5"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2050</v>
      </c>
      <c r="B8" s="168"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4">
        <f ca="1">IF(C1="",'数据-取费表'!P16,INDIRECT("'数据-取费表'!p"&amp;$K$1)+INDIRECT("'数据-取费表'!ar"&amp;$K$1))</f>
        <v>0</v>
      </c>
      <c r="D11" s="888"/>
      <c r="E11" s="334"/>
      <c r="F11" s="889">
        <f ca="1">1-IF('数据-取费表'!B24=0,1,IF(C1="",'数据-取费表'!N16,INDIRECT("'数据-取费表'!n"&amp;$K$1)))</f>
        <v>0</v>
      </c>
      <c r="G11" s="8"/>
      <c r="H11" s="883"/>
      <c r="I11" s="883"/>
      <c r="J11" s="883"/>
      <c r="K11" s="884"/>
    </row>
    <row r="12" spans="1:33" s="890" customFormat="1" ht="13.5" customHeight="1">
      <c r="A12" s="886" t="s">
        <v>1061</v>
      </c>
      <c r="B12" s="887" t="s">
        <v>2060</v>
      </c>
      <c r="C12" s="23">
        <f ca="1">ROUND(C11*F12,0)</f>
        <v>0</v>
      </c>
      <c r="D12" s="888"/>
      <c r="E12" s="334"/>
      <c r="F12" s="891">
        <f>'数据-取费表'!B33</f>
        <v>0.03</v>
      </c>
      <c r="G12" s="8" t="s">
        <v>2061</v>
      </c>
      <c r="H12" s="883"/>
      <c r="I12" s="883"/>
      <c r="J12" s="883"/>
      <c r="K12" s="884"/>
    </row>
    <row r="13" spans="1:33" s="890" customFormat="1" ht="13.5" customHeight="1">
      <c r="A13" s="886" t="s">
        <v>1062</v>
      </c>
      <c r="B13" s="887" t="s">
        <v>2062</v>
      </c>
      <c r="C13" s="23">
        <f ca="1">ROUND(IF(C1="",SUMIF('数据-取费表'!C:C,"住宅",'数据-取费表'!P:P)*F13,IF(INDIRECT("'数据-取费表'!c"&amp;$K$1)="住宅",INDIRECT("'数据-取费表'!P"&amp;$K$1)*F13,0)),0)</f>
        <v>0</v>
      </c>
      <c r="D13" s="933"/>
      <c r="E13" s="334"/>
      <c r="F13" s="891">
        <f>'数据-取费表'!B34</f>
        <v>0</v>
      </c>
      <c r="G13" s="8" t="s">
        <v>2063</v>
      </c>
      <c r="H13" s="883"/>
      <c r="I13" s="883"/>
      <c r="J13" s="883"/>
      <c r="K13" s="884"/>
    </row>
    <row r="14" spans="1:33" s="892" customFormat="1" ht="13.5" customHeight="1">
      <c r="A14" s="886" t="s">
        <v>1063</v>
      </c>
      <c r="B14" s="887" t="s">
        <v>2064</v>
      </c>
      <c r="C14" s="23">
        <f ca="1">ROUND(D14*E14*F11/10000,0)</f>
        <v>0</v>
      </c>
      <c r="D14" s="933">
        <f ca="1">IF(C1="",'数据-汇总表'!E3,INDIRECT("'数据-取费表'!K"&amp;$K$1)+INDIRECT("'数据-取费表'!S"&amp;$K$1))</f>
        <v>24865.040000000005</v>
      </c>
      <c r="E14" s="23">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0</v>
      </c>
      <c r="D15" s="893"/>
      <c r="E15" s="898"/>
      <c r="F15" s="899">
        <f>'数据-取费表'!B36</f>
        <v>1.4999999999999999E-2</v>
      </c>
      <c r="G15" s="135"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0</v>
      </c>
      <c r="D16" s="893"/>
      <c r="E16" s="898"/>
      <c r="F16" s="899"/>
      <c r="G16" s="135"/>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3">
        <f ca="1">ROUND(D17*E17/10000,0)</f>
        <v>0</v>
      </c>
      <c r="D17" s="933">
        <f ca="1">D14</f>
        <v>24865.040000000005</v>
      </c>
      <c r="E17" s="23">
        <f>'数据-取费表'!B32</f>
        <v>0</v>
      </c>
      <c r="F17" s="893"/>
      <c r="G17" s="135" t="s">
        <v>2070</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3">
        <f ca="1">C19+C20-IF(C1="",'数据-取费表'!B29,IF(G18="已全部缴纳",C19+C20,H18))</f>
        <v>0</v>
      </c>
      <c r="D18" s="933"/>
      <c r="E18" s="23"/>
      <c r="F18" s="891"/>
      <c r="G18" s="1995"/>
      <c r="H18" s="1298"/>
      <c r="I18" s="1996" t="s">
        <v>2072</v>
      </c>
      <c r="J18" s="894"/>
      <c r="K18" s="895"/>
    </row>
    <row r="19" spans="1:33" s="890" customFormat="1" ht="13.5" customHeight="1">
      <c r="A19" s="886" t="s">
        <v>624</v>
      </c>
      <c r="B19" s="887" t="s">
        <v>2073</v>
      </c>
      <c r="C19" s="23">
        <f ca="1">ROUND(D19*E19/10000,0)</f>
        <v>0</v>
      </c>
      <c r="D19" s="933">
        <f ca="1">IF(C1="",'数据-汇总表'!E5,IF(INDIRECT("'数据-取费表'!c"&amp;$K$1)="住宅",INDIRECT("'数据-取费表'!k"&amp;$K$1),0))</f>
        <v>0</v>
      </c>
      <c r="E19" s="23">
        <f>'数据-取费表'!B27</f>
        <v>0</v>
      </c>
      <c r="F19" s="891"/>
      <c r="G19" s="14"/>
      <c r="H19" s="1300"/>
      <c r="I19" s="896"/>
      <c r="J19" s="896"/>
      <c r="K19" s="897"/>
    </row>
    <row r="20" spans="1:33" s="890" customFormat="1" ht="13.5" customHeight="1">
      <c r="A20" s="886" t="s">
        <v>625</v>
      </c>
      <c r="B20" s="887" t="s">
        <v>2074</v>
      </c>
      <c r="C20" s="23">
        <f ca="1">ROUND(D20*E20/10000,0)</f>
        <v>497</v>
      </c>
      <c r="D20" s="933">
        <f ca="1">IF(C1="",'数据-汇总表'!E6,IF(INDIRECT("'数据-取费表'!c"&amp;$K$1)="住宅",INDIRECT("'数据-取费表'!s"&amp;$K$1),INDIRECT("'数据-取费表'!k"&amp;$K$1)+INDIRECT("'数据-取费表'!s"&amp;$K$1)))</f>
        <v>24865.040000000005</v>
      </c>
      <c r="E20" s="23">
        <f>'数据-取费表'!B28</f>
        <v>200</v>
      </c>
      <c r="F20" s="891"/>
      <c r="G20" s="14"/>
      <c r="H20" s="896"/>
      <c r="I20" s="896"/>
      <c r="J20" s="896"/>
      <c r="K20" s="897"/>
    </row>
    <row r="21" spans="1:33" s="890" customFormat="1" ht="13.5" customHeight="1">
      <c r="A21" s="876" t="s">
        <v>621</v>
      </c>
      <c r="B21" s="900" t="s">
        <v>2075</v>
      </c>
      <c r="C21" s="901">
        <f ca="1">C16+C17+C18</f>
        <v>0</v>
      </c>
      <c r="D21" s="902"/>
      <c r="E21" s="286"/>
      <c r="F21" s="286"/>
      <c r="G21" s="135" t="s">
        <v>2076</v>
      </c>
      <c r="H21" s="894"/>
      <c r="I21" s="894"/>
      <c r="J21" s="894"/>
      <c r="K21" s="895"/>
    </row>
    <row r="22" spans="1:33" s="890" customFormat="1" ht="13.5" customHeight="1">
      <c r="A22" s="876" t="s">
        <v>2048</v>
      </c>
      <c r="B22" s="900" t="s">
        <v>2077</v>
      </c>
      <c r="C22" s="901">
        <f ca="1">ROUND(C21*F22,0)</f>
        <v>0</v>
      </c>
      <c r="D22" s="286"/>
      <c r="E22" s="286"/>
      <c r="F22" s="903">
        <f>'数据-取费表'!B37</f>
        <v>0.02</v>
      </c>
      <c r="G22" s="8" t="s">
        <v>2078</v>
      </c>
      <c r="H22" s="883"/>
      <c r="I22" s="883"/>
      <c r="J22" s="883"/>
      <c r="K22" s="884"/>
    </row>
    <row r="23" spans="1:33" s="890" customFormat="1" ht="13.5" customHeight="1">
      <c r="A23" s="876" t="s">
        <v>2050</v>
      </c>
      <c r="B23" s="900" t="s">
        <v>2079</v>
      </c>
      <c r="C23" s="901">
        <f ca="1">ROUND(C4*F23*F11,0)</f>
        <v>0</v>
      </c>
      <c r="D23" s="286"/>
      <c r="E23" s="286"/>
      <c r="F23" s="903">
        <f>'数据-取费表'!B38</f>
        <v>0.02</v>
      </c>
      <c r="G23" s="8" t="s">
        <v>2080</v>
      </c>
      <c r="H23" s="883"/>
      <c r="I23" s="883"/>
      <c r="J23" s="883"/>
      <c r="K23" s="884"/>
    </row>
    <row r="24" spans="1:33" s="890" customFormat="1" ht="13.5" customHeight="1">
      <c r="A24" s="876" t="s">
        <v>2081</v>
      </c>
      <c r="B24" s="900" t="s">
        <v>2082</v>
      </c>
      <c r="C24" s="285">
        <f>ROUND(F24/(1+'数据-取费表'!C42),4)</f>
        <v>2.9000000000000001E-2</v>
      </c>
      <c r="D24" s="286" t="s">
        <v>15</v>
      </c>
      <c r="E24" s="286"/>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5">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6">
        <f ca="1">ROUND(IF('数据-取费表'!B22&lt;=1,(1+C24)*F25*'数据-取费表'!B24,(1+C24)*(POWER((1+F25),'数据-取费表'!B24)-1)),4)</f>
        <v>0</v>
      </c>
      <c r="D26" s="289"/>
      <c r="E26" s="290"/>
      <c r="F26" s="291"/>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7">
        <f ca="1">ROUND(IF('数据-取费表'!B22&lt;=1,(C21+C22+C23)*F25*'数据-取费表'!B24/2,(C21+C22+C23)*(POWER((1+F25),'数据-取费表'!B24/2)-1)),0)</f>
        <v>0</v>
      </c>
      <c r="D27" s="289"/>
      <c r="E27" s="290"/>
      <c r="F27" s="291"/>
      <c r="G27" s="1997" t="str">
        <f>IF('数据-取费表'!B22&lt;=1,"（1）-（3）项×年利率×建设期÷2","（1）-（3）项×((1+年利率)^(建设期÷2)-1)")</f>
        <v>（1）-（3）项×((1+年利率)^(建设期÷2)-1)</v>
      </c>
      <c r="H27" s="894"/>
      <c r="I27" s="894"/>
      <c r="J27" s="894"/>
      <c r="K27" s="895"/>
    </row>
    <row r="28" spans="1:33" s="294" customFormat="1" ht="13.5" customHeight="1">
      <c r="A28" s="876" t="s">
        <v>2088</v>
      </c>
      <c r="B28" s="1998" t="s">
        <v>2089</v>
      </c>
      <c r="C28" s="292">
        <f ca="1">C30</f>
        <v>0</v>
      </c>
      <c r="D28" s="285">
        <f ca="1">C29</f>
        <v>0</v>
      </c>
      <c r="E28" s="287" t="s">
        <v>15</v>
      </c>
      <c r="F28" s="293">
        <f ca="1">IF(C1="",'数据-取费表'!Q16,INDIRECT("'数据-取费表'!q"&amp;$K$1))</f>
        <v>0.2</v>
      </c>
      <c r="G28" s="904"/>
      <c r="H28" s="905"/>
      <c r="I28" s="905"/>
      <c r="J28" s="905"/>
      <c r="K28" s="906"/>
    </row>
    <row r="29" spans="1:33" s="296" customFormat="1" ht="13.5" customHeight="1">
      <c r="A29" s="886" t="s">
        <v>622</v>
      </c>
      <c r="B29" s="909" t="s">
        <v>2090</v>
      </c>
      <c r="C29" s="289">
        <f ca="1">ROUND((1+C24)*F28*'数据-取费表'!B24/'数据-取费表'!B20,4)</f>
        <v>0</v>
      </c>
      <c r="D29" s="289"/>
      <c r="E29" s="290"/>
      <c r="F29" s="295"/>
      <c r="G29" s="135" t="s">
        <v>2091</v>
      </c>
      <c r="H29" s="894"/>
      <c r="I29" s="894"/>
      <c r="J29" s="894"/>
      <c r="K29" s="895"/>
    </row>
    <row r="30" spans="1:33" s="296" customFormat="1" ht="13.5" customHeight="1">
      <c r="A30" s="886" t="s">
        <v>623</v>
      </c>
      <c r="B30" s="909" t="s">
        <v>2092</v>
      </c>
      <c r="C30" s="297">
        <f ca="1">ROUND((C21+C22+C23)*F28,0)</f>
        <v>0</v>
      </c>
      <c r="D30" s="289"/>
      <c r="E30" s="290"/>
      <c r="F30" s="295"/>
      <c r="G30" s="135"/>
      <c r="H30" s="894"/>
      <c r="I30" s="894"/>
      <c r="J30" s="894"/>
      <c r="K30" s="895"/>
    </row>
    <row r="31" spans="1:33" s="890" customFormat="1" ht="13.5" customHeight="1" thickBot="1">
      <c r="A31" s="1999"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0</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27</v>
      </c>
      <c r="D1" s="1493" t="s">
        <v>70</v>
      </c>
      <c r="E1" s="1494" t="s">
        <v>1111</v>
      </c>
      <c r="F1" s="1170">
        <f ca="1">J53</f>
        <v>28.71</v>
      </c>
      <c r="G1" s="1509">
        <f>MATCH(C1,'数据-取费表'!A6:A16,0)+5</f>
        <v>6</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7823</v>
      </c>
      <c r="C2" s="1518" t="s">
        <v>1240</v>
      </c>
      <c r="D2" s="1518"/>
      <c r="E2" s="1519"/>
      <c r="F2" s="1520"/>
      <c r="G2" s="2881"/>
      <c r="H2" s="2870"/>
      <c r="I2" s="2870"/>
      <c r="J2" s="2870"/>
      <c r="K2" s="2871"/>
      <c r="L2" s="2870"/>
      <c r="M2" s="2870"/>
    </row>
    <row r="3" spans="1:37" ht="18" customHeight="1" thickBot="1">
      <c r="A3" s="1521" t="s">
        <v>1241</v>
      </c>
      <c r="B3" s="1522">
        <f ca="1">IF(ISERROR(B2*10000/F43),0,ROUND(B2*10000/F43,0))</f>
        <v>51928</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545</v>
      </c>
      <c r="D5" s="1495" t="s">
        <v>1126</v>
      </c>
      <c r="E5" s="1180"/>
      <c r="F5" s="1181"/>
      <c r="G5" s="1515"/>
      <c r="H5" s="304">
        <v>1</v>
      </c>
      <c r="I5" s="305" t="s">
        <v>1125</v>
      </c>
      <c r="J5" s="1179">
        <f ca="1">J6+J10+J12</f>
        <v>0</v>
      </c>
      <c r="K5" s="1495" t="s">
        <v>1126</v>
      </c>
      <c r="L5" s="1180"/>
      <c r="M5" s="1181"/>
    </row>
    <row r="6" spans="1:37" ht="18" customHeight="1">
      <c r="A6" s="1178" t="s">
        <v>822</v>
      </c>
      <c r="B6" s="3506" t="s">
        <v>1127</v>
      </c>
      <c r="C6" s="1183">
        <f ca="1">ROUND(F6*F8*F7*(1-F9)/10000,0)</f>
        <v>544</v>
      </c>
      <c r="D6" s="159" t="s">
        <v>2607</v>
      </c>
      <c r="E6" s="307" t="s">
        <v>1129</v>
      </c>
      <c r="F6" s="308">
        <f ca="1">INDIRECT("'数据-取费表'!u"&amp;$G$1)</f>
        <v>11</v>
      </c>
      <c r="G6" s="1515"/>
      <c r="H6" s="1178" t="s">
        <v>822</v>
      </c>
      <c r="I6" s="3506" t="s">
        <v>1127</v>
      </c>
      <c r="J6" s="306">
        <f ca="1">ROUND(M6*M8*M7*(1-M9)/10000,0)</f>
        <v>0</v>
      </c>
      <c r="K6" s="159" t="s">
        <v>2606</v>
      </c>
      <c r="L6" s="307" t="s">
        <v>1129</v>
      </c>
      <c r="M6" s="308">
        <f ca="1">INDIRECT("'数据-取费表'!z"&amp;$G$1)</f>
        <v>0</v>
      </c>
    </row>
    <row r="7" spans="1:37" ht="18" customHeight="1">
      <c r="A7" s="1182"/>
      <c r="B7" s="3507"/>
      <c r="C7" s="1184"/>
      <c r="D7" s="312"/>
      <c r="E7" s="3230" t="s">
        <v>1130</v>
      </c>
      <c r="F7" s="308">
        <f ca="1">IF(INDIRECT("'数据-取费表'!ah"&amp;$G$1)="",INDIRECT("'数据-取费表'!k"&amp;$G$1),INDIRECT("'数据-取费表'!ah"&amp;$G$1))</f>
        <v>1506.52</v>
      </c>
      <c r="G7" s="1515"/>
      <c r="H7" s="309"/>
      <c r="I7" s="3507"/>
      <c r="J7" s="311"/>
      <c r="K7" s="312"/>
      <c r="L7" s="307" t="s">
        <v>1130</v>
      </c>
      <c r="M7" s="308">
        <f ca="1">F7</f>
        <v>1506.52</v>
      </c>
    </row>
    <row r="8" spans="1:37" ht="18" customHeight="1">
      <c r="A8" s="309"/>
      <c r="B8" s="3507"/>
      <c r="C8" s="311"/>
      <c r="D8" s="312"/>
      <c r="E8" s="307" t="s">
        <v>1131</v>
      </c>
      <c r="F8" s="308">
        <f ca="1">INDIRECT("'数据-取费表'!ai"&amp;$G$1)</f>
        <v>365</v>
      </c>
      <c r="G8" s="1515"/>
      <c r="H8" s="309"/>
      <c r="I8" s="3507"/>
      <c r="J8" s="311"/>
      <c r="K8" s="312"/>
      <c r="L8" s="307" t="s">
        <v>1131</v>
      </c>
      <c r="M8" s="308">
        <f ca="1">INDIRECT("'数据-取费表'!ai"&amp;$G$1)</f>
        <v>365</v>
      </c>
    </row>
    <row r="9" spans="1:37" ht="18" customHeight="1">
      <c r="A9" s="309"/>
      <c r="B9" s="3508"/>
      <c r="C9" s="311"/>
      <c r="D9" s="312"/>
      <c r="E9" s="307" t="s">
        <v>1132</v>
      </c>
      <c r="F9" s="317">
        <f ca="1">INDIRECT("'数据-取费表'!w"&amp;$G$1)</f>
        <v>0.1</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1</v>
      </c>
      <c r="D10" s="1497" t="s">
        <v>2614</v>
      </c>
      <c r="E10" s="318" t="s">
        <v>1134</v>
      </c>
      <c r="F10" s="1225" t="s">
        <v>3216</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782</v>
      </c>
      <c r="D13" s="3227" t="s">
        <v>1139</v>
      </c>
      <c r="E13" s="3227" t="s">
        <v>1140</v>
      </c>
      <c r="F13" s="1191">
        <f ca="1">INDIRECT("'数据-取费表'!y"&amp;$G$1)</f>
        <v>0.77</v>
      </c>
      <c r="G13" s="1515"/>
      <c r="H13" s="1188">
        <v>2</v>
      </c>
      <c r="I13" s="1189" t="s">
        <v>1138</v>
      </c>
      <c r="J13" s="1177">
        <f ca="1">ROUND(J14*J15,0)</f>
        <v>0</v>
      </c>
      <c r="K13" s="1196" t="s">
        <v>1139</v>
      </c>
      <c r="L13" s="1523"/>
      <c r="M13" s="1524"/>
    </row>
    <row r="14" spans="1:37" ht="18" customHeight="1">
      <c r="A14" s="1091" t="s">
        <v>821</v>
      </c>
      <c r="B14" s="307" t="s">
        <v>1141</v>
      </c>
      <c r="C14" s="323">
        <f ca="1">INDIRECT("'数据-取费表'!m"&amp;$G$1)+INDIRECT("'数据-取费表'!t"&amp;$G$1)</f>
        <v>678</v>
      </c>
      <c r="D14" s="3233" t="s">
        <v>1142</v>
      </c>
      <c r="E14" s="3232"/>
      <c r="F14" s="324"/>
      <c r="G14" s="1515"/>
      <c r="H14" s="1091" t="s">
        <v>822</v>
      </c>
      <c r="I14" s="307" t="s">
        <v>1143</v>
      </c>
      <c r="J14" s="23">
        <f ca="1">C29</f>
        <v>1015</v>
      </c>
      <c r="K14" s="3229"/>
      <c r="L14" s="894"/>
      <c r="M14" s="895"/>
    </row>
    <row r="15" spans="1:37" s="1528" customFormat="1" ht="18" customHeight="1" thickBot="1">
      <c r="A15" s="1091" t="s">
        <v>823</v>
      </c>
      <c r="B15" s="307" t="s">
        <v>1144</v>
      </c>
      <c r="C15" s="23">
        <f ca="1">ROUND(C14*F15,0)</f>
        <v>20</v>
      </c>
      <c r="D15" s="3228" t="s">
        <v>1145</v>
      </c>
      <c r="E15" s="3228"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29</v>
      </c>
      <c r="K16" s="1196" t="s">
        <v>1149</v>
      </c>
      <c r="L16" s="3235"/>
      <c r="M16" s="1181"/>
    </row>
    <row r="17" spans="1:37" s="1528" customFormat="1" ht="18" customHeight="1">
      <c r="A17" s="1091" t="s">
        <v>1114</v>
      </c>
      <c r="B17" s="307" t="s">
        <v>1150</v>
      </c>
      <c r="C17" s="23">
        <f ca="1">ROUND(F17*(F43+INDIRECT("'数据-取费表'!S"&amp;$G$1))/10000,0)</f>
        <v>30</v>
      </c>
      <c r="D17" s="307" t="s">
        <v>1151</v>
      </c>
      <c r="E17" s="307" t="s">
        <v>1152</v>
      </c>
      <c r="F17" s="25">
        <f>'数据-取费表'!B35</f>
        <v>200</v>
      </c>
      <c r="G17" s="1527"/>
      <c r="H17" s="1091" t="s">
        <v>822</v>
      </c>
      <c r="I17" s="307" t="s">
        <v>1153</v>
      </c>
      <c r="J17" s="2481">
        <f ca="1">ROUND(IF(AND(项目基本情况!B11="自然人",项目基本情况!B10="北京市"),J6*M17/(1+'数据-取费表'!C42),J18+J19+J20),0)</f>
        <v>9</v>
      </c>
      <c r="K17" s="3233" t="s">
        <v>1154</v>
      </c>
      <c r="L17" s="3234"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10</v>
      </c>
      <c r="D18" s="307" t="s">
        <v>1145</v>
      </c>
      <c r="E18" s="307" t="s">
        <v>1146</v>
      </c>
      <c r="F18" s="327">
        <f>'数据-取费表'!B36</f>
        <v>1.4999999999999999E-2</v>
      </c>
      <c r="G18" s="1527"/>
      <c r="H18" s="1091" t="s">
        <v>821</v>
      </c>
      <c r="I18" s="307" t="s">
        <v>1157</v>
      </c>
      <c r="J18" s="23">
        <f ca="1">ROUND(J6*M18/(1+'数据-取费表'!C42),2)</f>
        <v>0</v>
      </c>
      <c r="K18" s="3234"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738</v>
      </c>
      <c r="D19" s="135" t="s">
        <v>1160</v>
      </c>
      <c r="E19" s="3237"/>
      <c r="F19" s="25"/>
      <c r="G19" s="1515"/>
      <c r="H19" s="1091" t="s">
        <v>823</v>
      </c>
      <c r="I19" s="307" t="s">
        <v>1161</v>
      </c>
      <c r="J19" s="23">
        <f ca="1">IF(K19="按租金收入计税",ROUND(J6*M19/(1+'数据-取费表'!C42),2),ROUND(C29*M19*0.7,2))</f>
        <v>8.5299999999999994</v>
      </c>
      <c r="K19" s="1501" t="s">
        <v>1162</v>
      </c>
      <c r="L19" s="307" t="s">
        <v>1146</v>
      </c>
      <c r="M19" s="327">
        <f>IF(K19="按租金收入计税",'数据-取费表'!B51,'数据-取费表'!B50)</f>
        <v>1.2E-2</v>
      </c>
    </row>
    <row r="20" spans="1:37" s="1528" customFormat="1" ht="18" customHeight="1">
      <c r="A20" s="1091" t="s">
        <v>826</v>
      </c>
      <c r="B20" s="307" t="s">
        <v>1163</v>
      </c>
      <c r="C20" s="23">
        <f ca="1">ROUND(C19*F20,0)</f>
        <v>15</v>
      </c>
      <c r="D20" s="328" t="s">
        <v>1164</v>
      </c>
      <c r="E20" s="307" t="s">
        <v>1146</v>
      </c>
      <c r="F20" s="327">
        <f>'数据-取费表'!B37</f>
        <v>0.02</v>
      </c>
      <c r="G20" s="1527"/>
      <c r="H20" s="1091" t="s">
        <v>1113</v>
      </c>
      <c r="I20" s="159" t="s">
        <v>1165</v>
      </c>
      <c r="J20" s="24">
        <f ca="1">ROUND(M20*M21/10000,2)</f>
        <v>0.28000000000000003</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f ca="1">INDIRECT("'数据-取费表'!r"&amp;$G$1)</f>
        <v>115.1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3237"/>
      <c r="F22" s="25"/>
      <c r="G22" s="1515"/>
      <c r="H22" s="1091" t="s">
        <v>826</v>
      </c>
      <c r="I22" s="307" t="s">
        <v>1173</v>
      </c>
      <c r="J22" s="23">
        <f ca="1">ROUND(J14*M22,1)</f>
        <v>20.3</v>
      </c>
      <c r="K22" s="3234" t="s">
        <v>1174</v>
      </c>
      <c r="L22" s="307" t="s">
        <v>1146</v>
      </c>
      <c r="M22" s="333">
        <f ca="1">INDIRECT("'数据-取费表'!Ak"&amp;$G$1)</f>
        <v>0.02</v>
      </c>
    </row>
    <row r="23" spans="1:37" s="1528" customFormat="1" ht="18" customHeight="1">
      <c r="A23" s="1091" t="s">
        <v>821</v>
      </c>
      <c r="B23" s="307" t="s">
        <v>1175</v>
      </c>
      <c r="C23" s="23">
        <f ca="1">IF('数据-取费表'!B22&lt;=1,ROUND(C19*F24*F23/2,0)+ROUND(C20*F24*F23/2,0),ROUND(C19*(POWER((1+F24),F23/2)-1),0)+ROUND(C20*(POWER((1+F24),F23/2)-1),0))</f>
        <v>32</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ROUND(J13*M23,1)</f>
        <v>0</v>
      </c>
      <c r="K23" s="3234" t="s">
        <v>1178</v>
      </c>
      <c r="L23" s="307" t="s">
        <v>1146</v>
      </c>
      <c r="M23" s="335">
        <f ca="1">INDIRECT("'数据-取费表'!Al"&amp;$G$1)</f>
        <v>2E-3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823</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1116</v>
      </c>
      <c r="I24" s="1199" t="s">
        <v>1163</v>
      </c>
      <c r="J24" s="1200">
        <f ca="1">ROUND(J5*M24,1)</f>
        <v>0</v>
      </c>
      <c r="K24" s="1201" t="s">
        <v>1183</v>
      </c>
      <c r="L24" s="1199" t="s">
        <v>1146</v>
      </c>
      <c r="M24" s="1195">
        <f ca="1">INDIRECT("'数据-取费表'!Am"&amp;$G$1)</f>
        <v>2.5000000000000001E-2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3237"/>
      <c r="F25" s="25"/>
      <c r="G25" s="1515"/>
      <c r="H25" s="1188" t="s">
        <v>818</v>
      </c>
      <c r="I25" s="1203" t="s">
        <v>1187</v>
      </c>
      <c r="J25" s="315">
        <f ca="1">J5-J16</f>
        <v>-29</v>
      </c>
      <c r="K25" s="1204" t="s">
        <v>1188</v>
      </c>
      <c r="L25" s="1205"/>
      <c r="M25" s="1206"/>
    </row>
    <row r="26" spans="1:37">
      <c r="A26" s="1091" t="s">
        <v>821</v>
      </c>
      <c r="B26" s="307" t="s">
        <v>1189</v>
      </c>
      <c r="C26" s="23">
        <f ca="1">ROUND((C19+C20)*F26,0)</f>
        <v>151</v>
      </c>
      <c r="D26" s="328" t="s">
        <v>1190</v>
      </c>
      <c r="E26" s="318" t="s">
        <v>1191</v>
      </c>
      <c r="F26" s="317">
        <f ca="1">INDIRECT("'数据-取费表'!q"&amp;$G$1)</f>
        <v>0.2</v>
      </c>
      <c r="G26" s="1515"/>
      <c r="H26" s="304" t="s">
        <v>819</v>
      </c>
      <c r="I26" s="305" t="s">
        <v>1192</v>
      </c>
      <c r="J26" s="306">
        <f ca="1">IF(J5&lt;&gt;0,ROUND(J25*(1-((1+M28)/(1+M26))^M27)/(M26-M28),0),0)</f>
        <v>0</v>
      </c>
      <c r="K26" s="329" t="s">
        <v>1193</v>
      </c>
      <c r="L26" s="307" t="s">
        <v>1194</v>
      </c>
      <c r="M26" s="317">
        <f ca="1">INDIRECT("'数据-取费表'!I"&amp;$G$1)</f>
        <v>0.06</v>
      </c>
    </row>
    <row r="27" spans="1:37" ht="18" customHeight="1">
      <c r="A27" s="1091" t="s">
        <v>823</v>
      </c>
      <c r="B27" s="307" t="s">
        <v>1195</v>
      </c>
      <c r="C27" s="23">
        <f ca="1">ROUND(F21*F26,4)</f>
        <v>4.0000000000000001E-3</v>
      </c>
      <c r="D27" s="328" t="s">
        <v>1196</v>
      </c>
      <c r="E27" s="3228"/>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1015</v>
      </c>
      <c r="D29" s="1201"/>
      <c r="E29" s="1199"/>
      <c r="F29" s="1202"/>
      <c r="G29" s="1527"/>
      <c r="H29" s="339" t="s">
        <v>820</v>
      </c>
      <c r="I29" s="340" t="s">
        <v>1203</v>
      </c>
      <c r="J29" s="341">
        <f ca="1">ROUND(J26/(1+F40)^F41,0)</f>
        <v>0</v>
      </c>
      <c r="K29" s="342" t="s">
        <v>1204</v>
      </c>
      <c r="L29" s="343"/>
      <c r="M29" s="344">
        <f ca="1">INDIRECT("'数据-取费表'!k"&amp;$G$1)</f>
        <v>1506.52</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127</v>
      </c>
      <c r="D30" s="1196" t="s">
        <v>1149</v>
      </c>
      <c r="E30" s="3235"/>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91</v>
      </c>
      <c r="D31" s="3233" t="s">
        <v>1154</v>
      </c>
      <c r="E31" s="3234"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IF(项目基本情况!B11="自然人","——",ROUND(C6*F32/(1+'数据-取费表'!C42),2))</f>
        <v>29.01</v>
      </c>
      <c r="D32" s="3234"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IF(项目基本情况!B11="自然人","——",IF(D33="按租金收入计税",ROUND(C6*F33/(1+'数据-取费表'!C42),2),IF(D33="按房产原值计税",ROUND(C29*F33*0.7,2),INDIRECT("'数据-取费表'!Aj"&amp;$G$1))))</f>
        <v>62.17</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f ca="1">IF(项目基本情况!B11="自然人","——",ROUND(F34*F35/10000,2))</f>
        <v>0.28000000000000003</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115.1</v>
      </c>
      <c r="G35" s="1515"/>
      <c r="H35" s="2872"/>
      <c r="I35" s="1529"/>
      <c r="J35" s="1530"/>
      <c r="K35" s="2876"/>
      <c r="L35" s="2875"/>
      <c r="M35" s="2875"/>
    </row>
    <row r="36" spans="1:18" ht="18" customHeight="1">
      <c r="A36" s="1211" t="s">
        <v>826</v>
      </c>
      <c r="B36" s="307" t="s">
        <v>1173</v>
      </c>
      <c r="C36" s="23">
        <f ca="1">ROUND(C29*F36,1)</f>
        <v>20.3</v>
      </c>
      <c r="D36" s="3234" t="s">
        <v>1206</v>
      </c>
      <c r="E36" s="307" t="s">
        <v>1146</v>
      </c>
      <c r="F36" s="333">
        <f ca="1">INDIRECT("'数据-取费表'!Ak"&amp;$G$1)</f>
        <v>0.02</v>
      </c>
      <c r="G36" s="1515"/>
      <c r="H36" s="2875"/>
      <c r="I36" s="1529"/>
      <c r="J36" s="1530"/>
      <c r="K36" s="2716"/>
      <c r="L36" s="2875"/>
      <c r="M36" s="2875"/>
    </row>
    <row r="37" spans="1:18" ht="18" customHeight="1">
      <c r="A37" s="1091" t="s">
        <v>862</v>
      </c>
      <c r="B37" s="307" t="s">
        <v>1177</v>
      </c>
      <c r="C37" s="23">
        <f ca="1">ROUND(C13*F37,1)</f>
        <v>1.6</v>
      </c>
      <c r="D37" s="3234" t="s">
        <v>1178</v>
      </c>
      <c r="E37" s="307" t="s">
        <v>1146</v>
      </c>
      <c r="F37" s="335">
        <f ca="1">INDIRECT("'数据-取费表'!Al"&amp;$G$1)</f>
        <v>2E-3</v>
      </c>
      <c r="G37" s="1515"/>
      <c r="H37" s="2875"/>
      <c r="I37" s="1529"/>
      <c r="J37" s="1530"/>
      <c r="K37" s="2716"/>
      <c r="L37" s="2875"/>
      <c r="M37" s="2875"/>
    </row>
    <row r="38" spans="1:18" ht="18" customHeight="1" thickBot="1">
      <c r="A38" s="1198" t="s">
        <v>1116</v>
      </c>
      <c r="B38" s="1199" t="s">
        <v>1163</v>
      </c>
      <c r="C38" s="1200">
        <f ca="1">ROUND(C5*F38,1)</f>
        <v>13.6</v>
      </c>
      <c r="D38" s="1201" t="s">
        <v>1183</v>
      </c>
      <c r="E38" s="1199" t="s">
        <v>1146</v>
      </c>
      <c r="F38" s="1195">
        <f ca="1">INDIRECT("'数据-取费表'!Am"&amp;$G$1)</f>
        <v>2.5000000000000001E-2</v>
      </c>
      <c r="G38" s="1515"/>
      <c r="H38" s="2875"/>
      <c r="I38" s="1529"/>
      <c r="J38" s="1530"/>
      <c r="K38" s="2879"/>
      <c r="L38" s="2875"/>
      <c r="M38" s="2875"/>
    </row>
    <row r="39" spans="1:18" ht="24.6" customHeight="1" thickTop="1">
      <c r="A39" s="1188" t="s">
        <v>818</v>
      </c>
      <c r="B39" s="1203" t="s">
        <v>1187</v>
      </c>
      <c r="C39" s="315">
        <f ca="1">C5-C30</f>
        <v>418</v>
      </c>
      <c r="D39" s="1204" t="s">
        <v>1188</v>
      </c>
      <c r="E39" s="1205"/>
      <c r="F39" s="1206"/>
      <c r="G39" s="1515"/>
      <c r="H39" s="2875"/>
      <c r="I39" s="1529"/>
      <c r="J39" s="1530"/>
      <c r="K39" s="2879"/>
      <c r="L39" s="2875"/>
      <c r="M39" s="2875"/>
    </row>
    <row r="40" spans="1:18" ht="18" customHeight="1">
      <c r="A40" s="304" t="s">
        <v>819</v>
      </c>
      <c r="B40" s="305" t="s">
        <v>1209</v>
      </c>
      <c r="C40" s="306">
        <f ca="1">ROUND(C39*(1-((1+F42)/(1+F40))^F41)/(F40-F42),0)</f>
        <v>7823</v>
      </c>
      <c r="D40" s="329" t="s">
        <v>1193</v>
      </c>
      <c r="E40" s="307" t="s">
        <v>1194</v>
      </c>
      <c r="F40" s="317">
        <f ca="1">INDIRECT("'数据-取费表'!I"&amp;$G$1)</f>
        <v>0.06</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28.71</v>
      </c>
      <c r="G41" s="1515"/>
      <c r="H41" s="1302"/>
      <c r="I41" s="1529"/>
      <c r="J41" s="1530"/>
      <c r="K41" s="2716"/>
      <c r="L41" s="1302"/>
      <c r="M41" s="1302"/>
    </row>
    <row r="42" spans="1:18" ht="18" customHeight="1">
      <c r="A42" s="313"/>
      <c r="B42" s="314"/>
      <c r="C42" s="315"/>
      <c r="D42" s="332"/>
      <c r="E42" s="307" t="s">
        <v>1201</v>
      </c>
      <c r="F42" s="317">
        <f ca="1">INDIRECT("'数据-取费表'!v"&amp;$G$1)</f>
        <v>0.03</v>
      </c>
      <c r="G42" s="1515"/>
      <c r="H42" s="1302"/>
      <c r="I42" s="1529"/>
      <c r="J42" s="1530"/>
      <c r="K42" s="2716"/>
      <c r="L42" s="1302"/>
      <c r="M42" s="1302"/>
    </row>
    <row r="43" spans="1:18" ht="18" customHeight="1" thickBot="1">
      <c r="A43" s="339" t="s">
        <v>820</v>
      </c>
      <c r="B43" s="340" t="s">
        <v>1211</v>
      </c>
      <c r="C43" s="341">
        <f ca="1">ROUND(C40*10000/F43,0)</f>
        <v>51928</v>
      </c>
      <c r="D43" s="342" t="s">
        <v>1212</v>
      </c>
      <c r="E43" s="343" t="s">
        <v>1213</v>
      </c>
      <c r="F43" s="344">
        <f ca="1">INDIRECT("'数据-取费表'!k"&amp;$G$1)</f>
        <v>1506.52</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f ca="1">C68-C40</f>
        <v>-9285</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f ca="1">INDIRECT("'数据-取费表'!d"&amp;$G$1)</f>
        <v>50</v>
      </c>
      <c r="M47" s="1511" t="str">
        <f>IF(ISNUMBER(FIND("住宅",C1)),"住宅","非住宅")</f>
        <v>非住宅</v>
      </c>
      <c r="O47" s="1549" t="s">
        <v>827</v>
      </c>
      <c r="P47" s="1550" t="s">
        <v>1252</v>
      </c>
      <c r="Q47" s="1551">
        <f ca="1">C40+J29</f>
        <v>7823</v>
      </c>
      <c r="R47" s="1551" t="s">
        <v>1253</v>
      </c>
    </row>
    <row r="48" spans="1:18" s="1515" customFormat="1" ht="28.5" thickBot="1">
      <c r="A48" s="1219" t="s">
        <v>863</v>
      </c>
      <c r="B48" s="305" t="s">
        <v>1125</v>
      </c>
      <c r="C48" s="3236">
        <f ca="1">C49+C53+C55</f>
        <v>0</v>
      </c>
      <c r="D48" s="1221"/>
      <c r="E48" s="1222"/>
      <c r="F48" s="1071"/>
      <c r="G48" s="728"/>
      <c r="H48" s="729"/>
      <c r="I48" s="1552" t="s">
        <v>1254</v>
      </c>
      <c r="J48" s="1553" t="s">
        <v>3219</v>
      </c>
      <c r="K48" s="1554" t="s">
        <v>1255</v>
      </c>
      <c r="L48" s="1555">
        <f ca="1">INDIRECT("'数据-取费表'!f"&amp;$G$1)</f>
        <v>28.71</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2606</v>
      </c>
      <c r="E49" s="1503" t="s">
        <v>1215</v>
      </c>
      <c r="F49" s="1168"/>
      <c r="G49" s="1556"/>
      <c r="H49" s="729"/>
      <c r="I49" s="1552" t="s">
        <v>1258</v>
      </c>
      <c r="J49" s="1557">
        <v>2008</v>
      </c>
      <c r="K49" s="1554" t="s">
        <v>1259</v>
      </c>
      <c r="L49" s="1558"/>
      <c r="O49" s="1559" t="s">
        <v>829</v>
      </c>
      <c r="P49" s="1550" t="s">
        <v>1260</v>
      </c>
      <c r="Q49" s="1551">
        <f ca="1">C29</f>
        <v>1015</v>
      </c>
      <c r="R49" s="1551" t="s">
        <v>1253</v>
      </c>
    </row>
    <row r="50" spans="1:18" s="1515" customFormat="1" ht="13.5" thickBot="1">
      <c r="A50" s="1085"/>
      <c r="B50" s="1088"/>
      <c r="C50" s="1227"/>
      <c r="D50" s="1062"/>
      <c r="E50" s="1164" t="s">
        <v>1130</v>
      </c>
      <c r="F50" s="1165">
        <f ca="1">F7</f>
        <v>1506.52</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8">
        <f ca="1">F8</f>
        <v>365</v>
      </c>
      <c r="I51" s="1563" t="s">
        <v>1264</v>
      </c>
      <c r="J51" s="1564">
        <f>IF(J49="",J50,J49+J50-YEAR('数据-取费表'!B2))</f>
        <v>46</v>
      </c>
      <c r="K51" s="1565" t="s">
        <v>1265</v>
      </c>
      <c r="L51" s="1566">
        <f ca="1">ROUND(-PV(INDIRECT("'数据-取费表'!h"&amp;$G$1),J51,(C39-C13*C76),0),0)</f>
        <v>6285</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f ca="1">J53</f>
        <v>28.71</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f ca="1">IF(M47="住宅",IF(D1="——",MAX(J51,L48),MAX(J51,L48-'数据-取费表'!B24)),IF(D1="——",MIN(J51,L48),MIN(J51,L48-'数据-取费表'!B24)))</f>
        <v>28.71</v>
      </c>
      <c r="K53" s="3509" t="s">
        <v>1272</v>
      </c>
      <c r="L53" s="3510"/>
      <c r="O53" s="1549" t="s">
        <v>833</v>
      </c>
      <c r="P53" s="1550" t="s">
        <v>1273</v>
      </c>
      <c r="Q53" s="1551">
        <f ca="1">Q47+Q48</f>
        <v>7823</v>
      </c>
      <c r="R53" s="1551" t="s">
        <v>834</v>
      </c>
    </row>
    <row r="54" spans="1:18" s="1515" customFormat="1" ht="13.5" thickBot="1">
      <c r="A54" s="1264"/>
      <c r="B54" s="1498" t="s">
        <v>1112</v>
      </c>
      <c r="C54" s="1068"/>
      <c r="D54" s="1497"/>
      <c r="E54" s="3231"/>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31"/>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7">
        <f ca="1">C13</f>
        <v>782</v>
      </c>
      <c r="D56" s="1578"/>
      <c r="E56" s="1579"/>
      <c r="F56" s="1571"/>
      <c r="I56" s="1580" t="s">
        <v>1278</v>
      </c>
      <c r="J56" s="1581" t="s">
        <v>3178</v>
      </c>
      <c r="K56" s="1552" t="s">
        <v>1279</v>
      </c>
      <c r="L56" s="1555" t="str">
        <f ca="1">IF(L48&lt;J51,"——",L48-J53)</f>
        <v>——</v>
      </c>
      <c r="O56" s="1549" t="s">
        <v>827</v>
      </c>
      <c r="P56" s="1550" t="s">
        <v>1252</v>
      </c>
      <c r="Q56" s="1551">
        <f ca="1">C40+J29</f>
        <v>7823</v>
      </c>
      <c r="R56" s="1551" t="s">
        <v>1253</v>
      </c>
    </row>
    <row r="57" spans="1:18" s="1515" customFormat="1" ht="24.75" thickBot="1">
      <c r="A57" s="1582"/>
      <c r="B57" s="1059" t="s">
        <v>1202</v>
      </c>
      <c r="C57" s="243">
        <f ca="1">C29</f>
        <v>1015</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7" t="s">
        <v>1148</v>
      </c>
      <c r="C58" s="321">
        <f ca="1">ROUND(C59+C64+C65+C66,0)</f>
        <v>108</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86</v>
      </c>
      <c r="D59" s="1072" t="s">
        <v>1154</v>
      </c>
      <c r="E59" s="1073" t="s">
        <v>1155</v>
      </c>
      <c r="F59" s="2480"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IF(项目基本情况!B11="自然人","——",ROUND(C48*F60/(1+'数据-取费表'!C42),2))</f>
        <v>0</v>
      </c>
      <c r="D60" s="1073" t="s">
        <v>1158</v>
      </c>
      <c r="E60" s="1059" t="s">
        <v>1146</v>
      </c>
      <c r="F60" s="336">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1161</v>
      </c>
      <c r="C61" s="23">
        <f ca="1">IF(项目基本情况!B11="自然人","——",IF(D61="按租金收入计税",ROUND(C49*F61/(1+'数据-取费表'!C42),2),IF(D61="按房产原值计税",ROUND(C57*F61*0.7,2),INDIRECT("'数据-取费表'!Aj"&amp;$G$1))))</f>
        <v>85.26</v>
      </c>
      <c r="D61" s="1501" t="s">
        <v>1162</v>
      </c>
      <c r="E61" s="1059" t="s">
        <v>1146</v>
      </c>
      <c r="F61" s="327">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1165</v>
      </c>
      <c r="C62" s="24">
        <f ca="1">IF(项目基本情况!B11="自然人","——",ROUND(F62*F63/10000,2))</f>
        <v>0.28000000000000003</v>
      </c>
      <c r="D62" s="1074" t="s">
        <v>1166</v>
      </c>
      <c r="E62" s="1059" t="s">
        <v>1167</v>
      </c>
      <c r="F62" s="330">
        <f t="shared" si="0"/>
        <v>24</v>
      </c>
      <c r="I62" s="1593" t="s">
        <v>1294</v>
      </c>
      <c r="J62" s="1594" t="s">
        <v>1295</v>
      </c>
      <c r="K62" s="1594" t="s">
        <v>1296</v>
      </c>
      <c r="L62" s="1594" t="s">
        <v>1297</v>
      </c>
      <c r="M62" s="1595" t="s">
        <v>1298</v>
      </c>
      <c r="O62" s="1549" t="s">
        <v>833</v>
      </c>
      <c r="P62" s="1550" t="s">
        <v>1273</v>
      </c>
      <c r="Q62" s="1551">
        <f ca="1">Q56+Q57</f>
        <v>7823</v>
      </c>
      <c r="R62" s="1551" t="s">
        <v>834</v>
      </c>
    </row>
    <row r="63" spans="1:18" s="1515" customFormat="1" ht="13.5" thickBot="1">
      <c r="A63" s="331"/>
      <c r="B63" s="1065"/>
      <c r="C63" s="28"/>
      <c r="D63" s="1075"/>
      <c r="E63" s="1059" t="s">
        <v>1171</v>
      </c>
      <c r="F63" s="308">
        <f t="shared" ca="1" si="0"/>
        <v>115.1</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3">
        <f ca="1">ROUND(C57*F64,1)</f>
        <v>20.3</v>
      </c>
      <c r="D64" s="1073" t="s">
        <v>1206</v>
      </c>
      <c r="E64" s="1059" t="s">
        <v>1146</v>
      </c>
      <c r="F64" s="333">
        <f t="shared" ca="1" si="0"/>
        <v>0.02</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ROUND(C56*F65,1)</f>
        <v>1.6</v>
      </c>
      <c r="D65" s="1073" t="s">
        <v>1178</v>
      </c>
      <c r="E65" s="1059" t="s">
        <v>1146</v>
      </c>
      <c r="F65" s="335">
        <f t="shared" ca="1" si="0"/>
        <v>2E-3</v>
      </c>
      <c r="I65" s="1593" t="s">
        <v>1303</v>
      </c>
      <c r="J65" s="1594">
        <v>40</v>
      </c>
      <c r="K65" s="1594">
        <v>30</v>
      </c>
      <c r="L65" s="1594">
        <v>50</v>
      </c>
      <c r="M65" s="1596">
        <v>0.02</v>
      </c>
      <c r="O65" s="1549" t="s">
        <v>827</v>
      </c>
      <c r="P65" s="1550" t="s">
        <v>1252</v>
      </c>
      <c r="Q65" s="1551">
        <f ca="1">C40+J29</f>
        <v>7823</v>
      </c>
      <c r="R65" s="1551" t="s">
        <v>1253</v>
      </c>
    </row>
    <row r="66" spans="1:18" s="1515" customFormat="1" ht="16.5" thickBot="1">
      <c r="A66" s="1091" t="s">
        <v>1228</v>
      </c>
      <c r="B66" s="1059" t="s">
        <v>1163</v>
      </c>
      <c r="C66" s="23">
        <f ca="1">ROUND(C48*F66,1)</f>
        <v>0</v>
      </c>
      <c r="D66" s="1073" t="s">
        <v>1183</v>
      </c>
      <c r="E66" s="1059" t="s">
        <v>1146</v>
      </c>
      <c r="F66" s="317">
        <f t="shared" ca="1" si="0"/>
        <v>2.5000000000000001E-2</v>
      </c>
      <c r="O66" s="1549" t="s">
        <v>828</v>
      </c>
      <c r="P66" s="1550" t="s">
        <v>1282</v>
      </c>
      <c r="Q66" s="1551">
        <f ca="1">L60</f>
        <v>0</v>
      </c>
      <c r="R66" s="1551" t="s">
        <v>1305</v>
      </c>
    </row>
    <row r="67" spans="1:18" s="1515" customFormat="1" ht="16.5" thickBot="1">
      <c r="A67" s="1066" t="s">
        <v>818</v>
      </c>
      <c r="B67" s="1076" t="s">
        <v>1187</v>
      </c>
      <c r="C67" s="321">
        <f ca="1">C48-C58</f>
        <v>-108</v>
      </c>
      <c r="D67" s="1072" t="s">
        <v>1188</v>
      </c>
      <c r="E67" s="1077"/>
      <c r="F67" s="1078"/>
      <c r="O67" s="1559" t="s">
        <v>829</v>
      </c>
      <c r="P67" s="1550" t="s">
        <v>1286</v>
      </c>
      <c r="Q67" s="1597">
        <f ca="1">L51</f>
        <v>6285</v>
      </c>
      <c r="R67" s="1551" t="s">
        <v>1306</v>
      </c>
    </row>
    <row r="68" spans="1:18" s="1515" customFormat="1" ht="16.5" thickBot="1">
      <c r="A68" s="1056" t="s">
        <v>819</v>
      </c>
      <c r="B68" s="1057" t="s">
        <v>1209</v>
      </c>
      <c r="C68" s="306">
        <f ca="1">ROUND(C67*(1-((1+F70)/(1+F68))^F69)/(F68-F70),0)</f>
        <v>-1462</v>
      </c>
      <c r="D68" s="1074" t="s">
        <v>1193</v>
      </c>
      <c r="E68" s="1059" t="s">
        <v>1194</v>
      </c>
      <c r="F68" s="317">
        <f ca="1">F40</f>
        <v>0.06</v>
      </c>
      <c r="O68" s="1559" t="s">
        <v>830</v>
      </c>
      <c r="P68" s="1598" t="s">
        <v>1307</v>
      </c>
      <c r="Q68" s="1551">
        <f ca="1">ROUND(Q69-Q70*Q71,0)</f>
        <v>352</v>
      </c>
      <c r="R68" s="1551" t="s">
        <v>838</v>
      </c>
    </row>
    <row r="69" spans="1:18" s="1515" customFormat="1" ht="13.5" thickBot="1">
      <c r="A69" s="1060"/>
      <c r="B69" s="1061"/>
      <c r="C69" s="311"/>
      <c r="D69" s="1079" t="s">
        <v>1197</v>
      </c>
      <c r="E69" s="1059" t="s">
        <v>1198</v>
      </c>
      <c r="F69" s="338">
        <f ca="1">F41</f>
        <v>28.71</v>
      </c>
      <c r="O69" s="1559" t="s">
        <v>835</v>
      </c>
      <c r="P69" s="1598" t="s">
        <v>1308</v>
      </c>
      <c r="Q69" s="1551">
        <f ca="1">C39</f>
        <v>418</v>
      </c>
      <c r="R69" s="1551" t="s">
        <v>1253</v>
      </c>
    </row>
    <row r="70" spans="1:18" s="1515" customFormat="1" ht="13.5" thickBot="1">
      <c r="A70" s="1063"/>
      <c r="B70" s="1064"/>
      <c r="C70" s="315"/>
      <c r="D70" s="1075"/>
      <c r="E70" s="1059" t="s">
        <v>1201</v>
      </c>
      <c r="F70" s="1162"/>
      <c r="O70" s="1559" t="s">
        <v>836</v>
      </c>
      <c r="P70" s="1598" t="s">
        <v>1309</v>
      </c>
      <c r="Q70" s="1551">
        <f ca="1">C13</f>
        <v>782</v>
      </c>
      <c r="R70" s="1551" t="s">
        <v>1253</v>
      </c>
    </row>
    <row r="71" spans="1:18" s="1515" customFormat="1" ht="13.5" thickBot="1">
      <c r="A71" s="1080" t="s">
        <v>820</v>
      </c>
      <c r="B71" s="1081" t="s">
        <v>1211</v>
      </c>
      <c r="C71" s="341">
        <f ca="1">ROUND(C68*10000/F71,0)</f>
        <v>-9704</v>
      </c>
      <c r="D71" s="1082" t="s">
        <v>1212</v>
      </c>
      <c r="E71" s="1083" t="s">
        <v>1213</v>
      </c>
      <c r="F71" s="344">
        <f ca="1">F43</f>
        <v>1506.52</v>
      </c>
      <c r="O71" s="1559" t="s">
        <v>837</v>
      </c>
      <c r="P71" s="1598" t="s">
        <v>1310</v>
      </c>
      <c r="Q71" s="1562">
        <f ca="1">C76</f>
        <v>8.5000000000000006E-2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5" t="s">
        <v>1230</v>
      </c>
      <c r="C75" s="346">
        <f ca="1">ROUND(C13*C76,0)</f>
        <v>66</v>
      </c>
      <c r="D75" s="1515"/>
      <c r="E75" s="1515"/>
      <c r="F75" s="1515"/>
      <c r="K75" s="1533"/>
      <c r="L75" s="1515"/>
      <c r="O75" s="1549" t="s">
        <v>833</v>
      </c>
      <c r="P75" s="1550" t="s">
        <v>1273</v>
      </c>
      <c r="Q75" s="1551">
        <f ca="1">Q65+Q66</f>
        <v>7823</v>
      </c>
      <c r="R75" s="1551" t="s">
        <v>834</v>
      </c>
    </row>
    <row r="76" spans="1:18">
      <c r="B76" s="347" t="s">
        <v>1231</v>
      </c>
      <c r="C76" s="348">
        <f ca="1">INDIRECT("'数据-取费表'!j"&amp;$G$1)</f>
        <v>8.5000000000000006E-2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0.84199999999999997</v>
      </c>
    </row>
    <row r="80" spans="1:18">
      <c r="B80" s="345" t="s">
        <v>1235</v>
      </c>
      <c r="C80" s="279">
        <f ca="1">ROUND(C75/C39,3)</f>
        <v>0.158</v>
      </c>
    </row>
    <row r="81" spans="2:3">
      <c r="B81" s="275" t="s">
        <v>1236</v>
      </c>
      <c r="C81" s="243"/>
    </row>
    <row r="82" spans="2:3">
      <c r="B82" s="278" t="s">
        <v>1237</v>
      </c>
      <c r="C82" s="280">
        <f ca="1">1-C83</f>
        <v>0.9</v>
      </c>
    </row>
    <row r="83" spans="2:3">
      <c r="B83" s="278" t="s">
        <v>1238</v>
      </c>
      <c r="C83" s="279">
        <f ca="1">ROUND(C13/C40,3)</f>
        <v>0.1</v>
      </c>
    </row>
  </sheetData>
  <sheetProtection formatCells="0" formatColumns="0" formatRows="0"/>
  <mergeCells count="3">
    <mergeCell ref="B6:B9"/>
    <mergeCell ref="I6:I9"/>
    <mergeCell ref="K53:L53"/>
  </mergeCells>
  <phoneticPr fontId="140"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48</v>
      </c>
      <c r="D1" s="1493" t="s">
        <v>70</v>
      </c>
      <c r="E1" s="1494" t="s">
        <v>1111</v>
      </c>
      <c r="F1" s="1170" t="e">
        <f ca="1">J53</f>
        <v>#N/A</v>
      </c>
      <c r="G1" s="1509" t="e">
        <f>MATCH(C1,'数据-取费表'!A6:A16,0)+5</f>
        <v>#N/A</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t="e">
        <f ca="1">C40+J29+L46</f>
        <v>#N/A</v>
      </c>
      <c r="C2" s="1518" t="s">
        <v>1240</v>
      </c>
      <c r="D2" s="1518"/>
      <c r="E2" s="1519"/>
      <c r="F2" s="1520"/>
      <c r="G2" s="2881"/>
      <c r="H2" s="2870"/>
      <c r="I2" s="2870"/>
      <c r="J2" s="2870"/>
      <c r="K2" s="2871"/>
      <c r="L2" s="2870"/>
      <c r="M2" s="2870"/>
    </row>
    <row r="3" spans="1:37" ht="18" customHeight="1" thickBot="1">
      <c r="A3" s="1521" t="s">
        <v>1241</v>
      </c>
      <c r="B3" s="1522">
        <f ca="1">IF(ISERROR(B2*10000/F43),0,ROUND(B2*10000/F43,0))</f>
        <v>0</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506" t="s">
        <v>1127</v>
      </c>
      <c r="C6" s="1183" t="e">
        <f ca="1">ROUND(F6*F8*F7*(1-F9)/10000,0)</f>
        <v>#N/A</v>
      </c>
      <c r="D6" s="159" t="s">
        <v>2607</v>
      </c>
      <c r="E6" s="307" t="s">
        <v>1129</v>
      </c>
      <c r="F6" s="308" t="e">
        <f ca="1">INDIRECT("'数据-取费表'!u"&amp;$G$1)</f>
        <v>#N/A</v>
      </c>
      <c r="G6" s="1515"/>
      <c r="H6" s="1178" t="s">
        <v>822</v>
      </c>
      <c r="I6" s="3506" t="s">
        <v>1127</v>
      </c>
      <c r="J6" s="306" t="e">
        <f ca="1">ROUND(M6*M8*M7*(1-M9)/10000,0)</f>
        <v>#N/A</v>
      </c>
      <c r="K6" s="159" t="s">
        <v>2606</v>
      </c>
      <c r="L6" s="307" t="s">
        <v>1129</v>
      </c>
      <c r="M6" s="308" t="e">
        <f ca="1">INDIRECT("'数据-取费表'!z"&amp;$G$1)</f>
        <v>#N/A</v>
      </c>
    </row>
    <row r="7" spans="1:37" ht="18" customHeight="1">
      <c r="A7" s="1182"/>
      <c r="B7" s="3507"/>
      <c r="C7" s="1184"/>
      <c r="D7" s="312"/>
      <c r="E7" s="1185" t="s">
        <v>1130</v>
      </c>
      <c r="F7" s="308" t="e">
        <f ca="1">IF(INDIRECT("'数据-取费表'!ah"&amp;$G$1)="",INDIRECT("'数据-取费表'!k"&amp;$G$1),INDIRECT("'数据-取费表'!ah"&amp;$G$1))</f>
        <v>#N/A</v>
      </c>
      <c r="G7" s="1515"/>
      <c r="H7" s="309"/>
      <c r="I7" s="3507"/>
      <c r="J7" s="311"/>
      <c r="K7" s="312"/>
      <c r="L7" s="307" t="s">
        <v>1130</v>
      </c>
      <c r="M7" s="308" t="e">
        <f ca="1">F7</f>
        <v>#N/A</v>
      </c>
    </row>
    <row r="8" spans="1:37" ht="18" customHeight="1">
      <c r="A8" s="309"/>
      <c r="B8" s="3507"/>
      <c r="C8" s="311"/>
      <c r="D8" s="312"/>
      <c r="E8" s="307" t="s">
        <v>1131</v>
      </c>
      <c r="F8" s="308" t="e">
        <f ca="1">INDIRECT("'数据-取费表'!ai"&amp;$G$1)</f>
        <v>#N/A</v>
      </c>
      <c r="G8" s="1515"/>
      <c r="H8" s="309"/>
      <c r="I8" s="3507"/>
      <c r="J8" s="311"/>
      <c r="K8" s="312"/>
      <c r="L8" s="307" t="s">
        <v>1131</v>
      </c>
      <c r="M8" s="308" t="e">
        <f ca="1">INDIRECT("'数据-取费表'!ai"&amp;$G$1)</f>
        <v>#N/A</v>
      </c>
    </row>
    <row r="9" spans="1:37" ht="18" customHeight="1">
      <c r="A9" s="309"/>
      <c r="B9" s="3508"/>
      <c r="C9" s="311"/>
      <c r="D9" s="312"/>
      <c r="E9" s="307" t="s">
        <v>1132</v>
      </c>
      <c r="F9" s="317" t="e">
        <f ca="1">INDIRECT("'数据-取费表'!w"&amp;$G$1)</f>
        <v>#N/A</v>
      </c>
      <c r="G9" s="1515"/>
      <c r="H9" s="309"/>
      <c r="I9" s="3508"/>
      <c r="J9" s="311"/>
      <c r="K9" s="312"/>
      <c r="L9" s="318" t="s">
        <v>1132</v>
      </c>
      <c r="M9" s="319" t="e">
        <f ca="1">INDIRECT("'数据-取费表'!ab"&amp;$G$1)</f>
        <v>#N/A</v>
      </c>
    </row>
    <row r="10" spans="1:37" ht="18" customHeight="1">
      <c r="A10" s="1178" t="s">
        <v>826</v>
      </c>
      <c r="B10" s="1496" t="s">
        <v>1133</v>
      </c>
      <c r="C10" s="321" t="e">
        <f ca="1">ROUND(IF(F10="押一",C6/12*F11,IF(F10="押二",C6/12*2*F11,IF(F10="押三",C6/12*3*F11,C11*F11))),0)</f>
        <v>#N/A</v>
      </c>
      <c r="D10" s="1497" t="s">
        <v>2615</v>
      </c>
      <c r="E10" s="318" t="s">
        <v>1134</v>
      </c>
      <c r="F10" s="1225" t="s">
        <v>3216</v>
      </c>
      <c r="G10" s="1515"/>
      <c r="H10" s="1178" t="s">
        <v>826</v>
      </c>
      <c r="I10" s="1496" t="s">
        <v>1133</v>
      </c>
      <c r="J10" s="306" t="e">
        <f ca="1">ROUND(IF(M10="押一",J6/12*M11,IF(M10="押二",J6/12*2*M11,IF(M10="押三",J6/12*3*M11,J11*M11))),0)</f>
        <v>#N/A</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1190" t="s">
        <v>1139</v>
      </c>
      <c r="E13" s="1190" t="s">
        <v>1140</v>
      </c>
      <c r="F13" s="1191" t="e">
        <f ca="1">INDIRECT("'数据-取费表'!y"&amp;$G$1)</f>
        <v>#N/A</v>
      </c>
      <c r="G13" s="1515"/>
      <c r="H13" s="1188">
        <v>2</v>
      </c>
      <c r="I13" s="1189" t="s">
        <v>1138</v>
      </c>
      <c r="J13" s="1177" t="e">
        <f ca="1">ROUND(J14*J15,0)</f>
        <v>#N/A</v>
      </c>
      <c r="K13" s="1196" t="s">
        <v>1139</v>
      </c>
      <c r="L13" s="1523"/>
      <c r="M13" s="1524"/>
    </row>
    <row r="14" spans="1:37" ht="18" customHeight="1">
      <c r="A14" s="1091" t="s">
        <v>821</v>
      </c>
      <c r="B14" s="307" t="s">
        <v>1141</v>
      </c>
      <c r="C14" s="323" t="e">
        <f ca="1">INDIRECT("'数据-取费表'!m"&amp;$G$1)+INDIRECT("'数据-取费表'!t"&amp;$G$1)</f>
        <v>#N/A</v>
      </c>
      <c r="D14" s="1476" t="s">
        <v>1142</v>
      </c>
      <c r="E14" s="1473"/>
      <c r="F14" s="324"/>
      <c r="G14" s="1515"/>
      <c r="H14" s="1091" t="s">
        <v>822</v>
      </c>
      <c r="I14" s="307" t="s">
        <v>1143</v>
      </c>
      <c r="J14" s="23" t="e">
        <f ca="1">C29</f>
        <v>#N/A</v>
      </c>
      <c r="K14" s="14"/>
      <c r="L14" s="894"/>
      <c r="M14" s="895"/>
    </row>
    <row r="15" spans="1:37" s="1528" customFormat="1" ht="18" customHeight="1" thickBot="1">
      <c r="A15" s="1091" t="s">
        <v>823</v>
      </c>
      <c r="B15" s="307" t="s">
        <v>1144</v>
      </c>
      <c r="C15" s="23" t="e">
        <f ca="1">ROUND(C14*F15,0)</f>
        <v>#N/A</v>
      </c>
      <c r="D15" s="325" t="s">
        <v>1145</v>
      </c>
      <c r="E15" s="325"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t="e">
        <f ca="1">ROUND(INDIRECT("'数据-取费表'!m"&amp;$G$1)*F16,0)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1197"/>
      <c r="M16" s="1181"/>
    </row>
    <row r="17" spans="1:37" s="1528" customFormat="1" ht="18" customHeight="1">
      <c r="A17" s="1091" t="s">
        <v>1114</v>
      </c>
      <c r="B17" s="307" t="s">
        <v>1150</v>
      </c>
      <c r="C17" s="23" t="e">
        <f ca="1">ROUND(F17*(F43+INDIRECT("'数据-取费表'!S"&amp;$G$1))/10000,0)</f>
        <v>#N/A</v>
      </c>
      <c r="D17" s="307" t="s">
        <v>1151</v>
      </c>
      <c r="E17" s="307" t="s">
        <v>1152</v>
      </c>
      <c r="F17" s="25">
        <f>'数据-取费表'!B35</f>
        <v>200</v>
      </c>
      <c r="G17" s="1527"/>
      <c r="H17" s="1091" t="s">
        <v>822</v>
      </c>
      <c r="I17" s="307" t="s">
        <v>1153</v>
      </c>
      <c r="J17" s="2481" t="e">
        <f ca="1">ROUND(IF(AND(项目基本情况!B11="自然人",项目基本情况!B10="北京市"),J6*M17/(1+'数据-取费表'!C42),J18+J19+J20),0)</f>
        <v>#N/A</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t="e">
        <f ca="1">ROUND(C14*F18,0)</f>
        <v>#N/A</v>
      </c>
      <c r="D18" s="307" t="s">
        <v>1145</v>
      </c>
      <c r="E18" s="307" t="s">
        <v>1146</v>
      </c>
      <c r="F18" s="327">
        <f>'数据-取费表'!B36</f>
        <v>1.4999999999999999E-2</v>
      </c>
      <c r="G18" s="1527"/>
      <c r="H18" s="1091" t="s">
        <v>821</v>
      </c>
      <c r="I18" s="307" t="s">
        <v>1157</v>
      </c>
      <c r="J18" s="23" t="e">
        <f ca="1">ROUND(J6*M18/(1+'数据-取费表'!C42),2)</f>
        <v>#N/A</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t="e">
        <f ca="1">SUM(C14:C18)</f>
        <v>#N/A</v>
      </c>
      <c r="D19" s="135" t="s">
        <v>1160</v>
      </c>
      <c r="E19" s="1491"/>
      <c r="F19" s="25"/>
      <c r="G19" s="1515"/>
      <c r="H19" s="1091" t="s">
        <v>823</v>
      </c>
      <c r="I19" s="307" t="s">
        <v>1161</v>
      </c>
      <c r="J19" s="23" t="e">
        <f ca="1">IF(K19="按租金收入计税",ROUND(J6*M19/(1+'数据-取费表'!C42),2),ROUND(C29*M19*0.7,2))</f>
        <v>#N/A</v>
      </c>
      <c r="K19" s="1501" t="s">
        <v>1162</v>
      </c>
      <c r="L19" s="307" t="s">
        <v>1146</v>
      </c>
      <c r="M19" s="327">
        <f>IF(K19="按租金收入计税",'数据-取费表'!B51,'数据-取费表'!B50)</f>
        <v>1.2E-2</v>
      </c>
    </row>
    <row r="20" spans="1:37" s="1528" customFormat="1" ht="18" customHeight="1">
      <c r="A20" s="1091" t="s">
        <v>826</v>
      </c>
      <c r="B20" s="307" t="s">
        <v>1163</v>
      </c>
      <c r="C20" s="23" t="e">
        <f ca="1">ROUND(C19*F20,0)</f>
        <v>#N/A</v>
      </c>
      <c r="D20" s="328" t="s">
        <v>1164</v>
      </c>
      <c r="E20" s="307" t="s">
        <v>1146</v>
      </c>
      <c r="F20" s="327">
        <f>'数据-取费表'!B37</f>
        <v>0.02</v>
      </c>
      <c r="G20" s="1527"/>
      <c r="H20" s="1091" t="s">
        <v>1113</v>
      </c>
      <c r="I20" s="159" t="s">
        <v>1165</v>
      </c>
      <c r="J20" s="24" t="e">
        <f ca="1">ROUND(M20*M21/10000,2)</f>
        <v>#N/A</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t="e">
        <f ca="1">ROUND(J14*M22,1)</f>
        <v>#N/A</v>
      </c>
      <c r="K22" s="1475" t="s">
        <v>1174</v>
      </c>
      <c r="L22" s="307" t="s">
        <v>1146</v>
      </c>
      <c r="M22" s="333" t="e">
        <f ca="1">INDIRECT("'数据-取费表'!Ak"&amp;$G$1)</f>
        <v>#N/A</v>
      </c>
    </row>
    <row r="23" spans="1:37" s="1528" customFormat="1" ht="18" customHeight="1">
      <c r="A23" s="1091" t="s">
        <v>821</v>
      </c>
      <c r="B23" s="307" t="s">
        <v>1175</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t="e">
        <f ca="1">ROUND(J13*M23,1)</f>
        <v>#N/A</v>
      </c>
      <c r="K23" s="1475" t="s">
        <v>1178</v>
      </c>
      <c r="L23" s="307" t="s">
        <v>1179</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t="e">
        <f ca="1">ROUND(J5*M24,1)</f>
        <v>#N/A</v>
      </c>
      <c r="K24" s="1201" t="s">
        <v>1183</v>
      </c>
      <c r="L24" s="1199" t="s">
        <v>1179</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1491"/>
      <c r="F25" s="25"/>
      <c r="G25" s="1515"/>
      <c r="H25" s="1188" t="s">
        <v>818</v>
      </c>
      <c r="I25" s="1203" t="s">
        <v>1187</v>
      </c>
      <c r="J25" s="315" t="e">
        <f ca="1">J5-J16</f>
        <v>#N/A</v>
      </c>
      <c r="K25" s="1204" t="s">
        <v>1188</v>
      </c>
      <c r="L25" s="1205"/>
      <c r="M25" s="1206"/>
    </row>
    <row r="26" spans="1:37">
      <c r="A26" s="1091" t="s">
        <v>821</v>
      </c>
      <c r="B26" s="307" t="s">
        <v>1189</v>
      </c>
      <c r="C26" s="23"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1" t="s">
        <v>823</v>
      </c>
      <c r="B27" s="307" t="s">
        <v>1195</v>
      </c>
      <c r="C27" s="23" t="e">
        <f ca="1">ROUND(F21*F26,4)</f>
        <v>#N/A</v>
      </c>
      <c r="D27" s="328" t="s">
        <v>1196</v>
      </c>
      <c r="E27" s="325"/>
      <c r="F27" s="326"/>
      <c r="G27" s="1515"/>
      <c r="H27" s="309"/>
      <c r="I27" s="310"/>
      <c r="J27" s="311"/>
      <c r="K27" s="337" t="s">
        <v>1197</v>
      </c>
      <c r="L27" s="307" t="s">
        <v>1198</v>
      </c>
      <c r="M27" s="338" t="e">
        <f ca="1">INDIRECT("'数据-取费表'!ag"&amp;$G$1)</f>
        <v>#N/A</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1197"/>
      <c r="F30" s="1181"/>
      <c r="G30" s="1515"/>
      <c r="H30" s="2872"/>
      <c r="I30" s="1529"/>
      <c r="J30" s="1530"/>
      <c r="K30" s="2647"/>
      <c r="L30" s="2873"/>
      <c r="M30" s="2874"/>
    </row>
    <row r="31" spans="1:37" ht="18" customHeight="1">
      <c r="A31" s="1091" t="s">
        <v>822</v>
      </c>
      <c r="B31" s="307" t="s">
        <v>1153</v>
      </c>
      <c r="C31" s="2481" t="e">
        <f ca="1">ROUND(IF(AND(项目基本情况!B11="自然人",项目基本情况!B10="北京市"),C6*F31/(1+'数据-取费表'!C42),C32+C33+C34),0)</f>
        <v>#N/A</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t="e">
        <f ca="1">IF(项目基本情况!B11="自然人","——",ROUND(C6*F32/(1+'数据-取费表'!C42),2))</f>
        <v>#N/A</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t="e">
        <f ca="1">IF(项目基本情况!B11="自然人","——",IF(D33="按租金收入计税",ROUND(C6*F33/(1+'数据-取费表'!C42),2),IF(D33="按房产原值计税",ROUND(C29*F33*0.7,2),INDIRECT("'数据-取费表'!Aj"&amp;$G$1))))</f>
        <v>#N/A</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t="e">
        <f ca="1">IF(项目基本情况!B11="自然人","——",ROUND(F34*F35/10000,2))</f>
        <v>#N/A</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t="e">
        <f ca="1">INDIRECT("'数据-取费表'!r"&amp;$G$1)</f>
        <v>#N/A</v>
      </c>
      <c r="G35" s="1515"/>
      <c r="H35" s="2872"/>
      <c r="I35" s="1529"/>
      <c r="J35" s="1530"/>
      <c r="K35" s="2876"/>
      <c r="L35" s="2875"/>
      <c r="M35" s="2875"/>
    </row>
    <row r="36" spans="1:18" ht="18" customHeight="1">
      <c r="A36" s="1211" t="s">
        <v>826</v>
      </c>
      <c r="B36" s="307" t="s">
        <v>1173</v>
      </c>
      <c r="C36" s="23" t="e">
        <f ca="1">ROUND(C29*F36,1)</f>
        <v>#N/A</v>
      </c>
      <c r="D36" s="1475" t="s">
        <v>1206</v>
      </c>
      <c r="E36" s="307" t="s">
        <v>1146</v>
      </c>
      <c r="F36" s="333" t="e">
        <f ca="1">INDIRECT("'数据-取费表'!Ak"&amp;$G$1)</f>
        <v>#N/A</v>
      </c>
      <c r="G36" s="1515"/>
      <c r="H36" s="2875"/>
      <c r="I36" s="1529"/>
      <c r="J36" s="1530"/>
      <c r="K36" s="2716"/>
      <c r="L36" s="2875"/>
      <c r="M36" s="2875"/>
    </row>
    <row r="37" spans="1:18" ht="18" customHeight="1">
      <c r="A37" s="1091" t="s">
        <v>862</v>
      </c>
      <c r="B37" s="307" t="s">
        <v>1177</v>
      </c>
      <c r="C37" s="23" t="e">
        <f ca="1">ROUND(C13*F37,1)</f>
        <v>#N/A</v>
      </c>
      <c r="D37" s="1475" t="s">
        <v>1178</v>
      </c>
      <c r="E37" s="307" t="s">
        <v>1179</v>
      </c>
      <c r="F37" s="335" t="e">
        <f ca="1">INDIRECT("'数据-取费表'!Al"&amp;$G$1)</f>
        <v>#N/A</v>
      </c>
      <c r="G37" s="1515"/>
      <c r="H37" s="2875"/>
      <c r="I37" s="1529"/>
      <c r="J37" s="1530"/>
      <c r="K37" s="2716"/>
      <c r="L37" s="2875"/>
      <c r="M37" s="2875"/>
    </row>
    <row r="38" spans="1:18" ht="18" customHeight="1" thickBot="1">
      <c r="A38" s="1198" t="s">
        <v>1117</v>
      </c>
      <c r="B38" s="1199" t="s">
        <v>1163</v>
      </c>
      <c r="C38" s="1200" t="e">
        <f ca="1">ROUND(C5*F38,1)</f>
        <v>#N/A</v>
      </c>
      <c r="D38" s="1201" t="s">
        <v>1183</v>
      </c>
      <c r="E38" s="1199" t="s">
        <v>1179</v>
      </c>
      <c r="F38" s="1195" t="e">
        <f ca="1">INDIRECT("'数据-取费表'!Am"&amp;$G$1)</f>
        <v>#N/A</v>
      </c>
      <c r="G38" s="1515"/>
      <c r="H38" s="2875"/>
      <c r="I38" s="1529"/>
      <c r="J38" s="1530"/>
      <c r="K38" s="2879"/>
      <c r="L38" s="2875"/>
      <c r="M38" s="2875"/>
    </row>
    <row r="39" spans="1:18" ht="24.6" customHeight="1" thickTop="1">
      <c r="A39" s="1188" t="s">
        <v>818</v>
      </c>
      <c r="B39" s="1203" t="s">
        <v>1207</v>
      </c>
      <c r="C39" s="315" t="e">
        <f ca="1">C5-C30</f>
        <v>#N/A</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9"/>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6"/>
      <c r="L41" s="1302"/>
      <c r="M41" s="1302"/>
    </row>
    <row r="42" spans="1:18" ht="18" customHeight="1">
      <c r="A42" s="313"/>
      <c r="B42" s="314"/>
      <c r="C42" s="315"/>
      <c r="D42" s="332"/>
      <c r="E42" s="307" t="s">
        <v>1201</v>
      </c>
      <c r="F42" s="317" t="e">
        <f ca="1">INDIRECT("'数据-取费表'!v"&amp;$G$1)</f>
        <v>#N/A</v>
      </c>
      <c r="G42" s="1515"/>
      <c r="H42" s="1302"/>
      <c r="I42" s="1529"/>
      <c r="J42" s="1530"/>
      <c r="K42" s="2716"/>
      <c r="L42" s="1302"/>
      <c r="M42" s="1302"/>
    </row>
    <row r="43" spans="1:18" ht="18" customHeight="1" thickBot="1">
      <c r="A43" s="339" t="s">
        <v>820</v>
      </c>
      <c r="B43" s="340" t="s">
        <v>1211</v>
      </c>
      <c r="C43" s="341" t="e">
        <f ca="1">ROUND(C40*10000/F43,0)</f>
        <v>#N/A</v>
      </c>
      <c r="D43" s="342" t="s">
        <v>1212</v>
      </c>
      <c r="E43" s="343" t="s">
        <v>1213</v>
      </c>
      <c r="F43" s="344" t="e">
        <f ca="1">INDIRECT("'数据-取费表'!k"&amp;$G$1)</f>
        <v>#N/A</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t="e">
        <f ca="1">C68-C40</f>
        <v>#N/A</v>
      </c>
      <c r="D46" s="1537" t="str">
        <f>C2</f>
        <v>万元</v>
      </c>
      <c r="E46" s="1531"/>
      <c r="F46" s="1531"/>
      <c r="I46" s="1538" t="s">
        <v>1245</v>
      </c>
      <c r="J46" s="1539"/>
      <c r="K46" s="1540"/>
      <c r="L46" s="1541" t="e">
        <f ca="1">IF(M47="住宅",0,IF(L48&gt;J51,L60,J60))</f>
        <v>#N/A</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1490" t="e">
        <f ca="1">C49+C53+C55</f>
        <v>#N/A</v>
      </c>
      <c r="D48" s="1221"/>
      <c r="E48" s="1222"/>
      <c r="F48" s="1071"/>
      <c r="G48" s="728"/>
      <c r="H48" s="729"/>
      <c r="I48" s="1552" t="s">
        <v>1254</v>
      </c>
      <c r="J48" s="1553" t="s">
        <v>3219</v>
      </c>
      <c r="K48" s="1554" t="s">
        <v>1255</v>
      </c>
      <c r="L48" s="1555" t="e">
        <f ca="1">INDIRECT("'数据-取费表'!f"&amp;$G$1)</f>
        <v>#N/A</v>
      </c>
      <c r="O48" s="1549" t="s">
        <v>828</v>
      </c>
      <c r="P48" s="1550" t="s">
        <v>1256</v>
      </c>
      <c r="Q48" s="1551" t="e">
        <f ca="1">J60</f>
        <v>#N/A</v>
      </c>
      <c r="R48" s="1551" t="s">
        <v>1257</v>
      </c>
    </row>
    <row r="49" spans="1:18" s="1515" customFormat="1" ht="13.5" thickBot="1">
      <c r="A49" s="1084" t="s">
        <v>864</v>
      </c>
      <c r="B49" s="1502" t="s">
        <v>1214</v>
      </c>
      <c r="C49" s="1223" t="e">
        <f ca="1">ROUND(F49*F51*F50*(1-F52)/10000,0)</f>
        <v>#N/A</v>
      </c>
      <c r="D49" s="1163" t="s">
        <v>2608</v>
      </c>
      <c r="E49" s="1503" t="s">
        <v>1215</v>
      </c>
      <c r="F49" s="1168"/>
      <c r="G49" s="1556"/>
      <c r="H49" s="729"/>
      <c r="I49" s="1552" t="s">
        <v>1258</v>
      </c>
      <c r="J49" s="1557">
        <v>2008</v>
      </c>
      <c r="K49" s="1554" t="s">
        <v>1259</v>
      </c>
      <c r="L49" s="1558"/>
      <c r="O49" s="1559" t="s">
        <v>829</v>
      </c>
      <c r="P49" s="1550" t="s">
        <v>1260</v>
      </c>
      <c r="Q49" s="1551" t="e">
        <f ca="1">C29</f>
        <v>#N/A</v>
      </c>
      <c r="R49" s="1551" t="s">
        <v>1253</v>
      </c>
    </row>
    <row r="50" spans="1:18" s="1515" customFormat="1" ht="13.5" thickBot="1">
      <c r="A50" s="1085"/>
      <c r="B50" s="1088"/>
      <c r="C50" s="1227"/>
      <c r="D50" s="1062"/>
      <c r="E50" s="1164" t="s">
        <v>1130</v>
      </c>
      <c r="F50" s="1165" t="e">
        <f ca="1">F7</f>
        <v>#N/A</v>
      </c>
      <c r="H50" s="729"/>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6"/>
      <c r="B51" s="1088"/>
      <c r="C51" s="1089"/>
      <c r="D51" s="1062"/>
      <c r="E51" s="1090" t="s">
        <v>1131</v>
      </c>
      <c r="F51" s="308" t="e">
        <f ca="1">F8</f>
        <v>#N/A</v>
      </c>
      <c r="I51" s="1563" t="s">
        <v>1264</v>
      </c>
      <c r="J51" s="1564">
        <f>IF(J49="",J50,J49+J50-YEAR('数据-取费表'!B2))</f>
        <v>46</v>
      </c>
      <c r="K51" s="1565" t="s">
        <v>1265</v>
      </c>
      <c r="L51" s="1566" t="e">
        <f ca="1">ROUND(-PV(INDIRECT("'数据-取费表'!h"&amp;$G$1),J51,(C39-C13*C76),0),0)</f>
        <v>#N/A</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t="e">
        <f ca="1">J53</f>
        <v>#N/A</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t="e">
        <f ca="1">IF(M47="住宅",IF(D1="——",MAX(J51,L48),MAX(J51,L48-'数据-取费表'!B24)),IF(D1="——",MIN(J51,L48),MIN(J51,L48-'数据-取费表'!B24)))</f>
        <v>#N/A</v>
      </c>
      <c r="K53" s="3509" t="s">
        <v>1272</v>
      </c>
      <c r="L53" s="3510"/>
      <c r="O53" s="1549" t="s">
        <v>833</v>
      </c>
      <c r="P53" s="1550" t="s">
        <v>1273</v>
      </c>
      <c r="Q53" s="1551" t="e">
        <f ca="1">Q47+Q48</f>
        <v>#N/A</v>
      </c>
      <c r="R53" s="1551" t="s">
        <v>834</v>
      </c>
    </row>
    <row r="54" spans="1:18" s="1515" customFormat="1" ht="13.5" thickBot="1">
      <c r="A54" s="1264"/>
      <c r="B54" s="1498" t="s">
        <v>1112</v>
      </c>
      <c r="C54" s="1068"/>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#N/A</v>
      </c>
      <c r="K55" s="1576" t="s">
        <v>1276</v>
      </c>
      <c r="L55" s="1577" t="s">
        <v>1277</v>
      </c>
      <c r="O55" s="1542" t="s">
        <v>1246</v>
      </c>
      <c r="P55" s="1543" t="s">
        <v>1247</v>
      </c>
      <c r="Q55" s="1544" t="s">
        <v>1248</v>
      </c>
      <c r="R55" s="1544" t="s">
        <v>1249</v>
      </c>
    </row>
    <row r="56" spans="1:18" s="1515" customFormat="1" ht="25.5" thickTop="1" thickBot="1">
      <c r="A56" s="1066">
        <v>2</v>
      </c>
      <c r="B56" s="1067" t="s">
        <v>1138</v>
      </c>
      <c r="C56" s="237" t="e">
        <f ca="1">C13</f>
        <v>#N/A</v>
      </c>
      <c r="D56" s="1578"/>
      <c r="E56" s="1579"/>
      <c r="F56" s="1571"/>
      <c r="I56" s="1580" t="s">
        <v>1278</v>
      </c>
      <c r="J56" s="1581" t="s">
        <v>3178</v>
      </c>
      <c r="K56" s="1552" t="s">
        <v>1279</v>
      </c>
      <c r="L56" s="1555" t="e">
        <f ca="1">IF(L48&lt;J51,"——",L48-J53)</f>
        <v>#N/A</v>
      </c>
      <c r="O56" s="1549" t="s">
        <v>827</v>
      </c>
      <c r="P56" s="1550" t="s">
        <v>1252</v>
      </c>
      <c r="Q56" s="1551" t="e">
        <f ca="1">C40+J29</f>
        <v>#N/A</v>
      </c>
      <c r="R56" s="1551" t="s">
        <v>1253</v>
      </c>
    </row>
    <row r="57" spans="1:18" s="1515" customFormat="1" ht="24.75" thickBot="1">
      <c r="A57" s="1582"/>
      <c r="B57" s="1059" t="s">
        <v>1202</v>
      </c>
      <c r="C57" s="243" t="e">
        <f ca="1">C29</f>
        <v>#N/A</v>
      </c>
      <c r="D57" s="1583"/>
      <c r="E57" s="1584"/>
      <c r="F57" s="1585"/>
      <c r="I57" s="1586" t="s">
        <v>1280</v>
      </c>
      <c r="J57" s="1587" t="e">
        <f ca="1">IF(OR(M47="住宅",J51&lt;L48,J56="是"),"——",J51-L48)</f>
        <v>#N/A</v>
      </c>
      <c r="K57" s="1552" t="s">
        <v>1281</v>
      </c>
      <c r="L57" s="1555" t="e">
        <f ca="1">IF(L48&lt;J51,"——",IF(L55="比较法",L49,IF(L55="基准地价",L50,L51)))</f>
        <v>#N/A</v>
      </c>
      <c r="O57" s="1549" t="s">
        <v>828</v>
      </c>
      <c r="P57" s="1550" t="s">
        <v>1282</v>
      </c>
      <c r="Q57" s="1551" t="e">
        <f ca="1">L60</f>
        <v>#N/A</v>
      </c>
      <c r="R57" s="1551" t="s">
        <v>1283</v>
      </c>
    </row>
    <row r="58" spans="1:18" s="1515" customFormat="1" ht="24.75" thickBot="1">
      <c r="A58" s="320" t="s">
        <v>817</v>
      </c>
      <c r="B58" s="1067" t="s">
        <v>1148</v>
      </c>
      <c r="C58" s="321" t="e">
        <f ca="1">ROUND(C59+C64+C65+C66,0)</f>
        <v>#N/A</v>
      </c>
      <c r="D58" s="1069" t="s">
        <v>1149</v>
      </c>
      <c r="E58" s="1070"/>
      <c r="F58" s="1071"/>
      <c r="I58" s="1586" t="s">
        <v>1284</v>
      </c>
      <c r="J58" s="1588" t="e">
        <f ca="1">IF(J55&lt;0.4,0.4,J55)</f>
        <v>#N/A</v>
      </c>
      <c r="K58" s="1565" t="s">
        <v>1285</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1288</v>
      </c>
      <c r="Q59" s="1562">
        <f>L52</f>
        <v>0</v>
      </c>
      <c r="R59" s="1551"/>
    </row>
    <row r="60" spans="1:18" s="1515" customFormat="1" ht="16.5" thickBot="1">
      <c r="A60" s="1091" t="s">
        <v>821</v>
      </c>
      <c r="B60" s="1059" t="s">
        <v>1157</v>
      </c>
      <c r="C60" s="23" t="e">
        <f ca="1">IF(项目基本情况!B11="自然人","——",ROUND(C48*F60/(1+'数据-取费表'!C42),2))</f>
        <v>#N/A</v>
      </c>
      <c r="D60" s="1073" t="s">
        <v>1158</v>
      </c>
      <c r="E60" s="1059" t="s">
        <v>1146</v>
      </c>
      <c r="F60" s="336">
        <f t="shared" ref="F60:F66" si="0">F32</f>
        <v>5.6000000000000001E-2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1" t="s">
        <v>1216</v>
      </c>
      <c r="B61" s="1059" t="s">
        <v>1217</v>
      </c>
      <c r="C61" s="23" t="e">
        <f ca="1">IF(项目基本情况!B11="自然人","——",IF(D61="按租金收入计税",ROUND(C49*F61/(1+'数据-取费表'!C42),2),IF(D61="按房产原值计税",ROUND(C57*F61*0.7,2),INDIRECT("'数据-取费表'!Aj"&amp;$G$1))))</f>
        <v>#N/A</v>
      </c>
      <c r="D61" s="1501" t="s">
        <v>1162</v>
      </c>
      <c r="E61" s="1059" t="s">
        <v>1218</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1" t="s">
        <v>1219</v>
      </c>
      <c r="B62" s="1058" t="s">
        <v>1220</v>
      </c>
      <c r="C62" s="24" t="e">
        <f ca="1">IF(项目基本情况!B11="自然人","——",ROUND(F62*F63/10000,2))</f>
        <v>#N/A</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#N/A</v>
      </c>
      <c r="R62" s="1551" t="s">
        <v>834</v>
      </c>
    </row>
    <row r="63" spans="1:18" s="1515" customFormat="1" ht="13.5" thickBot="1">
      <c r="A63" s="331"/>
      <c r="B63" s="1065"/>
      <c r="C63" s="28"/>
      <c r="D63" s="1075"/>
      <c r="E63" s="1059" t="s">
        <v>1223</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t="e">
        <f ca="1">ROUND(C57*F64,1)</f>
        <v>#N/A</v>
      </c>
      <c r="D64" s="1073" t="s">
        <v>1226</v>
      </c>
      <c r="E64" s="1059" t="s">
        <v>1218</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t="e">
        <f ca="1">ROUND(C56*F65,1)</f>
        <v>#N/A</v>
      </c>
      <c r="D65" s="1073" t="s">
        <v>1178</v>
      </c>
      <c r="E65" s="1059" t="s">
        <v>1179</v>
      </c>
      <c r="F65" s="335" t="e">
        <f t="shared" ca="1" si="0"/>
        <v>#N/A</v>
      </c>
      <c r="I65" s="1593" t="s">
        <v>1303</v>
      </c>
      <c r="J65" s="1594">
        <v>40</v>
      </c>
      <c r="K65" s="1594">
        <v>30</v>
      </c>
      <c r="L65" s="1594">
        <v>50</v>
      </c>
      <c r="M65" s="1596">
        <v>0.02</v>
      </c>
      <c r="O65" s="1549" t="s">
        <v>827</v>
      </c>
      <c r="P65" s="1550" t="s">
        <v>1304</v>
      </c>
      <c r="Q65" s="1551" t="e">
        <f ca="1">C40+J29</f>
        <v>#N/A</v>
      </c>
      <c r="R65" s="1551" t="s">
        <v>1253</v>
      </c>
    </row>
    <row r="66" spans="1:18" s="1515" customFormat="1" ht="16.5" thickBot="1">
      <c r="A66" s="1091" t="s">
        <v>1228</v>
      </c>
      <c r="B66" s="1059" t="s">
        <v>1163</v>
      </c>
      <c r="C66" s="23" t="e">
        <f ca="1">ROUND(C48*F66,1)</f>
        <v>#N/A</v>
      </c>
      <c r="D66" s="1073" t="s">
        <v>1229</v>
      </c>
      <c r="E66" s="1059" t="s">
        <v>1146</v>
      </c>
      <c r="F66" s="317" t="e">
        <f t="shared" ca="1" si="0"/>
        <v>#N/A</v>
      </c>
      <c r="O66" s="1549" t="s">
        <v>828</v>
      </c>
      <c r="P66" s="1550" t="s">
        <v>1282</v>
      </c>
      <c r="Q66" s="1551" t="e">
        <f ca="1">L60</f>
        <v>#N/A</v>
      </c>
      <c r="R66" s="1551" t="s">
        <v>1305</v>
      </c>
    </row>
    <row r="67" spans="1:18" s="1515" customFormat="1" ht="16.5" thickBot="1">
      <c r="A67" s="1066" t="s">
        <v>818</v>
      </c>
      <c r="B67" s="1076" t="s">
        <v>1187</v>
      </c>
      <c r="C67" s="321" t="e">
        <f ca="1">C48-C58</f>
        <v>#N/A</v>
      </c>
      <c r="D67" s="1072" t="s">
        <v>1188</v>
      </c>
      <c r="E67" s="1077"/>
      <c r="F67" s="1078"/>
      <c r="O67" s="1559" t="s">
        <v>829</v>
      </c>
      <c r="P67" s="1550" t="s">
        <v>1286</v>
      </c>
      <c r="Q67" s="1597" t="e">
        <f ca="1">L51</f>
        <v>#N/A</v>
      </c>
      <c r="R67" s="1551" t="s">
        <v>1306</v>
      </c>
    </row>
    <row r="68" spans="1:18" s="1515" customFormat="1" ht="16.5" thickBot="1">
      <c r="A68" s="1056" t="s">
        <v>819</v>
      </c>
      <c r="B68" s="1057" t="s">
        <v>1209</v>
      </c>
      <c r="C68" s="306" t="e">
        <f ca="1">ROUND(C67*(1-((1+F70)/(1+F68))^F69)/(F68-F70),0)</f>
        <v>#N/A</v>
      </c>
      <c r="D68" s="1074" t="s">
        <v>1193</v>
      </c>
      <c r="E68" s="1059" t="s">
        <v>1194</v>
      </c>
      <c r="F68" s="317" t="e">
        <f ca="1">F40</f>
        <v>#N/A</v>
      </c>
      <c r="O68" s="1559" t="s">
        <v>830</v>
      </c>
      <c r="P68" s="1598" t="s">
        <v>1307</v>
      </c>
      <c r="Q68" s="1551" t="e">
        <f ca="1">ROUND(Q69-Q70*Q71,0)</f>
        <v>#N/A</v>
      </c>
      <c r="R68" s="1551" t="s">
        <v>838</v>
      </c>
    </row>
    <row r="69" spans="1:18" s="1515" customFormat="1" ht="13.5" thickBot="1">
      <c r="A69" s="1060"/>
      <c r="B69" s="1061"/>
      <c r="C69" s="311"/>
      <c r="D69" s="1079" t="s">
        <v>1197</v>
      </c>
      <c r="E69" s="1059" t="s">
        <v>1198</v>
      </c>
      <c r="F69" s="338" t="e">
        <f ca="1">F41</f>
        <v>#N/A</v>
      </c>
      <c r="O69" s="1559" t="s">
        <v>835</v>
      </c>
      <c r="P69" s="1598" t="s">
        <v>1308</v>
      </c>
      <c r="Q69" s="1551" t="e">
        <f ca="1">C39</f>
        <v>#N/A</v>
      </c>
      <c r="R69" s="1551" t="s">
        <v>1253</v>
      </c>
    </row>
    <row r="70" spans="1:18" s="1515" customFormat="1" ht="13.5" thickBot="1">
      <c r="A70" s="1063"/>
      <c r="B70" s="1064"/>
      <c r="C70" s="315"/>
      <c r="D70" s="1075"/>
      <c r="E70" s="1059" t="s">
        <v>1201</v>
      </c>
      <c r="F70" s="1162"/>
      <c r="O70" s="1559" t="s">
        <v>836</v>
      </c>
      <c r="P70" s="1598" t="s">
        <v>1309</v>
      </c>
      <c r="Q70" s="1551" t="e">
        <f ca="1">C13</f>
        <v>#N/A</v>
      </c>
      <c r="R70" s="1551" t="s">
        <v>1253</v>
      </c>
    </row>
    <row r="71" spans="1:18" s="1515" customFormat="1" ht="13.5" thickBot="1">
      <c r="A71" s="1080" t="s">
        <v>820</v>
      </c>
      <c r="B71" s="1081" t="s">
        <v>1211</v>
      </c>
      <c r="C71" s="341" t="e">
        <f ca="1">ROUND(C68*10000/F71,0)</f>
        <v>#N/A</v>
      </c>
      <c r="D71" s="1082" t="s">
        <v>1212</v>
      </c>
      <c r="E71" s="1083" t="s">
        <v>1213</v>
      </c>
      <c r="F71" s="344" t="e">
        <f ca="1">F43</f>
        <v>#N/A</v>
      </c>
      <c r="O71" s="1559" t="s">
        <v>837</v>
      </c>
      <c r="P71" s="1598" t="s">
        <v>1310</v>
      </c>
      <c r="Q71" s="1562" t="e">
        <f ca="1">C76</f>
        <v>#N/A</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c r="D1" s="1493"/>
      <c r="E1" s="1494" t="s">
        <v>1111</v>
      </c>
      <c r="F1" s="1170">
        <f ca="1">J53</f>
        <v>0</v>
      </c>
      <c r="G1" s="1509">
        <f>MATCH(C1,'数据-取费表'!A6:A16,0)+5</f>
        <v>8</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1"/>
      <c r="H2" s="2870"/>
      <c r="I2" s="2870"/>
      <c r="J2" s="2870"/>
      <c r="K2" s="2871"/>
      <c r="L2" s="2870"/>
      <c r="M2" s="2870"/>
    </row>
    <row r="3" spans="1:37" ht="18" customHeight="1" thickBot="1">
      <c r="A3" s="1521" t="s">
        <v>1317</v>
      </c>
      <c r="B3" s="1522">
        <f ca="1">IF(ISERROR(D2/F43),0,ROUND(D2/F43,0))</f>
        <v>0</v>
      </c>
      <c r="C3" s="1518" t="s">
        <v>1318</v>
      </c>
      <c r="D3" s="1518"/>
      <c r="E3" s="1519"/>
      <c r="F3" s="1520"/>
      <c r="G3" s="2881"/>
      <c r="H3" s="689" t="s">
        <v>1312</v>
      </c>
      <c r="I3" s="1513"/>
      <c r="J3" s="1513"/>
      <c r="K3" s="1514"/>
      <c r="L3" s="1513"/>
      <c r="M3" s="1513"/>
    </row>
    <row r="4" spans="1:37" ht="18" customHeight="1">
      <c r="A4" s="300" t="s">
        <v>1319</v>
      </c>
      <c r="B4" s="301" t="s">
        <v>1320</v>
      </c>
      <c r="C4" s="301" t="s">
        <v>1321</v>
      </c>
      <c r="D4" s="301" t="s">
        <v>1322</v>
      </c>
      <c r="E4" s="302" t="s">
        <v>1323</v>
      </c>
      <c r="F4" s="303"/>
      <c r="G4" s="1515"/>
      <c r="H4" s="300" t="s">
        <v>1319</v>
      </c>
      <c r="I4" s="301" t="s">
        <v>1320</v>
      </c>
      <c r="J4" s="301" t="s">
        <v>1321</v>
      </c>
      <c r="K4" s="301" t="s">
        <v>1322</v>
      </c>
      <c r="L4" s="302" t="s">
        <v>1323</v>
      </c>
      <c r="M4" s="303"/>
    </row>
    <row r="5" spans="1:37" ht="18" customHeight="1">
      <c r="A5" s="304">
        <v>1</v>
      </c>
      <c r="B5" s="305" t="s">
        <v>1324</v>
      </c>
      <c r="C5" s="1179">
        <f ca="1">C6+C10+C12</f>
        <v>0</v>
      </c>
      <c r="D5" s="1495" t="s">
        <v>1325</v>
      </c>
      <c r="E5" s="1180"/>
      <c r="F5" s="1181"/>
      <c r="G5" s="1515"/>
      <c r="H5" s="304">
        <v>1</v>
      </c>
      <c r="I5" s="305" t="s">
        <v>1324</v>
      </c>
      <c r="J5" s="1179">
        <f ca="1">J6+J10+J12</f>
        <v>0</v>
      </c>
      <c r="K5" s="1495" t="s">
        <v>1325</v>
      </c>
      <c r="L5" s="1180"/>
      <c r="M5" s="1181"/>
    </row>
    <row r="6" spans="1:37" ht="18" customHeight="1">
      <c r="A6" s="1178" t="s">
        <v>822</v>
      </c>
      <c r="B6" s="3506" t="s">
        <v>1127</v>
      </c>
      <c r="C6" s="1183">
        <f ca="1">ROUND(F6*F8*F7*(1-F9),0)</f>
        <v>0</v>
      </c>
      <c r="D6" s="159" t="s">
        <v>2604</v>
      </c>
      <c r="E6" s="307" t="s">
        <v>1129</v>
      </c>
      <c r="F6" s="308">
        <f ca="1">INDIRECT("'数据-取费表'!u"&amp;$G$1)</f>
        <v>0</v>
      </c>
      <c r="G6" s="1515"/>
      <c r="H6" s="1178" t="s">
        <v>822</v>
      </c>
      <c r="I6" s="3506" t="s">
        <v>1127</v>
      </c>
      <c r="J6" s="306">
        <f ca="1">ROUND(M6*M8*M7*(1-M9),0)</f>
        <v>0</v>
      </c>
      <c r="K6" s="1507" t="s">
        <v>2605</v>
      </c>
      <c r="L6" s="307" t="s">
        <v>1129</v>
      </c>
      <c r="M6" s="308">
        <f ca="1">INDIRECT("'数据-取费表'!z"&amp;$G$1)</f>
        <v>0</v>
      </c>
    </row>
    <row r="7" spans="1:37" ht="18" customHeight="1">
      <c r="A7" s="1182"/>
      <c r="B7" s="3507"/>
      <c r="C7" s="1184"/>
      <c r="D7" s="312"/>
      <c r="E7" s="1185" t="s">
        <v>1130</v>
      </c>
      <c r="F7" s="308">
        <f ca="1">IF(INDIRECT("'数据-取费表'!ah"&amp;$G$1)="",INDIRECT("'数据-取费表'!k"&amp;$G$1),INDIRECT("'数据-取费表'!ah"&amp;$G$1))</f>
        <v>0</v>
      </c>
      <c r="G7" s="1515"/>
      <c r="H7" s="309"/>
      <c r="I7" s="3507"/>
      <c r="J7" s="311"/>
      <c r="K7" s="312"/>
      <c r="L7" s="307" t="s">
        <v>1130</v>
      </c>
      <c r="M7" s="308">
        <f ca="1">F7</f>
        <v>0</v>
      </c>
    </row>
    <row r="8" spans="1:37" ht="18" customHeight="1">
      <c r="A8" s="309"/>
      <c r="B8" s="3507"/>
      <c r="C8" s="311"/>
      <c r="D8" s="312"/>
      <c r="E8" s="307" t="s">
        <v>1131</v>
      </c>
      <c r="F8" s="308">
        <f ca="1">INDIRECT("'数据-取费表'!ai"&amp;$G$1)</f>
        <v>0</v>
      </c>
      <c r="G8" s="1515"/>
      <c r="H8" s="309"/>
      <c r="I8" s="3507"/>
      <c r="J8" s="311"/>
      <c r="K8" s="312"/>
      <c r="L8" s="307" t="s">
        <v>1131</v>
      </c>
      <c r="M8" s="308">
        <f ca="1">INDIRECT("'数据-取费表'!ai"&amp;$G$1)</f>
        <v>0</v>
      </c>
    </row>
    <row r="9" spans="1:37" ht="18" customHeight="1">
      <c r="A9" s="309"/>
      <c r="B9" s="3508"/>
      <c r="C9" s="311"/>
      <c r="D9" s="312"/>
      <c r="E9" s="307" t="s">
        <v>1132</v>
      </c>
      <c r="F9" s="317">
        <f ca="1">INDIRECT("'数据-取费表'!w"&amp;$G$1)</f>
        <v>0</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1326</v>
      </c>
      <c r="C11" s="1068"/>
      <c r="D11" s="312"/>
      <c r="E11" s="318" t="s">
        <v>1136</v>
      </c>
      <c r="F11" s="319">
        <f ca="1">'数据-取费表'!B39</f>
        <v>1.4999999999999999E-2</v>
      </c>
      <c r="G11" s="1515"/>
      <c r="H11" s="1186"/>
      <c r="I11" s="1498" t="s">
        <v>1327</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7" t="s">
        <v>1141</v>
      </c>
      <c r="C14" s="323">
        <f ca="1">ROUND(INDIRECT("'数据-取费表'!l"&amp;$G$1)*F43+'数据-取费表'!L14*INDIRECT("'数据-取费表'!S"&amp;$G$1),0)</f>
        <v>0</v>
      </c>
      <c r="D14" s="1476" t="s">
        <v>1142</v>
      </c>
      <c r="E14" s="1473"/>
      <c r="F14" s="324"/>
      <c r="G14" s="1515"/>
      <c r="H14" s="1091" t="s">
        <v>822</v>
      </c>
      <c r="I14" s="307" t="s">
        <v>1143</v>
      </c>
      <c r="J14" s="23">
        <f ca="1">C29</f>
        <v>0</v>
      </c>
      <c r="K14" s="14"/>
      <c r="L14" s="894"/>
      <c r="M14" s="895"/>
    </row>
    <row r="15" spans="1:37" s="1528" customFormat="1" ht="18" customHeight="1" thickBot="1">
      <c r="A15" s="1091" t="s">
        <v>823</v>
      </c>
      <c r="B15" s="307" t="s">
        <v>1144</v>
      </c>
      <c r="C15" s="23">
        <f ca="1">ROUND(C14*F15,0)</f>
        <v>0</v>
      </c>
      <c r="D15" s="325" t="s">
        <v>1145</v>
      </c>
      <c r="E15" s="325"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ROUND(INDIRECT("'数据-取费表'!l"&amp;$G$1)*F43*F16,0)</f>
        <v>0</v>
      </c>
      <c r="D16" s="307" t="s">
        <v>1145</v>
      </c>
      <c r="E16" s="307" t="s">
        <v>1146</v>
      </c>
      <c r="F16" s="327">
        <f ca="1">IF(INDIRECT("'数据-取费表'!c"&amp;$G$1)="住宅",'数据-取费表'!B34,0)</f>
        <v>0</v>
      </c>
      <c r="G16" s="1515"/>
      <c r="H16" s="1188" t="s">
        <v>817</v>
      </c>
      <c r="I16" s="1189" t="s">
        <v>1148</v>
      </c>
      <c r="J16" s="315">
        <f ca="1">ROUND(J17+J22+J23+J24,0)</f>
        <v>0</v>
      </c>
      <c r="K16" s="1196" t="s">
        <v>1149</v>
      </c>
      <c r="L16" s="1197"/>
      <c r="M16" s="1181"/>
    </row>
    <row r="17" spans="1:37" s="1528" customFormat="1" ht="18" customHeight="1">
      <c r="A17" s="1091" t="s">
        <v>1114</v>
      </c>
      <c r="B17" s="307" t="s">
        <v>1150</v>
      </c>
      <c r="C17" s="23">
        <f ca="1">ROUND(F17*(F43+INDIRECT("'数据-取费表'!S"&amp;$G$1)),0)</f>
        <v>0</v>
      </c>
      <c r="D17" s="307" t="s">
        <v>1151</v>
      </c>
      <c r="E17" s="307" t="s">
        <v>1152</v>
      </c>
      <c r="F17" s="25">
        <f>'数据-取费表'!B35</f>
        <v>200</v>
      </c>
      <c r="G17" s="1527"/>
      <c r="H17" s="1091" t="s">
        <v>822</v>
      </c>
      <c r="I17" s="307" t="s">
        <v>1153</v>
      </c>
      <c r="J17" s="2481">
        <f ca="1">ROUND(IF(AND(项目基本情况!B11="自然人",项目基本情况!B10="北京市"),J6*M17/(1+'数据-取费表'!C42),J18+J19+J20),0)</f>
        <v>0</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0</v>
      </c>
      <c r="D18" s="307" t="s">
        <v>1145</v>
      </c>
      <c r="E18" s="307" t="s">
        <v>1146</v>
      </c>
      <c r="F18" s="327">
        <f>'数据-取费表'!B36</f>
        <v>1.4999999999999999E-2</v>
      </c>
      <c r="G18" s="1527"/>
      <c r="H18" s="1091" t="s">
        <v>821</v>
      </c>
      <c r="I18" s="307" t="s">
        <v>1157</v>
      </c>
      <c r="J18" s="23">
        <f ca="1">ROUND(J6*M18/(1+'数据-取费表'!C42),0)</f>
        <v>0</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0</v>
      </c>
      <c r="D19" s="135" t="s">
        <v>1160</v>
      </c>
      <c r="E19" s="1491"/>
      <c r="F19" s="25"/>
      <c r="G19" s="1515"/>
      <c r="H19" s="1091" t="s">
        <v>823</v>
      </c>
      <c r="I19" s="307" t="s">
        <v>1161</v>
      </c>
      <c r="J19" s="23">
        <f ca="1">IF(K19="按租金收入计税",ROUND(J6*M19/(1+'数据-取费表'!C42),0),ROUND(C29*M19*0.7,0))</f>
        <v>0</v>
      </c>
      <c r="K19" s="1501" t="s">
        <v>1162</v>
      </c>
      <c r="L19" s="307" t="s">
        <v>1146</v>
      </c>
      <c r="M19" s="327">
        <f>IF(K19="按租金收入计税",'数据-取费表'!B51,'数据-取费表'!B50)</f>
        <v>1.2E-2</v>
      </c>
    </row>
    <row r="20" spans="1:37" s="1528" customFormat="1" ht="18" customHeight="1">
      <c r="A20" s="1091" t="s">
        <v>826</v>
      </c>
      <c r="B20" s="307" t="s">
        <v>1163</v>
      </c>
      <c r="C20" s="23">
        <f ca="1">ROUND(C19*F20,0)</f>
        <v>0</v>
      </c>
      <c r="D20" s="328" t="s">
        <v>1164</v>
      </c>
      <c r="E20" s="307" t="s">
        <v>1146</v>
      </c>
      <c r="F20" s="327">
        <f>'数据-取费表'!B37</f>
        <v>0.02</v>
      </c>
      <c r="G20" s="1527"/>
      <c r="H20" s="1091" t="s">
        <v>1113</v>
      </c>
      <c r="I20" s="159" t="s">
        <v>1165</v>
      </c>
      <c r="J20" s="24">
        <f ca="1">ROUND(M20*M21,0)</f>
        <v>0</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v>
      </c>
      <c r="D21" s="328" t="s">
        <v>1169</v>
      </c>
      <c r="E21" s="307" t="s">
        <v>1170</v>
      </c>
      <c r="F21" s="327">
        <f>'数据-取费表'!B38</f>
        <v>0.02</v>
      </c>
      <c r="G21" s="1527"/>
      <c r="H21" s="331"/>
      <c r="I21" s="316"/>
      <c r="J21" s="28"/>
      <c r="K21" s="332"/>
      <c r="L21" s="307" t="s">
        <v>1171</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f ca="1">ROUND(J14*M22,0)</f>
        <v>0</v>
      </c>
      <c r="K22" s="1475" t="s">
        <v>1174</v>
      </c>
      <c r="L22" s="307" t="s">
        <v>1146</v>
      </c>
      <c r="M22" s="333">
        <f ca="1">INDIRECT("'数据-取费表'!Ak"&amp;$G$1)</f>
        <v>0</v>
      </c>
    </row>
    <row r="23" spans="1:37" s="1528" customFormat="1" ht="18" customHeight="1">
      <c r="A23" s="1091"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ROUND(J13*M23,0)</f>
        <v>0</v>
      </c>
      <c r="K23" s="1475" t="s">
        <v>1178</v>
      </c>
      <c r="L23" s="307" t="s">
        <v>1179</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7" t="s">
        <v>1185</v>
      </c>
      <c r="C25" s="23"/>
      <c r="D25" s="135" t="s">
        <v>1186</v>
      </c>
      <c r="E25" s="1491"/>
      <c r="F25" s="25"/>
      <c r="G25" s="1515"/>
      <c r="H25" s="1188" t="s">
        <v>818</v>
      </c>
      <c r="I25" s="1203" t="s">
        <v>1187</v>
      </c>
      <c r="J25" s="315">
        <f ca="1">J5-J16</f>
        <v>0</v>
      </c>
      <c r="K25" s="1204" t="s">
        <v>1188</v>
      </c>
      <c r="L25" s="1205"/>
      <c r="M25" s="1206"/>
    </row>
    <row r="26" spans="1:37" ht="18" customHeight="1">
      <c r="A26" s="1091" t="s">
        <v>821</v>
      </c>
      <c r="B26" s="307" t="s">
        <v>1189</v>
      </c>
      <c r="C26" s="23">
        <f ca="1">ROUND((C19+C20)*F26,0)</f>
        <v>0</v>
      </c>
      <c r="D26" s="328" t="s">
        <v>1190</v>
      </c>
      <c r="E26" s="318" t="s">
        <v>1191</v>
      </c>
      <c r="F26" s="317">
        <f ca="1">INDIRECT("'数据-取费表'!q"&amp;$G$1)</f>
        <v>0</v>
      </c>
      <c r="G26" s="1515"/>
      <c r="H26" s="304" t="s">
        <v>819</v>
      </c>
      <c r="I26" s="305" t="s">
        <v>1192</v>
      </c>
      <c r="J26" s="306">
        <f ca="1">IF(J5&lt;&gt;0,ROUND(J25*(1-((1+M28)/(1+M26))^M27)/(M26-M28),0),0)</f>
        <v>0</v>
      </c>
      <c r="K26" s="329" t="s">
        <v>1193</v>
      </c>
      <c r="L26" s="307" t="s">
        <v>1194</v>
      </c>
      <c r="M26" s="317">
        <f ca="1">INDIRECT("'数据-取费表'!I"&amp;$G$1)</f>
        <v>0</v>
      </c>
    </row>
    <row r="27" spans="1:37" ht="18" customHeight="1">
      <c r="A27" s="1091" t="s">
        <v>823</v>
      </c>
      <c r="B27" s="307" t="s">
        <v>1195</v>
      </c>
      <c r="C27" s="23">
        <f ca="1">ROUND(F21*F26,4)</f>
        <v>0</v>
      </c>
      <c r="D27" s="328" t="s">
        <v>1196</v>
      </c>
      <c r="E27" s="325"/>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39" t="s">
        <v>820</v>
      </c>
      <c r="I29" s="340" t="s">
        <v>1203</v>
      </c>
      <c r="J29" s="341">
        <f ca="1">ROUND(J26/(1+F40)^F41,0)</f>
        <v>0</v>
      </c>
      <c r="K29" s="342" t="s">
        <v>1204</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0</v>
      </c>
      <c r="D30" s="1196" t="s">
        <v>1149</v>
      </c>
      <c r="E30" s="1197"/>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0</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IF(项目基本情况!B11="自然人","——",ROUND(C6*F32/(1+'数据-取费表'!C42),0))</f>
        <v>0</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IF(项目基本情况!B11="自然人","——",IF(D33="按租金收入计税",ROUND(C6*F33/(1+'数据-取费表'!C42),0),IF(D33="按房产原值计税",ROUND(C29*F33*0.7,0),INDIRECT("'数据-取费表'!Aj"&amp;$G$1))))</f>
        <v>0</v>
      </c>
      <c r="D33" s="1501" t="s">
        <v>1162</v>
      </c>
      <c r="E33" s="307" t="s">
        <v>1146</v>
      </c>
      <c r="F33" s="327">
        <f>IF(D33="按票据","——",IF(D33="按租金收入计税",'数据-取费表'!B51,'数据-取费表'!B50))</f>
        <v>1.2E-2</v>
      </c>
      <c r="G33" s="1515"/>
      <c r="H33" s="2875"/>
      <c r="I33" s="1529"/>
      <c r="J33" s="1530"/>
      <c r="K33" s="2876"/>
      <c r="L33" s="2875"/>
      <c r="M33" s="2875"/>
    </row>
    <row r="34" spans="1:18" ht="18" customHeight="1">
      <c r="A34" s="1178" t="s">
        <v>1113</v>
      </c>
      <c r="B34" s="159" t="s">
        <v>1165</v>
      </c>
      <c r="C34" s="24">
        <f ca="1">IF(项目基本情况!B11="自然人","——",ROUND(F34*F35,))</f>
        <v>0</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0</v>
      </c>
      <c r="G35" s="1515"/>
      <c r="H35" s="2872"/>
      <c r="I35" s="1529"/>
      <c r="J35" s="1530"/>
      <c r="K35" s="2876"/>
      <c r="L35" s="2875"/>
      <c r="M35" s="2875"/>
    </row>
    <row r="36" spans="1:18" ht="18" customHeight="1">
      <c r="A36" s="1211" t="s">
        <v>826</v>
      </c>
      <c r="B36" s="307" t="s">
        <v>1173</v>
      </c>
      <c r="C36" s="23">
        <f ca="1">ROUND(C29*F36,0)</f>
        <v>0</v>
      </c>
      <c r="D36" s="1475" t="s">
        <v>1206</v>
      </c>
      <c r="E36" s="307" t="s">
        <v>1146</v>
      </c>
      <c r="F36" s="333">
        <f ca="1">INDIRECT("'数据-取费表'!Ak"&amp;$G$1)</f>
        <v>0</v>
      </c>
      <c r="G36" s="1515"/>
      <c r="H36" s="2875"/>
      <c r="I36" s="1529"/>
      <c r="J36" s="1530"/>
      <c r="K36" s="2716"/>
      <c r="L36" s="2875"/>
      <c r="M36" s="2875"/>
    </row>
    <row r="37" spans="1:18" ht="18" customHeight="1">
      <c r="A37" s="1091" t="s">
        <v>862</v>
      </c>
      <c r="B37" s="307" t="s">
        <v>1177</v>
      </c>
      <c r="C37" s="23">
        <f ca="1">ROUND(C13*F37,0)</f>
        <v>0</v>
      </c>
      <c r="D37" s="1475" t="s">
        <v>1178</v>
      </c>
      <c r="E37" s="307" t="s">
        <v>1179</v>
      </c>
      <c r="F37" s="335">
        <f ca="1">INDIRECT("'数据-取费表'!Al"&amp;$G$1)</f>
        <v>0</v>
      </c>
      <c r="G37" s="1515"/>
      <c r="H37" s="2875"/>
      <c r="I37" s="1529"/>
      <c r="J37" s="1530"/>
      <c r="K37" s="2716"/>
      <c r="L37" s="2875"/>
      <c r="M37" s="2875"/>
    </row>
    <row r="38" spans="1:18" ht="18" customHeight="1" thickBot="1">
      <c r="A38" s="1198" t="s">
        <v>1117</v>
      </c>
      <c r="B38" s="1199" t="s">
        <v>1163</v>
      </c>
      <c r="C38" s="1200">
        <f ca="1">ROUND(C5*F38,1)</f>
        <v>0</v>
      </c>
      <c r="D38" s="1201" t="s">
        <v>1183</v>
      </c>
      <c r="E38" s="1199" t="s">
        <v>1179</v>
      </c>
      <c r="F38" s="1195">
        <f ca="1">INDIRECT("'数据-取费表'!Am"&amp;$G$1)</f>
        <v>0</v>
      </c>
      <c r="G38" s="1515"/>
      <c r="H38" s="2875"/>
      <c r="I38" s="1529"/>
      <c r="J38" s="1530"/>
      <c r="K38" s="2879"/>
      <c r="L38" s="2875"/>
      <c r="M38" s="2875"/>
    </row>
    <row r="39" spans="1:18" ht="24.6" customHeight="1" thickTop="1">
      <c r="A39" s="1188" t="s">
        <v>818</v>
      </c>
      <c r="B39" s="1203" t="s">
        <v>1207</v>
      </c>
      <c r="C39" s="315">
        <f ca="1">C5-C30</f>
        <v>0</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0</v>
      </c>
      <c r="G41" s="1515"/>
      <c r="H41" s="1302"/>
      <c r="I41" s="1529"/>
      <c r="J41" s="1530"/>
      <c r="K41" s="2716"/>
      <c r="L41" s="1302"/>
      <c r="M41" s="1302"/>
    </row>
    <row r="42" spans="1:18" ht="18" customHeight="1">
      <c r="A42" s="313"/>
      <c r="B42" s="314"/>
      <c r="C42" s="315"/>
      <c r="D42" s="332"/>
      <c r="E42" s="307" t="s">
        <v>1201</v>
      </c>
      <c r="F42" s="317">
        <f ca="1">INDIRECT("'数据-取费表'!v"&amp;$G$1)</f>
        <v>0</v>
      </c>
      <c r="G42" s="1515"/>
      <c r="H42" s="1302"/>
      <c r="I42" s="1529"/>
      <c r="J42" s="1530"/>
      <c r="K42" s="2716"/>
      <c r="L42" s="1302"/>
      <c r="M42" s="1302"/>
    </row>
    <row r="43" spans="1:18" ht="18" customHeight="1" thickBot="1">
      <c r="A43" s="339" t="s">
        <v>820</v>
      </c>
      <c r="B43" s="340" t="s">
        <v>1211</v>
      </c>
      <c r="C43" s="341" t="e">
        <f ca="1">ROUND(C40/F43,0)</f>
        <v>#DIV/0!</v>
      </c>
      <c r="D43" s="342" t="s">
        <v>1212</v>
      </c>
      <c r="E43" s="343" t="s">
        <v>1213</v>
      </c>
      <c r="F43" s="344">
        <f ca="1">INDIRECT("'数据-取费表'!k"&amp;$G$1)</f>
        <v>0</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5"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8">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1271</v>
      </c>
      <c r="J53" s="2333">
        <f ca="1">IF(M47="住宅",IF(D1="——",MAX(J51,L48),MAX(J51,L48-'数据-取费表'!B24)),IF(D1="——",MIN(J51,L48),MIN(J51,L48-'数据-取费表'!B24)))</f>
        <v>0</v>
      </c>
      <c r="K53" s="3509" t="s">
        <v>1272</v>
      </c>
      <c r="L53" s="3510"/>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7">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3">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0" t="s">
        <v>817</v>
      </c>
      <c r="B58" s="1067" t="s">
        <v>1148</v>
      </c>
      <c r="C58" s="321">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0</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IF(项目基本情况!B11="自然人","——",ROUND(C48*F60/(1+'数据-取费表'!C42),0))</f>
        <v>0</v>
      </c>
      <c r="D60" s="1073" t="s">
        <v>1158</v>
      </c>
      <c r="E60" s="1059" t="s">
        <v>1146</v>
      </c>
      <c r="F60" s="336">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3">
        <f ca="1">IF(项目基本情况!B11="自然人","——",IF(D61="按租金收入计税",ROUND(C49*F61/(1+'数据-取费表'!C42),0),IF(D61="按房产原值计税",ROUND(C57*F61*0.7,0),INDIRECT("'数据-取费表'!Aj"&amp;$G$1))))</f>
        <v>0</v>
      </c>
      <c r="D61" s="1501" t="s">
        <v>1162</v>
      </c>
      <c r="E61" s="1059" t="s">
        <v>1218</v>
      </c>
      <c r="F61" s="327">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4">
        <f ca="1">IF(项目基本情况!B11="自然人","——",ROUND(F62*F63,0))</f>
        <v>0</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1"/>
      <c r="B63" s="1065"/>
      <c r="C63" s="28"/>
      <c r="D63" s="1075"/>
      <c r="E63" s="1059" t="s">
        <v>1223</v>
      </c>
      <c r="F63" s="308">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f ca="1">ROUND(C57*F64,0)</f>
        <v>0</v>
      </c>
      <c r="D64" s="1073" t="s">
        <v>1226</v>
      </c>
      <c r="E64" s="1059" t="s">
        <v>1218</v>
      </c>
      <c r="F64" s="333">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ROUND(C56*F65,0)</f>
        <v>0</v>
      </c>
      <c r="D65" s="1073" t="s">
        <v>1178</v>
      </c>
      <c r="E65" s="1059" t="s">
        <v>1179</v>
      </c>
      <c r="F65" s="335">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3">
        <f ca="1">ROUND(C48*F66,0)</f>
        <v>0</v>
      </c>
      <c r="D66" s="1073" t="s">
        <v>1229</v>
      </c>
      <c r="E66" s="1059" t="s">
        <v>1146</v>
      </c>
      <c r="F66" s="317">
        <f t="shared" ca="1" si="0"/>
        <v>0</v>
      </c>
      <c r="O66" s="1549" t="s">
        <v>828</v>
      </c>
      <c r="P66" s="1550" t="s">
        <v>1282</v>
      </c>
      <c r="Q66" s="1551" t="e">
        <f ca="1">L60</f>
        <v>#DIV/0!</v>
      </c>
      <c r="R66" s="1551" t="s">
        <v>1305</v>
      </c>
    </row>
    <row r="67" spans="1:18" s="1515" customFormat="1" ht="16.5" thickBot="1">
      <c r="A67" s="1066" t="s">
        <v>818</v>
      </c>
      <c r="B67" s="1076" t="s">
        <v>1187</v>
      </c>
      <c r="C67" s="321">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6" t="e">
        <f ca="1">ROUND(C67*(1-((1+F70)/(1+F68))^F69)/(F68-F70),0)</f>
        <v>#DIV/0!</v>
      </c>
      <c r="D68" s="1074" t="s">
        <v>1193</v>
      </c>
      <c r="E68" s="1059" t="s">
        <v>1194</v>
      </c>
      <c r="F68" s="317">
        <f ca="1">F40</f>
        <v>0</v>
      </c>
      <c r="O68" s="1559" t="s">
        <v>830</v>
      </c>
      <c r="P68" s="1598" t="s">
        <v>1307</v>
      </c>
      <c r="Q68" s="1551">
        <f ca="1">ROUND(Q69-Q70*Q71,0)</f>
        <v>0</v>
      </c>
      <c r="R68" s="1551" t="s">
        <v>838</v>
      </c>
    </row>
    <row r="69" spans="1:18" s="1515" customFormat="1" ht="13.5" thickBot="1">
      <c r="A69" s="1060"/>
      <c r="B69" s="1061"/>
      <c r="C69" s="311"/>
      <c r="D69" s="1079" t="s">
        <v>1197</v>
      </c>
      <c r="E69" s="1059" t="s">
        <v>1198</v>
      </c>
      <c r="F69" s="338">
        <f ca="1">F41</f>
        <v>0</v>
      </c>
      <c r="O69" s="1559" t="s">
        <v>835</v>
      </c>
      <c r="P69" s="1598" t="s">
        <v>1308</v>
      </c>
      <c r="Q69" s="1551">
        <f ca="1">C39</f>
        <v>0</v>
      </c>
      <c r="R69" s="1551" t="s">
        <v>1253</v>
      </c>
    </row>
    <row r="70" spans="1:18" s="1515" customFormat="1" ht="13.5" thickBot="1">
      <c r="A70" s="1063"/>
      <c r="B70" s="1064"/>
      <c r="C70" s="315"/>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1" t="e">
        <f ca="1">ROUND(C68/F71,0)</f>
        <v>#DIV/0!</v>
      </c>
      <c r="D71" s="1082" t="s">
        <v>1212</v>
      </c>
      <c r="E71" s="1083" t="s">
        <v>1213</v>
      </c>
      <c r="F71" s="344">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5" t="s">
        <v>1230</v>
      </c>
      <c r="C75" s="346">
        <f ca="1">ROUND(C13*C76,0)</f>
        <v>0</v>
      </c>
      <c r="D75" s="1515"/>
      <c r="E75" s="1515"/>
      <c r="F75" s="1515"/>
      <c r="K75" s="1533"/>
      <c r="L75" s="1515"/>
      <c r="O75" s="1549" t="s">
        <v>833</v>
      </c>
      <c r="P75" s="1550" t="s">
        <v>1273</v>
      </c>
      <c r="Q75" s="1551" t="e">
        <f ca="1">Q65+Q66</f>
        <v>#DIV/0!</v>
      </c>
      <c r="R75" s="1551" t="s">
        <v>834</v>
      </c>
    </row>
    <row r="76" spans="1:18">
      <c r="B76" s="347" t="s">
        <v>1231</v>
      </c>
      <c r="C76" s="348">
        <f ca="1">INDIRECT("'数据-取费表'!j"&amp;$G$1)</f>
        <v>0</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2938</v>
      </c>
      <c r="B1" s="3009"/>
      <c r="C1" s="3021"/>
      <c r="D1" s="3021"/>
      <c r="E1" s="3010"/>
      <c r="F1" s="3011"/>
      <c r="G1" s="3012"/>
      <c r="J1" s="3015" t="s">
        <v>2817</v>
      </c>
      <c r="K1" s="3016"/>
      <c r="L1" s="3016"/>
      <c r="M1" s="3016"/>
      <c r="N1" s="3016"/>
      <c r="O1" s="3016"/>
      <c r="P1" s="3016"/>
      <c r="Q1" s="3016"/>
      <c r="R1" s="3017"/>
      <c r="S1" s="3018"/>
      <c r="T1" s="3018"/>
      <c r="U1" s="3018"/>
    </row>
    <row r="2" spans="1:22" s="3030" customFormat="1" ht="13.15" customHeight="1">
      <c r="A2" s="1516" t="s">
        <v>2818</v>
      </c>
      <c r="B2" s="3020" t="e">
        <f>C40</f>
        <v>#DIV/0!</v>
      </c>
      <c r="C2" s="3021" t="s">
        <v>2819</v>
      </c>
      <c r="D2" s="3021"/>
      <c r="E2" s="3022"/>
      <c r="F2" s="3023"/>
      <c r="G2" s="3024"/>
      <c r="H2" s="3025"/>
      <c r="I2" s="3026"/>
      <c r="J2" s="3517" t="s">
        <v>2820</v>
      </c>
      <c r="K2" s="3518"/>
      <c r="L2" s="3027" t="s">
        <v>2821</v>
      </c>
      <c r="M2" s="3027" t="s">
        <v>2822</v>
      </c>
      <c r="N2" s="3027" t="s">
        <v>2823</v>
      </c>
      <c r="O2" s="3027" t="s">
        <v>2824</v>
      </c>
      <c r="P2" s="3027" t="s">
        <v>2825</v>
      </c>
      <c r="Q2" s="3028" t="s">
        <v>2826</v>
      </c>
      <c r="R2" s="3029" t="s">
        <v>2827</v>
      </c>
      <c r="S2" s="3018"/>
      <c r="T2" s="3018"/>
      <c r="U2" s="3018"/>
      <c r="V2" s="3026"/>
    </row>
    <row r="3" spans="1:22" s="3030" customFormat="1" ht="13.15" customHeight="1">
      <c r="A3" s="3031" t="s">
        <v>2828</v>
      </c>
      <c r="B3" s="3032" t="e">
        <f>ROUND(B2*10000/B4,0)</f>
        <v>#DIV/0!</v>
      </c>
      <c r="C3" s="3021" t="s">
        <v>2829</v>
      </c>
      <c r="D3" s="3021"/>
      <c r="E3" s="3022"/>
      <c r="F3" s="3023"/>
      <c r="G3" s="3024"/>
      <c r="H3" s="3025"/>
      <c r="I3" s="3026"/>
      <c r="J3" s="3519" t="s">
        <v>2830</v>
      </c>
      <c r="K3" s="3520"/>
      <c r="L3" s="3033"/>
      <c r="M3" s="3033"/>
      <c r="N3" s="3033"/>
      <c r="O3" s="3033"/>
      <c r="P3" s="3033"/>
      <c r="Q3" s="3034"/>
      <c r="R3" s="3035">
        <f>SUM(L3:Q3)</f>
        <v>0</v>
      </c>
      <c r="S3" s="3018"/>
      <c r="T3" s="3018"/>
      <c r="U3" s="3018"/>
      <c r="V3" s="3026"/>
    </row>
    <row r="4" spans="1:22" s="3030" customFormat="1" ht="13.15" customHeight="1">
      <c r="A4" s="3036" t="s">
        <v>2831</v>
      </c>
      <c r="B4" s="3037"/>
      <c r="C4" s="3021"/>
      <c r="D4" s="3021"/>
      <c r="E4" s="3022"/>
      <c r="F4" s="3023"/>
      <c r="G4" s="3024"/>
      <c r="H4" s="3025"/>
      <c r="I4" s="3026"/>
      <c r="J4" s="3519" t="s">
        <v>2832</v>
      </c>
      <c r="K4" s="3520"/>
      <c r="L4" s="3038"/>
      <c r="M4" s="3038"/>
      <c r="N4" s="3038"/>
      <c r="O4" s="3038"/>
      <c r="P4" s="3038"/>
      <c r="Q4" s="3039"/>
      <c r="R4" s="3040">
        <f>SUM(L4:Q4)</f>
        <v>0</v>
      </c>
      <c r="S4" s="3018"/>
      <c r="T4" s="3018"/>
      <c r="U4" s="3018"/>
      <c r="V4" s="3026"/>
    </row>
    <row r="5" spans="1:22" s="3030" customFormat="1" ht="13.15" customHeight="1" thickBot="1">
      <c r="A5" s="3041" t="s">
        <v>2833</v>
      </c>
      <c r="B5" s="3042"/>
      <c r="C5" s="3021"/>
      <c r="D5" s="3043"/>
      <c r="E5" s="3023"/>
      <c r="F5" s="3023"/>
      <c r="G5" s="3024"/>
      <c r="H5" s="3025"/>
      <c r="I5" s="3026"/>
      <c r="J5" s="3044" t="s">
        <v>2834</v>
      </c>
      <c r="K5" s="3045"/>
      <c r="L5" s="3045"/>
      <c r="M5" s="3046"/>
      <c r="N5" s="3046"/>
      <c r="O5" s="3046"/>
      <c r="P5" s="3046"/>
      <c r="Q5" s="3046"/>
      <c r="R5" s="3029">
        <f>SUM(R14,R19,R24,R25,R27,R28)</f>
        <v>0</v>
      </c>
      <c r="S5" s="3018"/>
      <c r="T5" s="3018" t="s">
        <v>2835</v>
      </c>
      <c r="U5" s="3018" t="e">
        <f>ROUND(R5*10000/365/R3,1)</f>
        <v>#DIV/0!</v>
      </c>
      <c r="V5" s="3026"/>
    </row>
    <row r="6" spans="1:22" s="3030" customFormat="1" ht="13.15" customHeight="1" thickBot="1">
      <c r="A6" s="3525" t="s">
        <v>2836</v>
      </c>
      <c r="B6" s="3526"/>
      <c r="C6" s="3527"/>
      <c r="D6" s="3047"/>
      <c r="E6" s="3048"/>
      <c r="F6" s="3049"/>
      <c r="G6" s="3050"/>
      <c r="H6" s="3025"/>
      <c r="I6" s="3026"/>
      <c r="J6" s="3511">
        <v>1</v>
      </c>
      <c r="K6" s="3512" t="s">
        <v>2837</v>
      </c>
      <c r="L6" s="3051" t="s">
        <v>2838</v>
      </c>
      <c r="M6" s="3052" t="s">
        <v>2839</v>
      </c>
      <c r="N6" s="3052" t="s">
        <v>2840</v>
      </c>
      <c r="O6" s="3052" t="s">
        <v>2841</v>
      </c>
      <c r="P6" s="3052" t="s">
        <v>2842</v>
      </c>
      <c r="Q6" s="3052" t="s">
        <v>2843</v>
      </c>
      <c r="R6" s="3035" t="s">
        <v>2844</v>
      </c>
      <c r="S6" s="3018"/>
      <c r="T6" s="3018" t="s">
        <v>2845</v>
      </c>
      <c r="U6" s="3018"/>
      <c r="V6" s="3026"/>
    </row>
    <row r="7" spans="1:22" s="3030" customFormat="1" ht="13.15" customHeight="1">
      <c r="A7" s="3053" t="s">
        <v>2846</v>
      </c>
      <c r="B7" s="3054"/>
      <c r="C7" s="3055"/>
      <c r="D7" s="3056">
        <f>SUM(D9,D10,D11,D17,0)</f>
        <v>0</v>
      </c>
      <c r="E7" s="3057" t="e">
        <f>E9+E10+E11+E17</f>
        <v>#DIV/0!</v>
      </c>
      <c r="F7" s="3058"/>
      <c r="G7" s="3059"/>
      <c r="H7" s="3025"/>
      <c r="I7" s="3026"/>
      <c r="J7" s="3511"/>
      <c r="K7" s="3513"/>
      <c r="L7" s="3060" t="s">
        <v>2847</v>
      </c>
      <c r="M7" s="3061"/>
      <c r="N7" s="3037"/>
      <c r="O7" s="3062"/>
      <c r="P7" s="3062"/>
      <c r="Q7" s="3063">
        <v>365</v>
      </c>
      <c r="R7" s="3064">
        <f>ROUND(M7*N7*O7*P7*Q7/10000,0)</f>
        <v>0</v>
      </c>
      <c r="S7" s="3018"/>
      <c r="T7" s="3018" t="s">
        <v>2848</v>
      </c>
      <c r="U7" s="3018"/>
      <c r="V7" s="3026"/>
    </row>
    <row r="8" spans="1:22" s="3030" customFormat="1" ht="13.15" customHeight="1">
      <c r="A8" s="3065" t="s">
        <v>2849</v>
      </c>
      <c r="B8" s="3528" t="s">
        <v>2850</v>
      </c>
      <c r="C8" s="3529"/>
      <c r="D8" s="3066" t="s">
        <v>2851</v>
      </c>
      <c r="E8" s="3067" t="s">
        <v>2852</v>
      </c>
      <c r="F8" s="3068" t="s">
        <v>2853</v>
      </c>
      <c r="G8" s="3069"/>
      <c r="H8" s="3025"/>
      <c r="I8" s="3026"/>
      <c r="J8" s="3511"/>
      <c r="K8" s="3513"/>
      <c r="L8" s="3060" t="s">
        <v>2854</v>
      </c>
      <c r="M8" s="3061"/>
      <c r="N8" s="3037"/>
      <c r="O8" s="3062"/>
      <c r="P8" s="3062"/>
      <c r="Q8" s="3063">
        <v>365</v>
      </c>
      <c r="R8" s="3064">
        <f t="shared" ref="R8:R13" si="0">ROUND(M8*N8*O8*P8*Q8/10000,0)</f>
        <v>0</v>
      </c>
      <c r="S8" s="3018"/>
      <c r="T8" s="3018" t="s">
        <v>2855</v>
      </c>
      <c r="U8" s="3018"/>
      <c r="V8" s="3026"/>
    </row>
    <row r="9" spans="1:22" s="3030" customFormat="1" ht="13.15" customHeight="1">
      <c r="A9" s="3065">
        <v>1</v>
      </c>
      <c r="B9" s="3528" t="s">
        <v>2856</v>
      </c>
      <c r="C9" s="3529"/>
      <c r="D9" s="3066">
        <f>ROUND(D6*E9,0)</f>
        <v>0</v>
      </c>
      <c r="E9" s="3070"/>
      <c r="F9" s="3071" t="s">
        <v>2857</v>
      </c>
      <c r="G9" s="3050"/>
      <c r="H9" s="3025"/>
      <c r="I9" s="3026"/>
      <c r="J9" s="3511"/>
      <c r="K9" s="3513"/>
      <c r="L9" s="3060" t="s">
        <v>2858</v>
      </c>
      <c r="M9" s="3061"/>
      <c r="N9" s="3037"/>
      <c r="O9" s="3062"/>
      <c r="P9" s="3062"/>
      <c r="Q9" s="3063">
        <v>365</v>
      </c>
      <c r="R9" s="3064">
        <f t="shared" si="0"/>
        <v>0</v>
      </c>
      <c r="S9" s="3018"/>
      <c r="T9" s="3018"/>
      <c r="U9" s="3018"/>
      <c r="V9" s="3026"/>
    </row>
    <row r="10" spans="1:22" s="3030" customFormat="1" ht="13.15" customHeight="1">
      <c r="A10" s="3065">
        <v>2</v>
      </c>
      <c r="B10" s="3528" t="s">
        <v>2859</v>
      </c>
      <c r="C10" s="3529"/>
      <c r="D10" s="3066">
        <f>ROUND(D6*E10,0)</f>
        <v>0</v>
      </c>
      <c r="E10" s="3070"/>
      <c r="F10" s="3071" t="s">
        <v>2860</v>
      </c>
      <c r="G10" s="3050"/>
      <c r="H10" s="3025"/>
      <c r="I10" s="3026"/>
      <c r="J10" s="3511"/>
      <c r="K10" s="3513"/>
      <c r="L10" s="3060" t="s">
        <v>2861</v>
      </c>
      <c r="M10" s="3061"/>
      <c r="N10" s="3037"/>
      <c r="O10" s="3062"/>
      <c r="P10" s="3062"/>
      <c r="Q10" s="3063">
        <v>365</v>
      </c>
      <c r="R10" s="3064">
        <f t="shared" si="0"/>
        <v>0</v>
      </c>
      <c r="S10" s="3018"/>
      <c r="T10" s="3018"/>
      <c r="U10" s="3018"/>
      <c r="V10" s="3026"/>
    </row>
    <row r="11" spans="1:22" s="3030" customFormat="1" ht="13.15" customHeight="1">
      <c r="A11" s="3065">
        <v>3</v>
      </c>
      <c r="B11" s="3528" t="s">
        <v>2862</v>
      </c>
      <c r="C11" s="3529"/>
      <c r="D11" s="3066">
        <f>D12+D14+D15+D16</f>
        <v>0</v>
      </c>
      <c r="E11" s="3072" t="e">
        <f>D11/D6</f>
        <v>#DIV/0!</v>
      </c>
      <c r="F11" s="3068"/>
      <c r="G11" s="3069"/>
      <c r="H11" s="3025"/>
      <c r="I11" s="3026"/>
      <c r="J11" s="3511"/>
      <c r="K11" s="3513"/>
      <c r="L11" s="3060" t="s">
        <v>2863</v>
      </c>
      <c r="M11" s="3061"/>
      <c r="N11" s="3037"/>
      <c r="O11" s="3062"/>
      <c r="P11" s="3062"/>
      <c r="Q11" s="3063">
        <v>365</v>
      </c>
      <c r="R11" s="3064">
        <f t="shared" si="0"/>
        <v>0</v>
      </c>
      <c r="S11" s="3018"/>
      <c r="T11" s="3018"/>
      <c r="U11" s="3018"/>
      <c r="V11" s="3026"/>
    </row>
    <row r="12" spans="1:22" s="3030" customFormat="1" ht="13.15" customHeight="1">
      <c r="A12" s="3073" t="s">
        <v>2864</v>
      </c>
      <c r="B12" s="3521" t="s">
        <v>2865</v>
      </c>
      <c r="C12" s="3522"/>
      <c r="D12" s="3074">
        <f>ROUND(D13*1.2%*(1-30%),0)</f>
        <v>0</v>
      </c>
      <c r="E12" s="3075">
        <v>1.2E-2</v>
      </c>
      <c r="F12" s="3068" t="s">
        <v>2866</v>
      </c>
      <c r="G12" s="3069"/>
      <c r="H12" s="3025"/>
      <c r="I12" s="3026"/>
      <c r="J12" s="3511"/>
      <c r="K12" s="3513"/>
      <c r="L12" s="3060" t="s">
        <v>2867</v>
      </c>
      <c r="M12" s="3061"/>
      <c r="N12" s="3037"/>
      <c r="O12" s="3062"/>
      <c r="P12" s="3062"/>
      <c r="Q12" s="3063">
        <v>365</v>
      </c>
      <c r="R12" s="3064">
        <f t="shared" si="0"/>
        <v>0</v>
      </c>
      <c r="S12" s="3018"/>
      <c r="T12" s="3018"/>
      <c r="U12" s="3018"/>
      <c r="V12" s="3026"/>
    </row>
    <row r="13" spans="1:22" s="3030" customFormat="1" ht="13.15" customHeight="1">
      <c r="A13" s="3073"/>
      <c r="B13" s="3076"/>
      <c r="C13" s="3077" t="s">
        <v>2868</v>
      </c>
      <c r="D13" s="3078"/>
      <c r="E13" s="3079"/>
      <c r="F13" s="3068"/>
      <c r="G13" s="3069"/>
      <c r="H13" s="3025"/>
      <c r="I13" s="3026"/>
      <c r="J13" s="3511"/>
      <c r="K13" s="3513"/>
      <c r="L13" s="3060" t="s">
        <v>2869</v>
      </c>
      <c r="M13" s="3061"/>
      <c r="N13" s="3037"/>
      <c r="O13" s="3062"/>
      <c r="P13" s="3062"/>
      <c r="Q13" s="3063">
        <v>365</v>
      </c>
      <c r="R13" s="3064">
        <f t="shared" si="0"/>
        <v>0</v>
      </c>
      <c r="S13" s="3018"/>
      <c r="T13" s="3018"/>
      <c r="U13" s="3018"/>
      <c r="V13" s="3026"/>
    </row>
    <row r="14" spans="1:22" s="3030" customFormat="1" ht="13.15" customHeight="1">
      <c r="A14" s="3073" t="s">
        <v>2870</v>
      </c>
      <c r="B14" s="3521" t="s">
        <v>2871</v>
      </c>
      <c r="C14" s="3522"/>
      <c r="D14" s="3074">
        <f>ROUND(E14*B5/10000,0)</f>
        <v>0</v>
      </c>
      <c r="E14" s="3063"/>
      <c r="F14" s="3068" t="s">
        <v>2872</v>
      </c>
      <c r="G14" s="3069"/>
      <c r="H14" s="3025"/>
      <c r="I14" s="3026"/>
      <c r="J14" s="3511"/>
      <c r="K14" s="3514"/>
      <c r="L14" s="3080" t="s">
        <v>2873</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2874</v>
      </c>
      <c r="B15" s="3521" t="s">
        <v>2875</v>
      </c>
      <c r="C15" s="3522"/>
      <c r="D15" s="3074">
        <f>ROUND(D6*E15,0)</f>
        <v>0</v>
      </c>
      <c r="E15" s="3075">
        <v>5.5E-2</v>
      </c>
      <c r="F15" s="3068" t="s">
        <v>2876</v>
      </c>
      <c r="G15" s="3050"/>
      <c r="H15" s="3025"/>
      <c r="I15" s="3026"/>
      <c r="J15" s="3511">
        <v>2</v>
      </c>
      <c r="K15" s="3512" t="s">
        <v>2877</v>
      </c>
      <c r="L15" s="3060" t="s">
        <v>2878</v>
      </c>
      <c r="M15" s="3061" t="s">
        <v>2879</v>
      </c>
      <c r="N15" s="3061" t="s">
        <v>2880</v>
      </c>
      <c r="O15" s="3062" t="s">
        <v>2881</v>
      </c>
      <c r="P15" s="3062" t="s">
        <v>2843</v>
      </c>
      <c r="Q15" s="3037" t="s">
        <v>2882</v>
      </c>
      <c r="R15" s="3084" t="s">
        <v>2844</v>
      </c>
      <c r="S15" s="3018"/>
      <c r="T15" s="3018"/>
      <c r="U15" s="3018"/>
      <c r="V15" s="3026"/>
    </row>
    <row r="16" spans="1:22" s="3030" customFormat="1" ht="13.15" customHeight="1">
      <c r="A16" s="3073" t="s">
        <v>2883</v>
      </c>
      <c r="B16" s="3521" t="s">
        <v>2884</v>
      </c>
      <c r="C16" s="3522"/>
      <c r="D16" s="3085">
        <f>D6*E16</f>
        <v>0</v>
      </c>
      <c r="E16" s="3086"/>
      <c r="F16" s="3071" t="s">
        <v>2885</v>
      </c>
      <c r="G16" s="3050"/>
      <c r="H16" s="3025"/>
      <c r="I16" s="3026"/>
      <c r="J16" s="3511"/>
      <c r="K16" s="3513"/>
      <c r="L16" s="3060" t="s">
        <v>2886</v>
      </c>
      <c r="M16" s="3061"/>
      <c r="N16" s="3061"/>
      <c r="O16" s="3062"/>
      <c r="P16" s="3063">
        <v>365</v>
      </c>
      <c r="Q16" s="3037"/>
      <c r="R16" s="3084">
        <f>ROUND(M16*N16*O16*P16/10000,0)</f>
        <v>0</v>
      </c>
      <c r="S16" s="3018"/>
      <c r="T16" s="3018"/>
      <c r="U16" s="3018"/>
      <c r="V16" s="3026"/>
    </row>
    <row r="17" spans="1:22" s="3030" customFormat="1" ht="13.15" customHeight="1" thickBot="1">
      <c r="A17" s="3087">
        <v>4</v>
      </c>
      <c r="B17" s="3523" t="s">
        <v>2887</v>
      </c>
      <c r="C17" s="3524"/>
      <c r="D17" s="3088">
        <f>ROUND(D6*E17,0)</f>
        <v>0</v>
      </c>
      <c r="E17" s="3089"/>
      <c r="F17" s="3090" t="s">
        <v>2888</v>
      </c>
      <c r="G17" s="3050"/>
      <c r="H17" s="3025"/>
      <c r="I17" s="3026"/>
      <c r="J17" s="3511"/>
      <c r="K17" s="3513"/>
      <c r="L17" s="3060" t="s">
        <v>2889</v>
      </c>
      <c r="M17" s="3061"/>
      <c r="N17" s="3061"/>
      <c r="O17" s="3062"/>
      <c r="P17" s="3063">
        <v>365</v>
      </c>
      <c r="Q17" s="3037"/>
      <c r="R17" s="3084">
        <f>ROUND(M17*N17*O17*P17/10000,0)</f>
        <v>0</v>
      </c>
      <c r="S17" s="3018"/>
      <c r="T17" s="3018"/>
      <c r="U17" s="3018"/>
      <c r="V17" s="3026"/>
    </row>
    <row r="18" spans="1:22" s="3030" customFormat="1" ht="13.15" customHeight="1" thickBot="1">
      <c r="A18" s="3053" t="s">
        <v>2890</v>
      </c>
      <c r="B18" s="3054"/>
      <c r="C18" s="3054"/>
      <c r="D18" s="3091">
        <f>ROUND(D6*E18,0)</f>
        <v>0</v>
      </c>
      <c r="E18" s="3092"/>
      <c r="F18" s="3093" t="s">
        <v>2891</v>
      </c>
      <c r="G18" s="3050"/>
      <c r="H18" s="3025"/>
      <c r="I18" s="3026"/>
      <c r="J18" s="3511"/>
      <c r="K18" s="3513"/>
      <c r="L18" s="3060" t="s">
        <v>2892</v>
      </c>
      <c r="M18" s="3061"/>
      <c r="N18" s="3061"/>
      <c r="O18" s="3062"/>
      <c r="P18" s="3063">
        <v>365</v>
      </c>
      <c r="Q18" s="3037"/>
      <c r="R18" s="3084">
        <f>ROUND(M18*N18*O18*P18/10000,0)</f>
        <v>0</v>
      </c>
      <c r="S18" s="3018"/>
      <c r="T18" s="3018"/>
      <c r="U18" s="3018"/>
      <c r="V18" s="3026"/>
    </row>
    <row r="19" spans="1:22" s="3030" customFormat="1" ht="13.15" customHeight="1" thickBot="1">
      <c r="A19" s="3094" t="s">
        <v>2893</v>
      </c>
      <c r="B19" s="3048"/>
      <c r="C19" s="3048"/>
      <c r="D19" s="3048"/>
      <c r="E19" s="3048"/>
      <c r="F19" s="3049"/>
      <c r="G19" s="3069"/>
      <c r="H19" s="3025"/>
      <c r="I19" s="3026"/>
      <c r="J19" s="3511"/>
      <c r="K19" s="3514"/>
      <c r="L19" s="3080" t="s">
        <v>2873</v>
      </c>
      <c r="M19" s="3081"/>
      <c r="N19" s="3081">
        <f>SUM(N16:N18)</f>
        <v>0</v>
      </c>
      <c r="O19" s="3082"/>
      <c r="P19" s="3095" t="s">
        <v>2937</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11">
        <v>3</v>
      </c>
      <c r="K20" s="3512" t="s">
        <v>2894</v>
      </c>
      <c r="L20" s="3060" t="s">
        <v>2895</v>
      </c>
      <c r="M20" s="3061" t="s">
        <v>2896</v>
      </c>
      <c r="N20" s="3098" t="s">
        <v>2897</v>
      </c>
      <c r="O20" s="3062" t="s">
        <v>2898</v>
      </c>
      <c r="P20" s="3063" t="s">
        <v>2899</v>
      </c>
      <c r="Q20" s="3037" t="s">
        <v>2900</v>
      </c>
      <c r="R20" s="3084" t="s">
        <v>2901</v>
      </c>
      <c r="S20" s="3099"/>
      <c r="T20" s="3099"/>
      <c r="U20" s="3099"/>
      <c r="V20" s="3026"/>
    </row>
    <row r="21" spans="1:22" s="3030" customFormat="1" ht="13.15" customHeight="1">
      <c r="A21" s="3053"/>
      <c r="B21" s="3054"/>
      <c r="C21" s="3100" t="s">
        <v>2902</v>
      </c>
      <c r="D21" s="3101" t="s">
        <v>2903</v>
      </c>
      <c r="E21" s="3102" t="s">
        <v>2904</v>
      </c>
      <c r="F21" s="3097"/>
      <c r="G21" s="3069"/>
      <c r="H21" s="3025"/>
      <c r="I21" s="3026"/>
      <c r="J21" s="3511"/>
      <c r="K21" s="3513"/>
      <c r="L21" s="3060" t="s">
        <v>2905</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2906</v>
      </c>
      <c r="D22" s="3105" t="s">
        <v>2907</v>
      </c>
      <c r="E22" s="3106" t="s">
        <v>2908</v>
      </c>
      <c r="F22" s="3097"/>
      <c r="G22" s="3107"/>
      <c r="H22" s="3025"/>
      <c r="I22" s="3026"/>
      <c r="J22" s="3511"/>
      <c r="K22" s="3513"/>
      <c r="L22" s="3060" t="s">
        <v>2909</v>
      </c>
      <c r="M22" s="3061"/>
      <c r="N22" s="3061"/>
      <c r="O22" s="3062"/>
      <c r="P22" s="3063">
        <v>365</v>
      </c>
      <c r="Q22" s="3037"/>
      <c r="R22" s="3103">
        <f>ROUND(M22*N22*O22*P22/10000,0)</f>
        <v>0</v>
      </c>
      <c r="S22" s="3099"/>
      <c r="T22" s="3099"/>
      <c r="U22" s="3099"/>
      <c r="V22" s="3026"/>
    </row>
    <row r="23" spans="1:22" s="3030" customFormat="1" ht="13.15" customHeight="1">
      <c r="A23" s="3108">
        <v>1</v>
      </c>
      <c r="B23" s="3109" t="s">
        <v>2910</v>
      </c>
      <c r="C23" s="3110">
        <f>D6</f>
        <v>0</v>
      </c>
      <c r="D23" s="3111">
        <f>C23*(1+D24)</f>
        <v>0</v>
      </c>
      <c r="E23" s="3112">
        <f>D23*(1+E24)</f>
        <v>0</v>
      </c>
      <c r="F23" s="3113"/>
      <c r="G23" s="3114"/>
      <c r="H23" s="3025"/>
      <c r="I23" s="3026"/>
      <c r="J23" s="3511"/>
      <c r="K23" s="3513"/>
      <c r="L23" s="3060" t="s">
        <v>2911</v>
      </c>
      <c r="M23" s="3061"/>
      <c r="N23" s="3061"/>
      <c r="O23" s="3062"/>
      <c r="P23" s="3063">
        <v>365</v>
      </c>
      <c r="Q23" s="3037"/>
      <c r="R23" s="3103">
        <f>ROUND(M23*N23*O23*P23/10000,0)</f>
        <v>0</v>
      </c>
      <c r="S23" s="3018"/>
      <c r="T23" s="3018"/>
      <c r="U23" s="3018"/>
      <c r="V23" s="3026"/>
    </row>
    <row r="24" spans="1:22" s="3030" customFormat="1" ht="13.15" customHeight="1">
      <c r="A24" s="3115"/>
      <c r="B24" s="3116" t="s">
        <v>2912</v>
      </c>
      <c r="C24" s="3117"/>
      <c r="D24" s="3118"/>
      <c r="E24" s="3119"/>
      <c r="F24" s="3120"/>
      <c r="G24" s="3114"/>
      <c r="H24" s="3025"/>
      <c r="I24" s="3026"/>
      <c r="J24" s="3511"/>
      <c r="K24" s="3514"/>
      <c r="L24" s="3080" t="s">
        <v>2873</v>
      </c>
      <c r="M24" s="3081">
        <f>SUM(M21:M23)</f>
        <v>0</v>
      </c>
      <c r="N24" s="3081"/>
      <c r="O24" s="3082"/>
      <c r="P24" s="3095" t="s">
        <v>2937</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2913</v>
      </c>
      <c r="L25" s="3123"/>
      <c r="M25" s="3123"/>
      <c r="N25" s="3123"/>
      <c r="O25" s="3123"/>
      <c r="P25" s="3124"/>
      <c r="Q25" s="3125">
        <v>0</v>
      </c>
      <c r="R25" s="3096">
        <f>ROUND(R14*Q25,0)</f>
        <v>0</v>
      </c>
      <c r="S25" s="3018"/>
      <c r="T25" s="3018"/>
      <c r="U25" s="3018"/>
      <c r="V25" s="3126"/>
    </row>
    <row r="26" spans="1:22" s="3127" customFormat="1" ht="13.15" customHeight="1">
      <c r="A26" s="3108">
        <v>2</v>
      </c>
      <c r="B26" s="3109" t="s">
        <v>2914</v>
      </c>
      <c r="C26" s="3110">
        <f>D7</f>
        <v>0</v>
      </c>
      <c r="D26" s="3111">
        <f>D23*D27</f>
        <v>0</v>
      </c>
      <c r="E26" s="3112">
        <f>E23*E27</f>
        <v>0</v>
      </c>
      <c r="F26" s="3113"/>
      <c r="G26" s="3114"/>
      <c r="H26" s="3025"/>
      <c r="I26" s="3026"/>
      <c r="J26" s="3515">
        <v>5</v>
      </c>
      <c r="K26" s="3128" t="s">
        <v>2915</v>
      </c>
      <c r="L26" s="3129"/>
      <c r="M26" s="3130"/>
      <c r="N26" s="3131" t="s">
        <v>2916</v>
      </c>
      <c r="O26" s="3131" t="s">
        <v>2917</v>
      </c>
      <c r="P26" s="3132" t="s">
        <v>2918</v>
      </c>
      <c r="Q26" s="3132" t="s">
        <v>2919</v>
      </c>
      <c r="R26" s="3035" t="s">
        <v>2844</v>
      </c>
      <c r="S26" s="3133"/>
      <c r="T26" s="3133"/>
      <c r="U26" s="3133"/>
      <c r="V26" s="3126"/>
    </row>
    <row r="27" spans="1:22" s="3030" customFormat="1" ht="13.15" customHeight="1">
      <c r="A27" s="3115"/>
      <c r="B27" s="3116" t="s">
        <v>2920</v>
      </c>
      <c r="C27" s="3134" t="e">
        <f>E7</f>
        <v>#DIV/0!</v>
      </c>
      <c r="D27" s="3118"/>
      <c r="E27" s="3119"/>
      <c r="F27" s="3120"/>
      <c r="G27" s="3114"/>
      <c r="H27" s="3135"/>
      <c r="I27" s="3126"/>
      <c r="J27" s="3516"/>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2921</v>
      </c>
      <c r="F28" s="3120"/>
      <c r="G28" s="3107"/>
      <c r="H28" s="3135"/>
      <c r="I28" s="3126"/>
      <c r="J28" s="3141">
        <v>6</v>
      </c>
      <c r="K28" s="3142" t="s">
        <v>2922</v>
      </c>
      <c r="L28" s="3143" t="s">
        <v>2923</v>
      </c>
      <c r="M28" s="3144"/>
      <c r="N28" s="3143" t="s">
        <v>2924</v>
      </c>
      <c r="O28" s="3145"/>
      <c r="P28" s="3143" t="s">
        <v>2925</v>
      </c>
      <c r="Q28" s="3146">
        <v>1.4999999999999999E-2</v>
      </c>
      <c r="R28" s="3147"/>
      <c r="S28" s="3099"/>
      <c r="T28" s="3099"/>
      <c r="U28" s="3099"/>
      <c r="V28" s="3126"/>
    </row>
    <row r="29" spans="1:22" s="3127" customFormat="1" ht="13.15" customHeight="1">
      <c r="A29" s="3108">
        <v>3</v>
      </c>
      <c r="B29" s="3109" t="s">
        <v>2926</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2920</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2927</v>
      </c>
      <c r="K31" s="3016"/>
      <c r="L31" s="3016"/>
      <c r="M31" s="3016"/>
      <c r="N31" s="3016"/>
      <c r="O31" s="3016"/>
      <c r="P31" s="3016"/>
      <c r="Q31" s="3016"/>
      <c r="R31" s="3017"/>
      <c r="S31" s="3099"/>
      <c r="T31" s="3018"/>
      <c r="U31" s="3018"/>
      <c r="V31" s="3126"/>
    </row>
    <row r="32" spans="1:22" s="3127" customFormat="1" ht="13.15" customHeight="1">
      <c r="A32" s="3108">
        <v>4</v>
      </c>
      <c r="B32" s="3109" t="s">
        <v>2928</v>
      </c>
      <c r="C32" s="3110">
        <f>C23-C26-C29</f>
        <v>0</v>
      </c>
      <c r="D32" s="3111">
        <f>D23-D26-D29</f>
        <v>0</v>
      </c>
      <c r="E32" s="3112">
        <f>E23-E26-E29</f>
        <v>0</v>
      </c>
      <c r="F32" s="3113"/>
      <c r="G32" s="3107"/>
      <c r="H32" s="3025"/>
      <c r="I32" s="3026"/>
      <c r="J32" s="3517" t="s">
        <v>2820</v>
      </c>
      <c r="K32" s="3518"/>
      <c r="L32" s="3027" t="s">
        <v>2821</v>
      </c>
      <c r="M32" s="3027" t="s">
        <v>2822</v>
      </c>
      <c r="N32" s="3027" t="s">
        <v>2823</v>
      </c>
      <c r="O32" s="3027" t="s">
        <v>2824</v>
      </c>
      <c r="P32" s="3027" t="s">
        <v>2825</v>
      </c>
      <c r="Q32" s="3028" t="s">
        <v>2826</v>
      </c>
      <c r="R32" s="3150" t="s">
        <v>2827</v>
      </c>
      <c r="S32" s="3099"/>
      <c r="T32" s="3018"/>
      <c r="U32" s="3018"/>
      <c r="V32" s="3126"/>
    </row>
    <row r="33" spans="1:23" s="3030" customFormat="1" ht="13.15" customHeight="1">
      <c r="A33" s="3108"/>
      <c r="B33" s="3109"/>
      <c r="C33" s="3110"/>
      <c r="D33" s="3151"/>
      <c r="E33" s="3152"/>
      <c r="F33" s="3113"/>
      <c r="G33" s="3107"/>
      <c r="H33" s="3135"/>
      <c r="I33" s="3126"/>
      <c r="J33" s="3519" t="s">
        <v>2830</v>
      </c>
      <c r="K33" s="3520"/>
      <c r="L33" s="3033"/>
      <c r="M33" s="3033"/>
      <c r="N33" s="3033"/>
      <c r="O33" s="3033"/>
      <c r="P33" s="3033"/>
      <c r="Q33" s="3034"/>
      <c r="R33" s="3153">
        <f>SUM(L33:Q33)</f>
        <v>0</v>
      </c>
      <c r="S33" s="3099"/>
      <c r="T33" s="3018"/>
      <c r="U33" s="3018"/>
      <c r="V33" s="3026"/>
    </row>
    <row r="34" spans="1:23" s="3030" customFormat="1" ht="13.15" customHeight="1">
      <c r="A34" s="3108">
        <v>5</v>
      </c>
      <c r="B34" s="3109" t="s">
        <v>2929</v>
      </c>
      <c r="C34" s="3154"/>
      <c r="D34" s="3155"/>
      <c r="E34" s="3156"/>
      <c r="F34" s="3113"/>
      <c r="G34" s="3107"/>
      <c r="H34" s="3135"/>
      <c r="I34" s="3126"/>
      <c r="J34" s="3519" t="s">
        <v>2832</v>
      </c>
      <c r="K34" s="3520"/>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2930</v>
      </c>
      <c r="C35" s="3158"/>
      <c r="D35" s="3159"/>
      <c r="E35" s="3160"/>
      <c r="F35" s="3113"/>
      <c r="G35" s="3161"/>
      <c r="H35" s="3025"/>
      <c r="I35" s="3126"/>
      <c r="J35" s="3044" t="s">
        <v>2834</v>
      </c>
      <c r="K35" s="3045"/>
      <c r="L35" s="3045"/>
      <c r="M35" s="3046"/>
      <c r="N35" s="3046"/>
      <c r="O35" s="3046"/>
      <c r="P35" s="3046"/>
      <c r="Q35" s="3046"/>
      <c r="R35" s="3162">
        <f>R40+R41+R43</f>
        <v>0</v>
      </c>
      <c r="S35" s="3099"/>
      <c r="T35" s="3018" t="s">
        <v>2835</v>
      </c>
      <c r="U35" s="3018"/>
      <c r="V35" s="3026"/>
    </row>
    <row r="36" spans="1:23" s="3030" customFormat="1" ht="13.15" customHeight="1" thickBot="1">
      <c r="A36" s="3108">
        <v>7</v>
      </c>
      <c r="B36" s="3163" t="s">
        <v>2931</v>
      </c>
      <c r="C36" s="3164"/>
      <c r="D36" s="3165"/>
      <c r="E36" s="3166"/>
      <c r="F36" s="3167">
        <f>C36+D36+E36</f>
        <v>0</v>
      </c>
      <c r="G36" s="3107"/>
      <c r="H36" s="3025"/>
      <c r="I36" s="3026"/>
      <c r="J36" s="3511">
        <v>1</v>
      </c>
      <c r="K36" s="3512" t="s">
        <v>2932</v>
      </c>
      <c r="L36" s="3051"/>
      <c r="M36" s="3052"/>
      <c r="N36" s="3052"/>
      <c r="O36" s="3052"/>
      <c r="P36" s="3052"/>
      <c r="Q36" s="3052"/>
      <c r="R36" s="3035" t="s">
        <v>2844</v>
      </c>
      <c r="S36" s="3099"/>
      <c r="T36" s="3018" t="s">
        <v>2845</v>
      </c>
      <c r="U36" s="3018"/>
      <c r="V36" s="3026"/>
    </row>
    <row r="37" spans="1:23" s="3030" customFormat="1" ht="13.15" customHeight="1">
      <c r="A37" s="3108"/>
      <c r="B37" s="3109"/>
      <c r="C37" s="3109"/>
      <c r="D37" s="3109"/>
      <c r="E37" s="3109"/>
      <c r="F37" s="3113"/>
      <c r="G37" s="3107"/>
      <c r="H37" s="3025"/>
      <c r="I37" s="3026"/>
      <c r="J37" s="3511"/>
      <c r="K37" s="3513"/>
      <c r="L37" s="3060"/>
      <c r="M37" s="3061"/>
      <c r="N37" s="3037"/>
      <c r="O37" s="3062"/>
      <c r="P37" s="3062"/>
      <c r="Q37" s="3063"/>
      <c r="R37" s="3064"/>
      <c r="S37" s="3099"/>
      <c r="T37" s="3018" t="s">
        <v>2848</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11"/>
      <c r="K38" s="3513"/>
      <c r="L38" s="3060"/>
      <c r="M38" s="3061"/>
      <c r="N38" s="3037"/>
      <c r="O38" s="3062"/>
      <c r="P38" s="3062"/>
      <c r="Q38" s="3063"/>
      <c r="R38" s="3064"/>
      <c r="S38" s="3099"/>
      <c r="T38" s="3018" t="s">
        <v>2855</v>
      </c>
      <c r="U38" s="3018"/>
      <c r="V38" s="3026"/>
    </row>
    <row r="39" spans="1:23" s="3030" customFormat="1" ht="13.15" customHeight="1">
      <c r="A39" s="3108">
        <v>9</v>
      </c>
      <c r="B39" s="3109" t="s">
        <v>2933</v>
      </c>
      <c r="C39" s="3074" t="e">
        <f>C38</f>
        <v>#DIV/0!</v>
      </c>
      <c r="D39" s="3109">
        <f>D38/(1+D34)^C36</f>
        <v>0</v>
      </c>
      <c r="E39" s="3109">
        <f>E38/(1+E34)^(C36+D36)</f>
        <v>0</v>
      </c>
      <c r="F39" s="3113"/>
      <c r="G39" s="3168"/>
      <c r="H39" s="3025"/>
      <c r="I39" s="3026"/>
      <c r="J39" s="3511"/>
      <c r="K39" s="3513"/>
      <c r="L39" s="3060"/>
      <c r="M39" s="3061"/>
      <c r="N39" s="3037"/>
      <c r="O39" s="3062"/>
      <c r="P39" s="3062"/>
      <c r="Q39" s="3063"/>
      <c r="R39" s="3064"/>
      <c r="S39" s="3099"/>
      <c r="T39" s="3018"/>
      <c r="U39" s="3018"/>
      <c r="V39" s="3026"/>
    </row>
    <row r="40" spans="1:23" s="3030" customFormat="1" ht="13.15" customHeight="1">
      <c r="A40" s="3169">
        <v>10</v>
      </c>
      <c r="B40" s="3109" t="s">
        <v>2934</v>
      </c>
      <c r="C40" s="3170" t="e">
        <f>C39+D39+E39</f>
        <v>#DIV/0!</v>
      </c>
      <c r="D40" s="3171"/>
      <c r="E40" s="3171"/>
      <c r="F40" s="3172"/>
      <c r="G40" s="3107"/>
      <c r="H40" s="3025"/>
      <c r="I40" s="3026"/>
      <c r="J40" s="3511"/>
      <c r="K40" s="3514"/>
      <c r="L40" s="3080" t="s">
        <v>2873</v>
      </c>
      <c r="M40" s="3081"/>
      <c r="N40" s="3081"/>
      <c r="O40" s="3082"/>
      <c r="P40" s="3082"/>
      <c r="Q40" s="3083"/>
      <c r="R40" s="3029">
        <f>SUM(R37:R39)</f>
        <v>0</v>
      </c>
      <c r="S40" s="3099"/>
      <c r="T40" s="3018"/>
      <c r="U40" s="3018"/>
      <c r="V40" s="3026"/>
    </row>
    <row r="41" spans="1:23" s="3030" customFormat="1" ht="13.15" customHeight="1" thickBot="1">
      <c r="A41" s="3173">
        <v>11</v>
      </c>
      <c r="B41" s="3174" t="s">
        <v>2935</v>
      </c>
      <c r="C41" s="3174" t="e">
        <f>ROUND(C40*10000/B4,0)</f>
        <v>#DIV/0!</v>
      </c>
      <c r="D41" s="3175"/>
      <c r="E41" s="3175"/>
      <c r="F41" s="3176"/>
      <c r="G41" s="3177"/>
      <c r="H41" s="3025"/>
      <c r="I41" s="3026"/>
      <c r="J41" s="3121">
        <v>2</v>
      </c>
      <c r="K41" s="3122" t="s">
        <v>2913</v>
      </c>
      <c r="L41" s="3123"/>
      <c r="M41" s="3123"/>
      <c r="N41" s="3123"/>
      <c r="O41" s="3123"/>
      <c r="P41" s="3124"/>
      <c r="Q41" s="3125"/>
      <c r="R41" s="3096">
        <f>ROUND(R40*Q41,0)</f>
        <v>0</v>
      </c>
      <c r="S41" s="3099"/>
      <c r="T41" s="3018"/>
      <c r="U41" s="3133"/>
      <c r="V41" s="3026"/>
    </row>
    <row r="42" spans="1:23" s="3030" customFormat="1" ht="13.15" customHeight="1">
      <c r="G42" s="3177"/>
      <c r="H42" s="3025"/>
      <c r="I42" s="3026"/>
      <c r="J42" s="3515">
        <v>3</v>
      </c>
      <c r="K42" s="3128" t="s">
        <v>2915</v>
      </c>
      <c r="L42" s="3129"/>
      <c r="M42" s="3130"/>
      <c r="N42" s="3131" t="s">
        <v>2916</v>
      </c>
      <c r="O42" s="3131" t="s">
        <v>2917</v>
      </c>
      <c r="P42" s="3132" t="s">
        <v>2918</v>
      </c>
      <c r="Q42" s="3132" t="s">
        <v>2919</v>
      </c>
      <c r="R42" s="3035" t="s">
        <v>2844</v>
      </c>
      <c r="S42" s="3133"/>
      <c r="T42" s="3133"/>
      <c r="U42" s="3018"/>
      <c r="V42" s="3026"/>
    </row>
    <row r="43" spans="1:23" ht="13.15" customHeight="1">
      <c r="A43" s="3030"/>
      <c r="B43" s="3030"/>
      <c r="C43" s="3030"/>
      <c r="D43" s="3030"/>
      <c r="E43" s="3030"/>
      <c r="F43" s="3030"/>
      <c r="I43" s="3013"/>
      <c r="J43" s="3516"/>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2922</v>
      </c>
      <c r="L44" s="3181" t="s">
        <v>2923</v>
      </c>
      <c r="M44" s="3144"/>
      <c r="N44" s="3181" t="s">
        <v>2924</v>
      </c>
      <c r="O44" s="3144"/>
      <c r="P44" s="3181" t="s">
        <v>2925</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2105</v>
      </c>
      <c r="B1" s="2001"/>
      <c r="C1" s="2001"/>
      <c r="D1" s="2001"/>
      <c r="E1" s="2002"/>
      <c r="F1" s="2882"/>
      <c r="G1" s="1621"/>
      <c r="H1" s="1621"/>
      <c r="I1" s="1621"/>
      <c r="J1" s="1621"/>
      <c r="K1" s="1621"/>
      <c r="L1" s="1621"/>
      <c r="M1" s="1621"/>
      <c r="N1" s="1621"/>
      <c r="O1" s="1621"/>
      <c r="P1" s="1621"/>
      <c r="Q1" s="1621"/>
      <c r="R1" s="1621"/>
      <c r="S1" s="1621"/>
    </row>
    <row r="2" spans="1:22" ht="15.75">
      <c r="A2" s="2003" t="s">
        <v>1906</v>
      </c>
      <c r="B2" s="2004">
        <f ca="1">SUMIF(B6:B13,"&lt;&gt;#ref!",B6:B13)</f>
        <v>7823</v>
      </c>
      <c r="C2" s="2005" t="s">
        <v>2098</v>
      </c>
      <c r="D2" s="2006" t="s">
        <v>2099</v>
      </c>
      <c r="E2" s="2779">
        <f>SUM(E6:E13)</f>
        <v>1506.52</v>
      </c>
      <c r="F2" s="2882"/>
      <c r="G2" s="1621"/>
      <c r="H2" s="1621"/>
      <c r="I2" s="1621"/>
      <c r="J2" s="1621"/>
      <c r="K2" s="1621"/>
      <c r="L2" s="1621"/>
      <c r="M2" s="1621"/>
      <c r="N2" s="1621"/>
      <c r="O2" s="1621"/>
      <c r="P2" s="1621"/>
      <c r="Q2" s="1621"/>
      <c r="R2" s="1621"/>
      <c r="S2" s="1621"/>
    </row>
    <row r="3" spans="1:22" ht="15.75">
      <c r="A3" s="2003" t="s">
        <v>1119</v>
      </c>
      <c r="B3" s="2773">
        <f ca="1">ROUND(B2*10000/E2,0)</f>
        <v>51928</v>
      </c>
      <c r="C3" s="2005" t="s">
        <v>2106</v>
      </c>
      <c r="D3" s="2884"/>
      <c r="E3" s="2886"/>
      <c r="F3" s="2882"/>
      <c r="G3" s="1621"/>
      <c r="H3" s="1621"/>
      <c r="I3" s="1621"/>
      <c r="J3" s="1621"/>
      <c r="K3" s="1621"/>
      <c r="L3" s="1621"/>
      <c r="M3" s="1621"/>
      <c r="N3" s="1621"/>
      <c r="O3" s="1621"/>
      <c r="P3" s="1621"/>
      <c r="Q3" s="1621"/>
      <c r="R3" s="1621"/>
      <c r="S3" s="1621"/>
    </row>
    <row r="4" spans="1:22" ht="15.75">
      <c r="A4" s="2887"/>
      <c r="B4" s="2884"/>
      <c r="C4" s="2884"/>
      <c r="D4" s="2884"/>
      <c r="E4" s="2886"/>
      <c r="F4" s="2882"/>
      <c r="G4" s="1621"/>
      <c r="H4" s="1621"/>
      <c r="I4" s="1621"/>
      <c r="J4" s="1621"/>
      <c r="K4" s="1621"/>
      <c r="L4" s="1621"/>
      <c r="M4" s="1621"/>
      <c r="N4" s="1621"/>
      <c r="O4" s="1621"/>
      <c r="P4" s="1621"/>
      <c r="Q4" s="1621"/>
      <c r="R4" s="1621"/>
      <c r="S4" s="1621"/>
    </row>
    <row r="5" spans="1:22" ht="15">
      <c r="A5" s="2775" t="s">
        <v>2100</v>
      </c>
      <c r="B5" s="3530" t="s">
        <v>2101</v>
      </c>
      <c r="C5" s="3531"/>
      <c r="D5" s="2883"/>
      <c r="E5" s="2007" t="s">
        <v>2102</v>
      </c>
      <c r="F5" s="2008" t="s">
        <v>2103</v>
      </c>
      <c r="G5" s="1621"/>
      <c r="H5" s="1621"/>
      <c r="I5" s="1621"/>
      <c r="J5" s="1621"/>
      <c r="K5" s="1621"/>
      <c r="L5" s="1621"/>
      <c r="M5" s="1621"/>
      <c r="N5" s="1621"/>
      <c r="O5" s="1621"/>
      <c r="P5" s="1621"/>
      <c r="Q5" s="1621"/>
      <c r="R5" s="1621"/>
      <c r="S5" s="1621"/>
    </row>
    <row r="6" spans="1:22">
      <c r="A6" s="2776" t="str">
        <f>'数据-取费表'!AN6</f>
        <v>收益法-办公</v>
      </c>
      <c r="B6" s="2774">
        <f ca="1">IF(F6="是",'数据-取费表'!AO6,0)</f>
        <v>7823</v>
      </c>
      <c r="C6" s="2005" t="s">
        <v>2098</v>
      </c>
      <c r="D6" s="2884"/>
      <c r="E6" s="2778">
        <f>IF(OR(A6=0,F6="否"),0,'数据-取费表'!K6+'数据-取费表'!S6)</f>
        <v>1506.52</v>
      </c>
      <c r="F6" s="2009" t="s">
        <v>2104</v>
      </c>
      <c r="G6" s="1621"/>
      <c r="H6" s="1621"/>
      <c r="I6" s="1621"/>
      <c r="J6" s="1621"/>
      <c r="K6" s="1621"/>
      <c r="L6" s="1621"/>
      <c r="M6" s="1621"/>
      <c r="N6" s="1621"/>
      <c r="O6" s="1621"/>
      <c r="P6" s="1621"/>
      <c r="Q6" s="1621"/>
      <c r="R6" s="1621"/>
      <c r="S6" s="1621"/>
    </row>
    <row r="7" spans="1:22">
      <c r="A7" s="2776">
        <f>'数据-取费表'!AN7</f>
        <v>0</v>
      </c>
      <c r="B7" s="2774" t="e">
        <f ca="1">IF(F7="是",'数据-取费表'!AO7,0)</f>
        <v>#REF!</v>
      </c>
      <c r="C7" s="2005" t="s">
        <v>2098</v>
      </c>
      <c r="D7" s="2884"/>
      <c r="E7" s="2778">
        <f>IF(OR(A7=0,F7="否"),0,'数据-取费表'!K7+'数据-取费表'!S7)</f>
        <v>0</v>
      </c>
      <c r="F7" s="2009" t="s">
        <v>2104</v>
      </c>
      <c r="G7" s="1621"/>
      <c r="H7" s="1621"/>
      <c r="I7" s="1621"/>
      <c r="J7" s="1621"/>
      <c r="K7" s="1621"/>
      <c r="L7" s="1621"/>
      <c r="M7" s="1621"/>
      <c r="N7" s="1621"/>
      <c r="O7" s="1621"/>
      <c r="P7" s="1621"/>
      <c r="Q7" s="1621"/>
      <c r="R7" s="1621"/>
      <c r="S7" s="1621"/>
    </row>
    <row r="8" spans="1:22">
      <c r="A8" s="2776">
        <f>'数据-取费表'!AN8</f>
        <v>0</v>
      </c>
      <c r="B8" s="2774" t="e">
        <f ca="1">IF(F8="是",'数据-取费表'!AO8,0)</f>
        <v>#REF!</v>
      </c>
      <c r="C8" s="2005" t="s">
        <v>2098</v>
      </c>
      <c r="D8" s="2884"/>
      <c r="E8" s="2778">
        <f>IF(OR(A8=0,F8="否"),0,'数据-取费表'!K8+'数据-取费表'!S8)</f>
        <v>0</v>
      </c>
      <c r="F8" s="2009" t="s">
        <v>2104</v>
      </c>
      <c r="G8" s="1621"/>
      <c r="H8" s="1621"/>
      <c r="I8" s="1621"/>
      <c r="J8" s="1621"/>
      <c r="K8" s="1621"/>
      <c r="L8" s="1621"/>
      <c r="M8" s="1621"/>
      <c r="N8" s="1621"/>
      <c r="O8" s="1621"/>
      <c r="P8" s="1621"/>
      <c r="Q8" s="1621"/>
      <c r="R8" s="1621"/>
      <c r="S8" s="1621"/>
    </row>
    <row r="9" spans="1:22">
      <c r="A9" s="2776">
        <f>'数据-取费表'!AN9</f>
        <v>0</v>
      </c>
      <c r="B9" s="2774" t="e">
        <f ca="1">IF(F9="是",'数据-取费表'!AO9,0)</f>
        <v>#REF!</v>
      </c>
      <c r="C9" s="2005" t="s">
        <v>2098</v>
      </c>
      <c r="D9" s="2884"/>
      <c r="E9" s="2778">
        <f>IF(OR(A9=0,F9="否"),0,'数据-取费表'!K9+'数据-取费表'!S9)</f>
        <v>0</v>
      </c>
      <c r="F9" s="2009" t="s">
        <v>2104</v>
      </c>
      <c r="G9" s="1621"/>
      <c r="H9" s="1621"/>
      <c r="I9" s="1621"/>
      <c r="J9" s="1621"/>
      <c r="K9" s="1621"/>
      <c r="L9" s="1621"/>
      <c r="M9" s="1621"/>
      <c r="N9" s="1621"/>
      <c r="O9" s="1621"/>
      <c r="P9" s="1621"/>
      <c r="Q9" s="1621"/>
      <c r="R9" s="1621"/>
      <c r="S9" s="1621"/>
    </row>
    <row r="10" spans="1:22">
      <c r="A10" s="2776">
        <f>'数据-取费表'!AN10</f>
        <v>0</v>
      </c>
      <c r="B10" s="2774" t="e">
        <f ca="1">IF(F10="是",'数据-取费表'!AO10,0)</f>
        <v>#REF!</v>
      </c>
      <c r="C10" s="2005" t="s">
        <v>2098</v>
      </c>
      <c r="D10" s="2884"/>
      <c r="E10" s="2778">
        <f>IF(OR(A10=0,F10="否"),0,'数据-取费表'!K10+'数据-取费表'!S10)</f>
        <v>0</v>
      </c>
      <c r="F10" s="2009" t="s">
        <v>2104</v>
      </c>
      <c r="G10" s="1621"/>
      <c r="H10" s="1621"/>
      <c r="I10" s="1621"/>
      <c r="J10" s="1621"/>
      <c r="K10" s="1621"/>
      <c r="L10" s="1621"/>
      <c r="M10" s="1621"/>
      <c r="N10" s="1621"/>
      <c r="O10" s="1621"/>
      <c r="P10" s="1621"/>
      <c r="Q10" s="1621"/>
      <c r="R10" s="1621"/>
      <c r="S10" s="1621"/>
    </row>
    <row r="11" spans="1:22">
      <c r="A11" s="2776">
        <f>'数据-取费表'!AN11</f>
        <v>0</v>
      </c>
      <c r="B11" s="2774" t="e">
        <f ca="1">IF(F11="是",'数据-取费表'!AO11,0)</f>
        <v>#REF!</v>
      </c>
      <c r="C11" s="2005" t="s">
        <v>2098</v>
      </c>
      <c r="D11" s="2884"/>
      <c r="E11" s="2778">
        <f>IF(OR(A11=0,F11="否"),0,'数据-取费表'!K11+'数据-取费表'!S11)</f>
        <v>0</v>
      </c>
      <c r="F11" s="2009" t="s">
        <v>2104</v>
      </c>
      <c r="G11" s="1621"/>
      <c r="H11" s="1621"/>
      <c r="I11" s="1621"/>
      <c r="J11" s="1621"/>
      <c r="K11" s="1621"/>
      <c r="L11" s="1621"/>
      <c r="M11" s="1621"/>
      <c r="N11" s="1621"/>
      <c r="O11" s="1621"/>
      <c r="P11" s="1621"/>
      <c r="Q11" s="1621"/>
      <c r="R11" s="1621"/>
      <c r="S11" s="1621"/>
    </row>
    <row r="12" spans="1:22">
      <c r="A12" s="2776">
        <f>'数据-取费表'!AN12</f>
        <v>0</v>
      </c>
      <c r="B12" s="2774" t="e">
        <f ca="1">IF(F12="是",'数据-取费表'!AO12,0)</f>
        <v>#REF!</v>
      </c>
      <c r="C12" s="2005" t="s">
        <v>2098</v>
      </c>
      <c r="D12" s="2884"/>
      <c r="E12" s="2778">
        <f>IF(OR(A12=0,F12="否"),0,'数据-取费表'!K12+'数据-取费表'!S12)</f>
        <v>0</v>
      </c>
      <c r="F12" s="2009" t="s">
        <v>2104</v>
      </c>
      <c r="G12" s="1621"/>
      <c r="H12" s="1621"/>
      <c r="I12" s="1621"/>
      <c r="J12" s="1621"/>
      <c r="K12" s="1621"/>
      <c r="L12" s="1621"/>
      <c r="M12" s="1621"/>
      <c r="N12" s="1621"/>
      <c r="O12" s="1621"/>
      <c r="P12" s="1621"/>
      <c r="Q12" s="1621"/>
      <c r="R12" s="1621"/>
      <c r="S12" s="1621"/>
    </row>
    <row r="13" spans="1:22" ht="15" thickBot="1">
      <c r="A13" s="2777">
        <f>'数据-取费表'!AN13</f>
        <v>0</v>
      </c>
      <c r="B13" s="2774" t="e">
        <f ca="1">IF(F13="是",'数据-取费表'!AO13,0)</f>
        <v>#REF!</v>
      </c>
      <c r="C13" s="2010" t="s">
        <v>2098</v>
      </c>
      <c r="D13" s="2885"/>
      <c r="E13" s="2778">
        <f>IF(OR(A13=0,F13="否"),0,'数据-取费表'!K13+'数据-取费表'!S13)</f>
        <v>0</v>
      </c>
      <c r="F13" s="2009" t="s">
        <v>2104</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2108</v>
      </c>
      <c r="C1" s="1355" t="s">
        <v>2109</v>
      </c>
      <c r="D1" s="1342"/>
      <c r="E1" s="2491"/>
      <c r="F1" s="2012" t="s">
        <v>2110</v>
      </c>
      <c r="G1" s="1352" t="s">
        <v>2111</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4"/>
      <c r="D2" s="1224" t="e">
        <f ca="1">SUMIF(INDIRECT("'"&amp;F2&amp;"'"&amp;"!A:A"),"承租人权益价值",INDIRECT("'"&amp;F2&amp;"'"&amp;"!c:c"))</f>
        <v>#REF!</v>
      </c>
      <c r="E2" s="2015" t="s">
        <v>2112</v>
      </c>
      <c r="F2" s="2016"/>
      <c r="G2" s="1016"/>
      <c r="H2" s="1016"/>
      <c r="I2" s="1016"/>
      <c r="J2" s="1016"/>
      <c r="K2" s="2017"/>
      <c r="L2" s="2888"/>
      <c r="M2" s="2889"/>
      <c r="N2" s="2889"/>
      <c r="O2" s="2889"/>
      <c r="P2" s="2018"/>
      <c r="Q2" s="2019"/>
      <c r="R2" s="2019"/>
      <c r="S2" s="2019"/>
      <c r="T2" s="2019"/>
      <c r="U2" s="2019"/>
      <c r="V2" s="2019"/>
      <c r="W2" s="2019"/>
      <c r="X2" s="2019"/>
      <c r="Y2" s="2019"/>
      <c r="Z2" s="2019"/>
      <c r="AA2" s="2019"/>
      <c r="AB2" s="2019"/>
      <c r="AC2" s="2020"/>
    </row>
    <row r="3" spans="1:29" s="352" customFormat="1" ht="28.5" customHeight="1" thickBot="1">
      <c r="A3" s="208" t="s">
        <v>1119</v>
      </c>
      <c r="B3" s="358" t="e">
        <f ca="1">IF(C2="——",C49,ROUND(B2*10000/D3,0))</f>
        <v>#DIV/0!</v>
      </c>
      <c r="C3" s="359" t="s">
        <v>2113</v>
      </c>
      <c r="D3" s="358">
        <f>IF(D1="",'数据-汇总表'!E3,SUMIF('数据-汇总表'!$C19:$C33,D1,'数据-汇总表'!$E19:$E33))</f>
        <v>24865.040000000005</v>
      </c>
      <c r="E3" s="1016"/>
      <c r="F3" s="2021"/>
      <c r="G3" s="1016"/>
      <c r="H3" s="1016"/>
      <c r="I3" s="1016"/>
      <c r="J3" s="1016"/>
      <c r="K3" s="2017"/>
      <c r="L3" s="2888"/>
      <c r="M3" s="2889"/>
      <c r="N3" s="2889"/>
      <c r="O3" s="2889"/>
      <c r="P3" s="2018"/>
      <c r="Q3" s="2019"/>
      <c r="R3" s="2019"/>
      <c r="S3" s="2019"/>
      <c r="T3" s="2019"/>
      <c r="U3" s="2019"/>
      <c r="V3" s="2019"/>
      <c r="W3" s="2019"/>
      <c r="X3" s="2019"/>
      <c r="Y3" s="2019"/>
      <c r="Z3" s="2019"/>
      <c r="AA3" s="2019"/>
      <c r="AB3" s="2019"/>
      <c r="AC3" s="1169"/>
    </row>
    <row r="4" spans="1:29" ht="15">
      <c r="A4" s="360" t="s">
        <v>2114</v>
      </c>
      <c r="B4" s="361"/>
      <c r="C4" s="3469" t="s">
        <v>2115</v>
      </c>
      <c r="D4" s="3470"/>
      <c r="E4" s="3471" t="s">
        <v>2116</v>
      </c>
      <c r="F4" s="3472"/>
      <c r="G4" s="3469" t="s">
        <v>2117</v>
      </c>
      <c r="H4" s="3470"/>
      <c r="I4" s="3469" t="s">
        <v>2118</v>
      </c>
      <c r="J4" s="3470"/>
      <c r="K4" s="2022" t="s">
        <v>2119</v>
      </c>
      <c r="L4" s="2890"/>
      <c r="M4" s="2891"/>
      <c r="N4" s="2891"/>
      <c r="O4" s="2891"/>
      <c r="P4" s="3536" t="s">
        <v>2120</v>
      </c>
      <c r="Q4" s="3537"/>
      <c r="R4" s="3540" t="s">
        <v>2116</v>
      </c>
      <c r="S4" s="3541"/>
      <c r="T4" s="3540" t="s">
        <v>2117</v>
      </c>
      <c r="U4" s="3541"/>
      <c r="V4" s="3486" t="s">
        <v>2118</v>
      </c>
      <c r="W4" s="3486"/>
      <c r="X4" s="1486"/>
      <c r="Y4" s="3540" t="s">
        <v>2120</v>
      </c>
      <c r="Z4" s="3541"/>
      <c r="AA4" s="3535" t="s">
        <v>2116</v>
      </c>
      <c r="AB4" s="3535" t="s">
        <v>2117</v>
      </c>
      <c r="AC4" s="3535" t="s">
        <v>2118</v>
      </c>
    </row>
    <row r="5" spans="1:29" ht="15">
      <c r="A5" s="363"/>
      <c r="B5" s="364"/>
      <c r="C5" s="3495" t="s">
        <v>2121</v>
      </c>
      <c r="D5" s="3490"/>
      <c r="E5" s="3542" t="s">
        <v>2122</v>
      </c>
      <c r="F5" s="3502"/>
      <c r="G5" s="3495" t="s">
        <v>2123</v>
      </c>
      <c r="H5" s="3490"/>
      <c r="I5" s="3495" t="s">
        <v>2124</v>
      </c>
      <c r="J5" s="3490"/>
      <c r="K5" s="2023"/>
      <c r="L5" s="2890"/>
      <c r="M5" s="2891"/>
      <c r="N5" s="2891"/>
      <c r="O5" s="2891"/>
      <c r="P5" s="3538"/>
      <c r="Q5" s="3476"/>
      <c r="R5" s="3481"/>
      <c r="S5" s="3482"/>
      <c r="T5" s="3481"/>
      <c r="U5" s="3482"/>
      <c r="V5" s="3486"/>
      <c r="W5" s="3486"/>
      <c r="X5" s="1486"/>
      <c r="Y5" s="3481"/>
      <c r="Z5" s="3482"/>
      <c r="AA5" s="3499"/>
      <c r="AB5" s="3499"/>
      <c r="AC5" s="3499"/>
    </row>
    <row r="6" spans="1:29" ht="15.75" thickBot="1">
      <c r="A6" s="365"/>
      <c r="B6" s="366"/>
      <c r="C6" s="3487" t="s">
        <v>2125</v>
      </c>
      <c r="D6" s="3488"/>
      <c r="E6" s="3496" t="s">
        <v>2125</v>
      </c>
      <c r="F6" s="3497"/>
      <c r="G6" s="3487" t="s">
        <v>2125</v>
      </c>
      <c r="H6" s="3488"/>
      <c r="I6" s="3487" t="s">
        <v>2125</v>
      </c>
      <c r="J6" s="3488"/>
      <c r="K6" s="2023" t="s">
        <v>2126</v>
      </c>
      <c r="L6" s="2890"/>
      <c r="M6" s="2891"/>
      <c r="N6" s="2891"/>
      <c r="O6" s="2891"/>
      <c r="P6" s="3539"/>
      <c r="Q6" s="3478"/>
      <c r="R6" s="3481"/>
      <c r="S6" s="3482"/>
      <c r="T6" s="3483"/>
      <c r="U6" s="3484"/>
      <c r="V6" s="3486"/>
      <c r="W6" s="3486"/>
      <c r="X6" s="1486"/>
      <c r="Y6" s="3483"/>
      <c r="Z6" s="3484"/>
      <c r="AA6" s="3500"/>
      <c r="AB6" s="3500"/>
      <c r="AC6" s="3500"/>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2024"/>
      <c r="L7" s="2892"/>
      <c r="M7" s="2893"/>
      <c r="N7" s="2893"/>
      <c r="O7" s="2893"/>
      <c r="P7" s="3493" t="s">
        <v>2128</v>
      </c>
      <c r="Q7" s="3494"/>
      <c r="R7" s="707" t="s">
        <v>23</v>
      </c>
      <c r="S7" s="708">
        <f t="shared" ref="S7:S15" si="0">F7</f>
        <v>0</v>
      </c>
      <c r="T7" s="707" t="s">
        <v>23</v>
      </c>
      <c r="U7" s="708">
        <f t="shared" ref="U7:U15" si="1">H7</f>
        <v>0</v>
      </c>
      <c r="V7" s="707" t="s">
        <v>23</v>
      </c>
      <c r="W7" s="708">
        <f t="shared" ref="W7:W15" si="2">J7</f>
        <v>0</v>
      </c>
      <c r="X7" s="709"/>
      <c r="Y7" s="3493" t="s">
        <v>2128</v>
      </c>
      <c r="Z7" s="3492"/>
      <c r="AA7" s="710" t="e">
        <f>D7/F7</f>
        <v>#DIV/0!</v>
      </c>
      <c r="AB7" s="710" t="e">
        <f>D7/H7</f>
        <v>#DIV/0!</v>
      </c>
      <c r="AC7" s="710" t="e">
        <f>D7/J7</f>
        <v>#DIV/0!</v>
      </c>
    </row>
    <row r="8" spans="1:29" s="112" customFormat="1" ht="15.75" thickBot="1">
      <c r="A8" s="367" t="s">
        <v>2129</v>
      </c>
      <c r="B8" s="368"/>
      <c r="C8" s="373" t="s">
        <v>2130</v>
      </c>
      <c r="D8" s="370">
        <v>100</v>
      </c>
      <c r="E8" s="2025"/>
      <c r="F8" s="372">
        <f>SUMIF(61:61,E8,62:62)-SUMIF(61:61,C8,62:62)+100</f>
        <v>0</v>
      </c>
      <c r="G8" s="373"/>
      <c r="H8" s="370">
        <f>SUMIF(61:61,G8,62:62)-SUMIF(61:61,C8,62:62)+100</f>
        <v>0</v>
      </c>
      <c r="I8" s="2025"/>
      <c r="J8" s="370">
        <f>SUMIF(61:61,I8,62:62)-SUMIF(61:61,C8,62:62)+100</f>
        <v>0</v>
      </c>
      <c r="K8" s="2024"/>
      <c r="L8" s="2892"/>
      <c r="M8" s="2893"/>
      <c r="N8" s="2893"/>
      <c r="O8" s="2893"/>
      <c r="P8" s="3493" t="s">
        <v>2131</v>
      </c>
      <c r="Q8" s="3492"/>
      <c r="R8" s="707" t="s">
        <v>23</v>
      </c>
      <c r="S8" s="708">
        <f t="shared" si="0"/>
        <v>0</v>
      </c>
      <c r="T8" s="707" t="s">
        <v>23</v>
      </c>
      <c r="U8" s="708">
        <f t="shared" si="1"/>
        <v>0</v>
      </c>
      <c r="V8" s="707" t="s">
        <v>23</v>
      </c>
      <c r="W8" s="708">
        <f t="shared" si="2"/>
        <v>0</v>
      </c>
      <c r="X8" s="709"/>
      <c r="Y8" s="3493" t="s">
        <v>2131</v>
      </c>
      <c r="Z8" s="3492"/>
      <c r="AA8" s="710" t="e">
        <f t="shared" ref="AA8:AA19" si="3">D8/F8</f>
        <v>#DIV/0!</v>
      </c>
      <c r="AB8" s="710" t="e">
        <f t="shared" ref="AB8:AB19" si="4">D8/H8</f>
        <v>#DIV/0!</v>
      </c>
      <c r="AC8" s="710" t="e">
        <f t="shared" ref="AC8:AC19" si="5">D8/J8</f>
        <v>#DIV/0!</v>
      </c>
    </row>
    <row r="9" spans="1:29" s="112" customFormat="1">
      <c r="A9" s="374" t="s">
        <v>2132</v>
      </c>
      <c r="B9" s="66" t="s">
        <v>2133</v>
      </c>
      <c r="C9" s="375"/>
      <c r="D9" s="130">
        <v>100</v>
      </c>
      <c r="E9" s="376"/>
      <c r="F9" s="377">
        <f>SUMIF(63:63,E9,64:64)-SUMIF(63:63,C9,64:64)+100</f>
        <v>100</v>
      </c>
      <c r="G9" s="378"/>
      <c r="H9" s="130">
        <f>SUMIF(63:63,G9,64:64)-SUMIF(63:63,C9,64:64)+100</f>
        <v>100</v>
      </c>
      <c r="I9" s="378"/>
      <c r="J9" s="130">
        <f>SUMIF(63:63,I9,64:64)-SUMIF(63:63,C9,64:64)+100</f>
        <v>100</v>
      </c>
      <c r="K9" s="2024"/>
      <c r="L9" s="2892"/>
      <c r="M9" s="2893"/>
      <c r="N9" s="2893"/>
      <c r="O9" s="2893"/>
      <c r="P9" s="3451"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51"/>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51"/>
      <c r="Q11" s="1474" t="str">
        <f t="shared" si="6"/>
        <v>容积率</v>
      </c>
      <c r="R11" s="707" t="s">
        <v>21</v>
      </c>
      <c r="S11" s="708" t="e">
        <f t="shared" si="0"/>
        <v>#N/A</v>
      </c>
      <c r="T11" s="707" t="s">
        <v>21</v>
      </c>
      <c r="U11" s="708" t="e">
        <f t="shared" si="1"/>
        <v>#N/A</v>
      </c>
      <c r="V11" s="707" t="s">
        <v>21</v>
      </c>
      <c r="W11" s="708" t="e">
        <f t="shared" si="2"/>
        <v>#N/A</v>
      </c>
      <c r="X11" s="709"/>
      <c r="Y11" s="3355"/>
      <c r="Z11" s="54" t="str">
        <f t="shared" si="7"/>
        <v>容积率</v>
      </c>
      <c r="AA11" s="710" t="e">
        <f t="shared" si="3"/>
        <v>#N/A</v>
      </c>
      <c r="AB11" s="710" t="e">
        <f t="shared" si="4"/>
        <v>#N/A</v>
      </c>
      <c r="AC11" s="710" t="e">
        <f t="shared" si="5"/>
        <v>#N/A</v>
      </c>
    </row>
    <row r="12" spans="1:29" s="112" customFormat="1" ht="15">
      <c r="A12" s="389"/>
      <c r="B12" s="2026">
        <v>111</v>
      </c>
      <c r="C12" s="390"/>
      <c r="D12" s="391">
        <v>100</v>
      </c>
      <c r="E12" s="390"/>
      <c r="F12" s="383">
        <f>SUMIF(70:70,E12,71:71)-SUMIF(70:70,C12,71:71)+100</f>
        <v>100</v>
      </c>
      <c r="G12" s="390"/>
      <c r="H12" s="131">
        <f>SUMIF(70:70,G12,71:71)-SUMIF(70:70,C12,71:71)+100</f>
        <v>100</v>
      </c>
      <c r="I12" s="390"/>
      <c r="J12" s="131">
        <f>SUMIF(70:70,I12,71:71)-SUMIF(70:70,C12,71:71)+100</f>
        <v>100</v>
      </c>
      <c r="K12" s="2027"/>
      <c r="L12" s="2892"/>
      <c r="M12" s="2893"/>
      <c r="N12" s="2893"/>
      <c r="O12" s="2893"/>
      <c r="P12" s="3451"/>
      <c r="Q12" s="1474">
        <f t="shared" si="6"/>
        <v>111</v>
      </c>
      <c r="R12" s="707" t="s">
        <v>21</v>
      </c>
      <c r="S12" s="708">
        <f t="shared" si="0"/>
        <v>100</v>
      </c>
      <c r="T12" s="707" t="s">
        <v>21</v>
      </c>
      <c r="U12" s="708">
        <f t="shared" si="1"/>
        <v>100</v>
      </c>
      <c r="V12" s="707" t="s">
        <v>21</v>
      </c>
      <c r="W12" s="708">
        <f t="shared" si="2"/>
        <v>100</v>
      </c>
      <c r="X12" s="709"/>
      <c r="Y12" s="3355"/>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2027"/>
      <c r="L13" s="2897"/>
      <c r="M13" s="2891"/>
      <c r="N13" s="2891"/>
      <c r="O13" s="2891"/>
      <c r="P13" s="3451"/>
      <c r="Q13" s="1474">
        <f t="shared" si="6"/>
        <v>111</v>
      </c>
      <c r="R13" s="707" t="s">
        <v>21</v>
      </c>
      <c r="S13" s="708">
        <f t="shared" si="0"/>
        <v>100</v>
      </c>
      <c r="T13" s="707" t="s">
        <v>21</v>
      </c>
      <c r="U13" s="708">
        <f t="shared" si="1"/>
        <v>100</v>
      </c>
      <c r="V13" s="707" t="s">
        <v>21</v>
      </c>
      <c r="W13" s="708">
        <f t="shared" si="2"/>
        <v>100</v>
      </c>
      <c r="X13" s="709"/>
      <c r="Y13" s="3355"/>
      <c r="Z13" s="54">
        <f t="shared" si="7"/>
        <v>111</v>
      </c>
      <c r="AA13" s="710">
        <f t="shared" si="3"/>
        <v>1</v>
      </c>
      <c r="AB13" s="710">
        <f t="shared" si="4"/>
        <v>1</v>
      </c>
      <c r="AC13" s="710">
        <f t="shared" si="5"/>
        <v>1</v>
      </c>
    </row>
    <row r="14" spans="1:29" ht="15.75" thickBot="1">
      <c r="A14" s="394"/>
      <c r="B14" s="2028">
        <v>111</v>
      </c>
      <c r="C14" s="395"/>
      <c r="D14" s="396">
        <v>100</v>
      </c>
      <c r="E14" s="395"/>
      <c r="F14" s="397">
        <f>SUMIF(74:74,E14,75:75)-SUMIF(74:74,C14,75:75)+100</f>
        <v>100</v>
      </c>
      <c r="G14" s="395"/>
      <c r="H14" s="396">
        <f>SUMIF(74:74,G14,75:75)-SUMIF(74:74,C14,75:75)+100</f>
        <v>100</v>
      </c>
      <c r="I14" s="395"/>
      <c r="J14" s="396">
        <f>SUMIF(74:74,I14,75:75)-SUMIF(74:74,C14,75:75)+100</f>
        <v>100</v>
      </c>
      <c r="K14" s="2027"/>
      <c r="L14" s="2897"/>
      <c r="M14" s="2891"/>
      <c r="N14" s="2891"/>
      <c r="O14" s="2891"/>
      <c r="P14" s="3451"/>
      <c r="Q14" s="1474">
        <f t="shared" si="6"/>
        <v>111</v>
      </c>
      <c r="R14" s="707" t="s">
        <v>21</v>
      </c>
      <c r="S14" s="708">
        <f t="shared" si="0"/>
        <v>100</v>
      </c>
      <c r="T14" s="707" t="s">
        <v>21</v>
      </c>
      <c r="U14" s="708">
        <f t="shared" si="1"/>
        <v>100</v>
      </c>
      <c r="V14" s="707" t="s">
        <v>21</v>
      </c>
      <c r="W14" s="708">
        <f t="shared" si="2"/>
        <v>100</v>
      </c>
      <c r="X14" s="709"/>
      <c r="Y14" s="3355"/>
      <c r="Z14" s="54">
        <f t="shared" si="7"/>
        <v>111</v>
      </c>
      <c r="AA14" s="710">
        <f t="shared" si="3"/>
        <v>1</v>
      </c>
      <c r="AB14" s="710">
        <f t="shared" si="4"/>
        <v>1</v>
      </c>
      <c r="AC14" s="710">
        <f t="shared" si="5"/>
        <v>1</v>
      </c>
    </row>
    <row r="15" spans="1:29" ht="99.75">
      <c r="A15" s="398" t="s">
        <v>2138</v>
      </c>
      <c r="B15" s="64" t="s">
        <v>1701</v>
      </c>
      <c r="C15" s="202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457" t="s">
        <v>2139</v>
      </c>
      <c r="Q15" s="1483" t="str">
        <f t="shared" si="6"/>
        <v>居住社区成熟度</v>
      </c>
      <c r="R15" s="711" t="s">
        <v>21</v>
      </c>
      <c r="S15" s="712">
        <f t="shared" si="0"/>
        <v>100</v>
      </c>
      <c r="T15" s="711" t="s">
        <v>21</v>
      </c>
      <c r="U15" s="712">
        <f t="shared" si="1"/>
        <v>100</v>
      </c>
      <c r="V15" s="711" t="s">
        <v>21</v>
      </c>
      <c r="W15" s="712">
        <f t="shared" si="2"/>
        <v>100</v>
      </c>
      <c r="X15" s="1486"/>
      <c r="Y15" s="3459" t="s">
        <v>2139</v>
      </c>
      <c r="Z15" s="1487" t="str">
        <f t="shared" si="7"/>
        <v>居住社区成熟度</v>
      </c>
      <c r="AA15" s="1484">
        <f t="shared" si="3"/>
        <v>1</v>
      </c>
      <c r="AB15" s="1484">
        <f t="shared" si="4"/>
        <v>1</v>
      </c>
      <c r="AC15" s="1484">
        <f t="shared" si="5"/>
        <v>1</v>
      </c>
    </row>
    <row r="16" spans="1:29" ht="15">
      <c r="A16" s="386"/>
      <c r="B16" s="404"/>
      <c r="C16" s="405"/>
      <c r="D16" s="406"/>
      <c r="E16" s="2030"/>
      <c r="F16" s="406"/>
      <c r="G16" s="2031"/>
      <c r="H16" s="408"/>
      <c r="I16" s="2031"/>
      <c r="J16" s="406"/>
      <c r="K16" s="2032"/>
      <c r="L16" s="2897"/>
      <c r="M16" s="2891"/>
      <c r="N16" s="2891"/>
      <c r="O16" s="2891"/>
      <c r="P16" s="3458"/>
      <c r="Q16" s="1483"/>
      <c r="R16" s="711"/>
      <c r="S16" s="712"/>
      <c r="T16" s="711"/>
      <c r="U16" s="712"/>
      <c r="V16" s="711"/>
      <c r="W16" s="712"/>
      <c r="X16" s="1486"/>
      <c r="Y16" s="3460"/>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458"/>
      <c r="Q17" s="1483" t="str">
        <f>B17</f>
        <v>交通便捷度</v>
      </c>
      <c r="R17" s="711" t="s">
        <v>21</v>
      </c>
      <c r="S17" s="712">
        <f>F17</f>
        <v>100</v>
      </c>
      <c r="T17" s="711" t="s">
        <v>21</v>
      </c>
      <c r="U17" s="712">
        <f>H17</f>
        <v>100</v>
      </c>
      <c r="V17" s="711" t="s">
        <v>21</v>
      </c>
      <c r="W17" s="712">
        <f>J17</f>
        <v>100</v>
      </c>
      <c r="X17" s="1486"/>
      <c r="Y17" s="3460"/>
      <c r="Z17" s="1487" t="str">
        <f>Q17</f>
        <v>交通便捷度</v>
      </c>
      <c r="AA17" s="1484">
        <f t="shared" si="3"/>
        <v>1</v>
      </c>
      <c r="AB17" s="1484">
        <f t="shared" si="4"/>
        <v>1</v>
      </c>
      <c r="AC17" s="1484">
        <f t="shared" si="5"/>
        <v>1</v>
      </c>
    </row>
    <row r="18" spans="1:29" ht="15">
      <c r="A18" s="386"/>
      <c r="B18" s="414"/>
      <c r="C18" s="2034"/>
      <c r="D18" s="408"/>
      <c r="E18" s="2035"/>
      <c r="F18" s="408"/>
      <c r="G18" s="2036"/>
      <c r="H18" s="406"/>
      <c r="I18" s="2036"/>
      <c r="J18" s="406"/>
      <c r="K18" s="2032"/>
      <c r="L18" s="2897"/>
      <c r="M18" s="2891"/>
      <c r="N18" s="2891"/>
      <c r="O18" s="2891"/>
      <c r="P18" s="3458"/>
      <c r="Q18" s="1483"/>
      <c r="R18" s="711"/>
      <c r="S18" s="712"/>
      <c r="T18" s="711"/>
      <c r="U18" s="712"/>
      <c r="V18" s="711"/>
      <c r="W18" s="712"/>
      <c r="X18" s="1486"/>
      <c r="Y18" s="3460"/>
      <c r="Z18" s="1487"/>
      <c r="AA18" s="1484">
        <v>1</v>
      </c>
      <c r="AB18" s="1484">
        <v>1</v>
      </c>
      <c r="AC18" s="1484">
        <v>1</v>
      </c>
    </row>
    <row r="19" spans="1:29" ht="42.75">
      <c r="A19" s="386"/>
      <c r="B19" s="409" t="s">
        <v>1702</v>
      </c>
      <c r="C19" s="203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458"/>
      <c r="Q19" s="1483" t="str">
        <f>B19</f>
        <v>公共配套设施</v>
      </c>
      <c r="R19" s="711" t="s">
        <v>21</v>
      </c>
      <c r="S19" s="712">
        <f>F19</f>
        <v>100</v>
      </c>
      <c r="T19" s="711" t="s">
        <v>21</v>
      </c>
      <c r="U19" s="712">
        <f>H19</f>
        <v>100</v>
      </c>
      <c r="V19" s="711" t="s">
        <v>21</v>
      </c>
      <c r="W19" s="712">
        <f>J19</f>
        <v>100</v>
      </c>
      <c r="X19" s="1486"/>
      <c r="Y19" s="3460"/>
      <c r="Z19" s="1487" t="str">
        <f>Q19</f>
        <v>公共配套设施</v>
      </c>
      <c r="AA19" s="1484">
        <f t="shared" si="3"/>
        <v>1</v>
      </c>
      <c r="AB19" s="1484">
        <f t="shared" si="4"/>
        <v>1</v>
      </c>
      <c r="AC19" s="1484">
        <f t="shared" si="5"/>
        <v>1</v>
      </c>
    </row>
    <row r="20" spans="1:29" ht="15">
      <c r="A20" s="386"/>
      <c r="B20" s="414"/>
      <c r="C20" s="405"/>
      <c r="D20" s="406"/>
      <c r="E20" s="2030"/>
      <c r="F20" s="406"/>
      <c r="G20" s="2031"/>
      <c r="H20" s="406"/>
      <c r="I20" s="2031"/>
      <c r="J20" s="406"/>
      <c r="K20" s="2032"/>
      <c r="L20" s="2897"/>
      <c r="M20" s="2891"/>
      <c r="N20" s="2891"/>
      <c r="O20" s="2891"/>
      <c r="P20" s="3458"/>
      <c r="Q20" s="1483"/>
      <c r="R20" s="711"/>
      <c r="S20" s="712"/>
      <c r="T20" s="711"/>
      <c r="U20" s="712"/>
      <c r="V20" s="711"/>
      <c r="W20" s="712"/>
      <c r="X20" s="1486"/>
      <c r="Y20" s="3460"/>
      <c r="Z20" s="1487"/>
      <c r="AA20" s="1484">
        <v>1</v>
      </c>
      <c r="AB20" s="1484">
        <v>1</v>
      </c>
      <c r="AC20" s="1484">
        <v>1</v>
      </c>
    </row>
    <row r="21" spans="1:29" ht="28.5">
      <c r="A21" s="386"/>
      <c r="B21" s="1242" t="s">
        <v>1704</v>
      </c>
      <c r="C21" s="203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458"/>
      <c r="Q21" s="1483" t="str">
        <f>B21</f>
        <v>基础设施水平</v>
      </c>
      <c r="R21" s="711" t="s">
        <v>17</v>
      </c>
      <c r="S21" s="712">
        <f>F21</f>
        <v>100</v>
      </c>
      <c r="T21" s="711" t="s">
        <v>17</v>
      </c>
      <c r="U21" s="712">
        <f>H21</f>
        <v>100</v>
      </c>
      <c r="V21" s="711" t="s">
        <v>17</v>
      </c>
      <c r="W21" s="712">
        <f>J21</f>
        <v>100</v>
      </c>
      <c r="X21" s="1486"/>
      <c r="Y21" s="3460"/>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6"/>
      <c r="G22" s="2037"/>
      <c r="H22" s="406"/>
      <c r="I22" s="405"/>
      <c r="J22" s="406"/>
      <c r="K22" s="2038"/>
      <c r="L22" s="2897"/>
      <c r="M22" s="2891"/>
      <c r="N22" s="2891"/>
      <c r="O22" s="2891"/>
      <c r="P22" s="3458"/>
      <c r="Q22" s="1483"/>
      <c r="R22" s="711"/>
      <c r="S22" s="712"/>
      <c r="T22" s="711"/>
      <c r="U22" s="712"/>
      <c r="V22" s="711"/>
      <c r="W22" s="712"/>
      <c r="X22" s="1486"/>
      <c r="Y22" s="3460"/>
      <c r="Z22" s="1487"/>
      <c r="AA22" s="1484">
        <v>1</v>
      </c>
      <c r="AB22" s="1484">
        <v>1</v>
      </c>
      <c r="AC22" s="1484">
        <v>1</v>
      </c>
    </row>
    <row r="23" spans="1:29" ht="57">
      <c r="A23" s="386"/>
      <c r="B23" s="409" t="s">
        <v>1705</v>
      </c>
      <c r="C23" s="203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458"/>
      <c r="Q23" s="1483" t="str">
        <f>B23</f>
        <v>自然及人文环境</v>
      </c>
      <c r="R23" s="711" t="s">
        <v>21</v>
      </c>
      <c r="S23" s="712">
        <f>F23</f>
        <v>100</v>
      </c>
      <c r="T23" s="711" t="s">
        <v>21</v>
      </c>
      <c r="U23" s="712">
        <f>H23</f>
        <v>100</v>
      </c>
      <c r="V23" s="711" t="s">
        <v>21</v>
      </c>
      <c r="W23" s="712">
        <f>J23</f>
        <v>100</v>
      </c>
      <c r="X23" s="1486"/>
      <c r="Y23" s="3460"/>
      <c r="Z23" s="1487" t="str">
        <f>Q23</f>
        <v>自然及人文环境</v>
      </c>
      <c r="AA23" s="1484">
        <f>D23/F23</f>
        <v>1</v>
      </c>
      <c r="AB23" s="1484">
        <f>D23/H23</f>
        <v>1</v>
      </c>
      <c r="AC23" s="1484">
        <f>D23/J23</f>
        <v>1</v>
      </c>
    </row>
    <row r="24" spans="1:29" ht="15">
      <c r="A24" s="386"/>
      <c r="B24" s="414"/>
      <c r="C24" s="405"/>
      <c r="D24" s="406"/>
      <c r="E24" s="2030"/>
      <c r="F24" s="406"/>
      <c r="G24" s="2031"/>
      <c r="H24" s="406"/>
      <c r="I24" s="2031"/>
      <c r="J24" s="406"/>
      <c r="K24" s="2032"/>
      <c r="L24" s="2897"/>
      <c r="M24" s="2891"/>
      <c r="N24" s="2891"/>
      <c r="O24" s="2891"/>
      <c r="P24" s="3458"/>
      <c r="Q24" s="1483"/>
      <c r="R24" s="711"/>
      <c r="S24" s="712"/>
      <c r="T24" s="711"/>
      <c r="U24" s="712"/>
      <c r="V24" s="711"/>
      <c r="W24" s="712"/>
      <c r="X24" s="1486"/>
      <c r="Y24" s="3460"/>
      <c r="Z24" s="1487"/>
      <c r="AA24" s="1484">
        <v>1</v>
      </c>
      <c r="AB24" s="1484">
        <v>1</v>
      </c>
      <c r="AC24" s="1484">
        <v>1</v>
      </c>
    </row>
    <row r="25" spans="1:29" ht="15">
      <c r="A25" s="386"/>
      <c r="B25" s="380" t="s">
        <v>2140</v>
      </c>
      <c r="C25" s="418"/>
      <c r="D25" s="393">
        <v>100</v>
      </c>
      <c r="E25" s="2039"/>
      <c r="F25" s="393">
        <f>SUMIF(86:86,E25,87:87)-SUMIF(86:86,C25,87:87)+100</f>
        <v>100</v>
      </c>
      <c r="G25" s="2040"/>
      <c r="H25" s="393">
        <f>SUMIF(86:86,G25,87:87)-SUMIF(86:86,C25,87:87)+100</f>
        <v>100</v>
      </c>
      <c r="I25" s="2040"/>
      <c r="J25" s="393">
        <f>SUMIF(86:86,I25,87:87)-SUMIF(86:86,C25,87:87)+100</f>
        <v>100</v>
      </c>
      <c r="K25" s="384"/>
      <c r="L25" s="2897"/>
      <c r="M25" s="2891"/>
      <c r="N25" s="2891"/>
      <c r="O25" s="2891"/>
      <c r="P25" s="3458"/>
      <c r="Q25" s="1483" t="str">
        <f t="shared" ref="Q25:Q46" si="11">B25</f>
        <v>楼层-1</v>
      </c>
      <c r="R25" s="711" t="s">
        <v>21</v>
      </c>
      <c r="S25" s="712">
        <f t="shared" ref="S25:S46" si="12">F25</f>
        <v>100</v>
      </c>
      <c r="T25" s="711" t="s">
        <v>21</v>
      </c>
      <c r="U25" s="712">
        <f t="shared" ref="U25:U46" si="13">H25</f>
        <v>100</v>
      </c>
      <c r="V25" s="711" t="s">
        <v>21</v>
      </c>
      <c r="W25" s="712">
        <f t="shared" ref="W25:W46" si="14">J25</f>
        <v>100</v>
      </c>
      <c r="X25" s="1486"/>
      <c r="Y25" s="3460"/>
      <c r="Z25" s="1487" t="str">
        <f>Q25</f>
        <v>楼层-1</v>
      </c>
      <c r="AA25" s="1484">
        <f t="shared" ref="AA25:AA46" si="15">D25/F25</f>
        <v>1</v>
      </c>
      <c r="AB25" s="1484">
        <f t="shared" ref="AB25:AB46" si="16">D25/H25</f>
        <v>1</v>
      </c>
      <c r="AC25" s="1484">
        <f t="shared" ref="AC25:AC46" si="17">D25/J25</f>
        <v>1</v>
      </c>
    </row>
    <row r="26" spans="1:29" ht="15">
      <c r="A26" s="386"/>
      <c r="B26" s="380" t="s">
        <v>2141</v>
      </c>
      <c r="C26" s="418"/>
      <c r="D26" s="393">
        <v>100</v>
      </c>
      <c r="E26" s="2039"/>
      <c r="F26" s="393">
        <f>SUMIF(88:88,E26,89:89)-SUMIF(88:88,C26,89:89)+100</f>
        <v>100</v>
      </c>
      <c r="G26" s="2040"/>
      <c r="H26" s="393">
        <f>SUMIF(88:88,G26,89:89)-SUMIF(88:88,C26,89:89)+100</f>
        <v>100</v>
      </c>
      <c r="I26" s="2040"/>
      <c r="J26" s="393">
        <f>SUMIF(88:88,I26,89:89)-SUMIF(88:88,C26,89:89)+100</f>
        <v>100</v>
      </c>
      <c r="K26" s="384"/>
      <c r="L26" s="2897"/>
      <c r="M26" s="2891"/>
      <c r="N26" s="2891"/>
      <c r="O26" s="2891"/>
      <c r="P26" s="3458"/>
      <c r="Q26" s="1483" t="str">
        <f t="shared" si="11"/>
        <v>朝向</v>
      </c>
      <c r="R26" s="711" t="s">
        <v>21</v>
      </c>
      <c r="S26" s="712">
        <f t="shared" si="12"/>
        <v>100</v>
      </c>
      <c r="T26" s="711" t="s">
        <v>21</v>
      </c>
      <c r="U26" s="712">
        <f t="shared" si="13"/>
        <v>100</v>
      </c>
      <c r="V26" s="711" t="s">
        <v>21</v>
      </c>
      <c r="W26" s="712">
        <f t="shared" si="14"/>
        <v>100</v>
      </c>
      <c r="X26" s="1486"/>
      <c r="Y26" s="3460"/>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7"/>
      <c r="L27" s="2892"/>
      <c r="M27" s="2893"/>
      <c r="N27" s="2893"/>
      <c r="O27" s="2893"/>
      <c r="P27" s="3458"/>
      <c r="Q27" s="1474">
        <f t="shared" si="11"/>
        <v>111</v>
      </c>
      <c r="R27" s="707" t="s">
        <v>21</v>
      </c>
      <c r="S27" s="708">
        <f t="shared" si="12"/>
        <v>100</v>
      </c>
      <c r="T27" s="707" t="s">
        <v>21</v>
      </c>
      <c r="U27" s="708">
        <f t="shared" si="13"/>
        <v>100</v>
      </c>
      <c r="V27" s="707" t="s">
        <v>21</v>
      </c>
      <c r="W27" s="708">
        <f t="shared" si="14"/>
        <v>100</v>
      </c>
      <c r="X27" s="709"/>
      <c r="Y27" s="3460"/>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1"/>
      <c r="H28" s="393">
        <f>SUMIF(92:92,G28,93:93)-SUMIF(92:92,C28,93:93)+100</f>
        <v>100</v>
      </c>
      <c r="I28" s="392"/>
      <c r="J28" s="393">
        <f>SUMIF(92:92,I28,93:93)-SUMIF(92:92,C28,93:93)+100</f>
        <v>100</v>
      </c>
      <c r="K28" s="2027"/>
      <c r="L28" s="2897"/>
      <c r="M28" s="2891"/>
      <c r="N28" s="2891"/>
      <c r="O28" s="2891"/>
      <c r="P28" s="3458"/>
      <c r="Q28" s="1483">
        <f t="shared" si="11"/>
        <v>111</v>
      </c>
      <c r="R28" s="711" t="s">
        <v>21</v>
      </c>
      <c r="S28" s="712">
        <f t="shared" si="12"/>
        <v>100</v>
      </c>
      <c r="T28" s="711" t="s">
        <v>21</v>
      </c>
      <c r="U28" s="712">
        <f t="shared" si="13"/>
        <v>100</v>
      </c>
      <c r="V28" s="711" t="s">
        <v>21</v>
      </c>
      <c r="W28" s="712">
        <f t="shared" si="14"/>
        <v>100</v>
      </c>
      <c r="X28" s="1486"/>
      <c r="Y28" s="3460"/>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1"/>
      <c r="H29" s="393">
        <f>SUMIF(94:94,G29,95:95)-SUMIF(94:94,C29,95:95)+100</f>
        <v>100</v>
      </c>
      <c r="I29" s="392"/>
      <c r="J29" s="393">
        <f>SUMIF(94:94,I29,95:95)-SUMIF(94:94,C29,95:95)+100</f>
        <v>100</v>
      </c>
      <c r="K29" s="2027"/>
      <c r="L29" s="2897"/>
      <c r="M29" s="2891"/>
      <c r="N29" s="2891"/>
      <c r="O29" s="2891"/>
      <c r="P29" s="3458"/>
      <c r="Q29" s="1483">
        <f t="shared" si="11"/>
        <v>111</v>
      </c>
      <c r="R29" s="711" t="s">
        <v>21</v>
      </c>
      <c r="S29" s="712">
        <f t="shared" si="12"/>
        <v>100</v>
      </c>
      <c r="T29" s="711" t="s">
        <v>21</v>
      </c>
      <c r="U29" s="712">
        <f t="shared" si="13"/>
        <v>100</v>
      </c>
      <c r="V29" s="711" t="s">
        <v>21</v>
      </c>
      <c r="W29" s="712">
        <f t="shared" si="14"/>
        <v>100</v>
      </c>
      <c r="X29" s="1486"/>
      <c r="Y29" s="3460"/>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1"/>
      <c r="H30" s="393">
        <f>SUMIF(96:96,G30,97:97)-SUMIF(96:96,C30,97:97)+100</f>
        <v>100</v>
      </c>
      <c r="I30" s="392"/>
      <c r="J30" s="393">
        <f>SUMIF(96:96,I30,97:97)-SUMIF(96:96,C30,97:97)+100</f>
        <v>100</v>
      </c>
      <c r="K30" s="2027"/>
      <c r="L30" s="2897"/>
      <c r="M30" s="2891"/>
      <c r="N30" s="2891"/>
      <c r="O30" s="2891"/>
      <c r="P30" s="3458"/>
      <c r="Q30" s="1483">
        <f t="shared" si="11"/>
        <v>111</v>
      </c>
      <c r="R30" s="711" t="s">
        <v>21</v>
      </c>
      <c r="S30" s="712">
        <f t="shared" si="12"/>
        <v>100</v>
      </c>
      <c r="T30" s="711" t="s">
        <v>21</v>
      </c>
      <c r="U30" s="712">
        <f t="shared" si="13"/>
        <v>100</v>
      </c>
      <c r="V30" s="711" t="s">
        <v>21</v>
      </c>
      <c r="W30" s="712">
        <f t="shared" si="14"/>
        <v>100</v>
      </c>
      <c r="X30" s="1486"/>
      <c r="Y30" s="3460"/>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2"/>
      <c r="H31" s="396">
        <f>SUMIF(98:98,G31,99:99)-SUMIF(98:98,C31,99:99)+100</f>
        <v>100</v>
      </c>
      <c r="I31" s="395"/>
      <c r="J31" s="396">
        <f>SUMIF(98:98,I31,99:99)-SUMIF(98:98,C31,99:99)+100</f>
        <v>100</v>
      </c>
      <c r="K31" s="2027"/>
      <c r="L31" s="2897"/>
      <c r="M31" s="2891"/>
      <c r="N31" s="2891"/>
      <c r="O31" s="2891"/>
      <c r="P31" s="3458"/>
      <c r="Q31" s="1483">
        <f t="shared" si="11"/>
        <v>111</v>
      </c>
      <c r="R31" s="711" t="s">
        <v>21</v>
      </c>
      <c r="S31" s="712">
        <f t="shared" si="12"/>
        <v>100</v>
      </c>
      <c r="T31" s="711" t="s">
        <v>21</v>
      </c>
      <c r="U31" s="712">
        <f t="shared" si="13"/>
        <v>100</v>
      </c>
      <c r="V31" s="711" t="s">
        <v>21</v>
      </c>
      <c r="W31" s="712">
        <f t="shared" si="14"/>
        <v>100</v>
      </c>
      <c r="X31" s="1486"/>
      <c r="Y31" s="3460"/>
      <c r="Z31" s="1487">
        <f t="shared" si="18"/>
        <v>111</v>
      </c>
      <c r="AA31" s="1484">
        <f t="shared" si="15"/>
        <v>1</v>
      </c>
      <c r="AB31" s="1484">
        <f t="shared" si="16"/>
        <v>1</v>
      </c>
      <c r="AC31" s="1484">
        <f t="shared" si="17"/>
        <v>1</v>
      </c>
    </row>
    <row r="32" spans="1:29" ht="15">
      <c r="A32" s="398" t="s">
        <v>2142</v>
      </c>
      <c r="B32" s="66" t="s">
        <v>2143</v>
      </c>
      <c r="C32" s="2043"/>
      <c r="D32" s="425">
        <v>100</v>
      </c>
      <c r="E32" s="2044"/>
      <c r="F32" s="419">
        <f>SUMIF(100:100,E32,101:101)-SUMIF(100:100,C32,101:101)+100</f>
        <v>100</v>
      </c>
      <c r="G32" s="2043"/>
      <c r="H32" s="425">
        <f>SUMIF(100:100,G32,101:101)-SUMIF(100:100,C32,101:101)+100</f>
        <v>100</v>
      </c>
      <c r="I32" s="2044"/>
      <c r="J32" s="393">
        <f>SUMIF(100:100,I32,101:101)-SUMIF(100:100,C32,101:101)+100</f>
        <v>100</v>
      </c>
      <c r="K32" s="384"/>
      <c r="L32" s="2897"/>
      <c r="M32" s="2891"/>
      <c r="N32" s="2891"/>
      <c r="O32" s="2891"/>
      <c r="P32" s="3461" t="s">
        <v>2144</v>
      </c>
      <c r="Q32" s="1483" t="str">
        <f t="shared" si="11"/>
        <v>建筑类型</v>
      </c>
      <c r="R32" s="711" t="s">
        <v>21</v>
      </c>
      <c r="S32" s="712">
        <f t="shared" si="12"/>
        <v>100</v>
      </c>
      <c r="T32" s="711" t="s">
        <v>21</v>
      </c>
      <c r="U32" s="712">
        <f t="shared" si="13"/>
        <v>100</v>
      </c>
      <c r="V32" s="711" t="s">
        <v>21</v>
      </c>
      <c r="W32" s="712">
        <f t="shared" si="14"/>
        <v>100</v>
      </c>
      <c r="X32" s="1486"/>
      <c r="Y32" s="3464" t="s">
        <v>2144</v>
      </c>
      <c r="Z32" s="1487" t="str">
        <f t="shared" si="18"/>
        <v>建筑类型</v>
      </c>
      <c r="AA32" s="1484">
        <f t="shared" si="15"/>
        <v>1</v>
      </c>
      <c r="AB32" s="1484">
        <f t="shared" si="16"/>
        <v>1</v>
      </c>
      <c r="AC32" s="1484">
        <f t="shared" si="17"/>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7"/>
      <c r="L33" s="2896"/>
      <c r="M33" s="2898"/>
      <c r="N33" s="2898"/>
      <c r="O33" s="2898"/>
      <c r="P33" s="3462"/>
      <c r="Q33" s="713" t="str">
        <f t="shared" si="11"/>
        <v>项目建筑规模</v>
      </c>
      <c r="R33" s="714" t="s">
        <v>21</v>
      </c>
      <c r="S33" s="715" t="e">
        <f t="shared" si="12"/>
        <v>#N/A</v>
      </c>
      <c r="T33" s="714" t="s">
        <v>21</v>
      </c>
      <c r="U33" s="715" t="e">
        <f t="shared" si="13"/>
        <v>#N/A</v>
      </c>
      <c r="V33" s="714" t="s">
        <v>21</v>
      </c>
      <c r="W33" s="715" t="e">
        <f t="shared" si="14"/>
        <v>#N/A</v>
      </c>
      <c r="X33" s="716"/>
      <c r="Y33" s="3464"/>
      <c r="Z33" s="717" t="str">
        <f t="shared" si="18"/>
        <v>项目建筑规模</v>
      </c>
      <c r="AA33" s="1484" t="e">
        <f t="shared" si="15"/>
        <v>#N/A</v>
      </c>
      <c r="AB33" s="1484" t="e">
        <f t="shared" si="16"/>
        <v>#N/A</v>
      </c>
      <c r="AC33" s="1484" t="e">
        <f t="shared" si="17"/>
        <v>#N/A</v>
      </c>
    </row>
    <row r="34" spans="1:29" ht="15">
      <c r="A34" s="430"/>
      <c r="B34" s="380" t="s">
        <v>2146</v>
      </c>
      <c r="C34" s="2045"/>
      <c r="D34" s="393">
        <v>100</v>
      </c>
      <c r="E34" s="2046"/>
      <c r="F34" s="419">
        <f>SUMIF(105:105,E34,106:106)-SUMIF(105:105,C34,106:106)+100</f>
        <v>100</v>
      </c>
      <c r="G34" s="2045"/>
      <c r="H34" s="393">
        <f>SUMIF(105:105,G34,106:106)-SUMIF(105:105,C34,106:106)+100</f>
        <v>100</v>
      </c>
      <c r="I34" s="2046"/>
      <c r="J34" s="393">
        <f>SUMIF(105:105,I34,106:106)-SUMIF(105:105,C34,106:106)+100</f>
        <v>100</v>
      </c>
      <c r="K34" s="384"/>
      <c r="L34" s="2897"/>
      <c r="M34" s="2891"/>
      <c r="N34" s="2891"/>
      <c r="O34" s="2891"/>
      <c r="P34" s="3462"/>
      <c r="Q34" s="1483" t="str">
        <f t="shared" si="11"/>
        <v>建筑结构</v>
      </c>
      <c r="R34" s="711" t="s">
        <v>21</v>
      </c>
      <c r="S34" s="712">
        <f t="shared" si="12"/>
        <v>100</v>
      </c>
      <c r="T34" s="711" t="s">
        <v>21</v>
      </c>
      <c r="U34" s="712">
        <f t="shared" si="13"/>
        <v>100</v>
      </c>
      <c r="V34" s="711" t="s">
        <v>21</v>
      </c>
      <c r="W34" s="712">
        <f t="shared" si="14"/>
        <v>100</v>
      </c>
      <c r="X34" s="1486"/>
      <c r="Y34" s="3464"/>
      <c r="Z34" s="1487" t="str">
        <f t="shared" si="18"/>
        <v>建筑结构</v>
      </c>
      <c r="AA34" s="1484">
        <f t="shared" si="15"/>
        <v>1</v>
      </c>
      <c r="AB34" s="1484">
        <f t="shared" si="16"/>
        <v>1</v>
      </c>
      <c r="AC34" s="1484">
        <f t="shared" si="17"/>
        <v>1</v>
      </c>
    </row>
    <row r="35" spans="1:29" ht="15">
      <c r="A35" s="430"/>
      <c r="B35" s="380" t="s">
        <v>2147</v>
      </c>
      <c r="C35" s="2039"/>
      <c r="D35" s="393">
        <v>100</v>
      </c>
      <c r="E35" s="2040"/>
      <c r="F35" s="419">
        <f>SUMIF(107:107,E35,108:108)-SUMIF(107:107,C35,108:108)+100</f>
        <v>100</v>
      </c>
      <c r="G35" s="2039"/>
      <c r="H35" s="393">
        <f>SUMIF(107:107,G35,108:108)-SUMIF(107:107,C35,108:108)+100</f>
        <v>100</v>
      </c>
      <c r="I35" s="2040"/>
      <c r="J35" s="393">
        <f>SUMIF(107:107,I35,108:108)-SUMIF(107:107,C35,108:108)+100</f>
        <v>100</v>
      </c>
      <c r="K35" s="384"/>
      <c r="L35" s="2897"/>
      <c r="M35" s="2891"/>
      <c r="N35" s="2891"/>
      <c r="O35" s="2891"/>
      <c r="P35" s="3462"/>
      <c r="Q35" s="1483" t="str">
        <f t="shared" si="11"/>
        <v>建筑品质</v>
      </c>
      <c r="R35" s="711" t="s">
        <v>21</v>
      </c>
      <c r="S35" s="712">
        <f t="shared" si="12"/>
        <v>100</v>
      </c>
      <c r="T35" s="711" t="s">
        <v>21</v>
      </c>
      <c r="U35" s="712">
        <f t="shared" si="13"/>
        <v>100</v>
      </c>
      <c r="V35" s="711" t="s">
        <v>21</v>
      </c>
      <c r="W35" s="712">
        <f t="shared" si="14"/>
        <v>100</v>
      </c>
      <c r="X35" s="1486"/>
      <c r="Y35" s="3464"/>
      <c r="Z35" s="1487" t="str">
        <f t="shared" si="18"/>
        <v>建筑品质</v>
      </c>
      <c r="AA35" s="1484">
        <f t="shared" si="15"/>
        <v>1</v>
      </c>
      <c r="AB35" s="1484">
        <f t="shared" si="16"/>
        <v>1</v>
      </c>
      <c r="AC35" s="1484">
        <f t="shared" si="17"/>
        <v>1</v>
      </c>
    </row>
    <row r="36" spans="1:29" ht="15">
      <c r="A36" s="430"/>
      <c r="B36" s="380" t="s">
        <v>2148</v>
      </c>
      <c r="C36" s="2039"/>
      <c r="D36" s="393">
        <v>100</v>
      </c>
      <c r="E36" s="2040"/>
      <c r="F36" s="419">
        <f>SUMIF(109:109,E36,110:110)-SUMIF(109:109,C36,110:110)+100</f>
        <v>100</v>
      </c>
      <c r="G36" s="2039"/>
      <c r="H36" s="393">
        <f>SUMIF(109:109,G36,110:110)-SUMIF(109:109,C36,110:110)+100</f>
        <v>100</v>
      </c>
      <c r="I36" s="2040"/>
      <c r="J36" s="393">
        <f>SUMIF(109:109,I36,110:110)-SUMIF(109:109,C36,110:110)+100</f>
        <v>100</v>
      </c>
      <c r="K36" s="384"/>
      <c r="L36" s="2897"/>
      <c r="M36" s="2891"/>
      <c r="N36" s="2891"/>
      <c r="O36" s="2891"/>
      <c r="P36" s="3462"/>
      <c r="Q36" s="1483" t="str">
        <f t="shared" si="11"/>
        <v>公共部分装修</v>
      </c>
      <c r="R36" s="711" t="s">
        <v>21</v>
      </c>
      <c r="S36" s="712">
        <f t="shared" si="12"/>
        <v>100</v>
      </c>
      <c r="T36" s="711" t="s">
        <v>21</v>
      </c>
      <c r="U36" s="712">
        <f t="shared" si="13"/>
        <v>100</v>
      </c>
      <c r="V36" s="711" t="s">
        <v>21</v>
      </c>
      <c r="W36" s="712">
        <f t="shared" si="14"/>
        <v>100</v>
      </c>
      <c r="X36" s="1486"/>
      <c r="Y36" s="3464"/>
      <c r="Z36" s="1487" t="str">
        <f t="shared" si="18"/>
        <v>公共部分装修</v>
      </c>
      <c r="AA36" s="1484">
        <f t="shared" si="15"/>
        <v>1</v>
      </c>
      <c r="AB36" s="1484">
        <f t="shared" si="16"/>
        <v>1</v>
      </c>
      <c r="AC36" s="1484">
        <f t="shared" si="17"/>
        <v>1</v>
      </c>
    </row>
    <row r="37" spans="1:29" s="112" customFormat="1" ht="15">
      <c r="A37" s="431"/>
      <c r="B37" s="380" t="s">
        <v>2149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462"/>
      <c r="Q37" s="1474" t="str">
        <f t="shared" si="11"/>
        <v>成新度</v>
      </c>
      <c r="R37" s="707" t="s">
        <v>21</v>
      </c>
      <c r="S37" s="708" t="e">
        <f t="shared" si="12"/>
        <v>#N/A</v>
      </c>
      <c r="T37" s="707" t="s">
        <v>21</v>
      </c>
      <c r="U37" s="708" t="e">
        <f t="shared" si="13"/>
        <v>#N/A</v>
      </c>
      <c r="V37" s="707" t="s">
        <v>21</v>
      </c>
      <c r="W37" s="708" t="e">
        <f t="shared" si="14"/>
        <v>#N/A</v>
      </c>
      <c r="X37" s="709"/>
      <c r="Y37" s="3464"/>
      <c r="Z37" s="54" t="str">
        <f t="shared" si="18"/>
        <v>成新度</v>
      </c>
      <c r="AA37" s="710" t="e">
        <f t="shared" si="15"/>
        <v>#N/A</v>
      </c>
      <c r="AB37" s="710" t="e">
        <f t="shared" si="16"/>
        <v>#N/A</v>
      </c>
      <c r="AC37" s="710" t="e">
        <f t="shared" si="17"/>
        <v>#N/A</v>
      </c>
    </row>
    <row r="38" spans="1:29" ht="15">
      <c r="A38" s="430"/>
      <c r="B38" s="380" t="s">
        <v>2150</v>
      </c>
      <c r="C38" s="2039"/>
      <c r="D38" s="393">
        <v>100</v>
      </c>
      <c r="E38" s="2040"/>
      <c r="F38" s="419">
        <f>SUMIF(114:114,E38,115:115)-SUMIF(114:114,C38,115:115)+100</f>
        <v>100</v>
      </c>
      <c r="G38" s="2039"/>
      <c r="H38" s="393">
        <f>SUMIF(114:114,G38,115:115)-SUMIF(114:114,C38,115:115)+100</f>
        <v>100</v>
      </c>
      <c r="I38" s="2040"/>
      <c r="J38" s="393">
        <f>SUMIF(114:114,I38,115:115)-SUMIF(114:114,C38,115:115)+100</f>
        <v>100</v>
      </c>
      <c r="K38" s="384"/>
      <c r="L38" s="2897"/>
      <c r="M38" s="2891"/>
      <c r="N38" s="2891"/>
      <c r="O38" s="2891"/>
      <c r="P38" s="3462" t="s">
        <v>2144</v>
      </c>
      <c r="Q38" s="1483" t="str">
        <f t="shared" si="11"/>
        <v>物业管理</v>
      </c>
      <c r="R38" s="711" t="s">
        <v>21</v>
      </c>
      <c r="S38" s="712">
        <f t="shared" si="12"/>
        <v>100</v>
      </c>
      <c r="T38" s="711" t="s">
        <v>21</v>
      </c>
      <c r="U38" s="712">
        <f t="shared" si="13"/>
        <v>100</v>
      </c>
      <c r="V38" s="711" t="s">
        <v>21</v>
      </c>
      <c r="W38" s="712">
        <f t="shared" si="14"/>
        <v>100</v>
      </c>
      <c r="X38" s="1486"/>
      <c r="Y38" s="3464" t="s">
        <v>2144</v>
      </c>
      <c r="Z38" s="1487" t="str">
        <f t="shared" si="18"/>
        <v>物业管理</v>
      </c>
      <c r="AA38" s="1484">
        <f t="shared" si="15"/>
        <v>1</v>
      </c>
      <c r="AB38" s="1484">
        <f t="shared" si="16"/>
        <v>1</v>
      </c>
      <c r="AC38" s="1484">
        <f t="shared" si="17"/>
        <v>1</v>
      </c>
    </row>
    <row r="39" spans="1:29" ht="15">
      <c r="A39" s="430"/>
      <c r="B39" s="380" t="s">
        <v>2151</v>
      </c>
      <c r="C39" s="2039"/>
      <c r="D39" s="393">
        <v>100</v>
      </c>
      <c r="E39" s="2040"/>
      <c r="F39" s="419">
        <f>SUMIF(116:116,E39,117:117)-SUMIF(116:116,C39,117:117)+100</f>
        <v>100</v>
      </c>
      <c r="G39" s="2039"/>
      <c r="H39" s="393">
        <f>SUMIF(116:116,G39,117:117)-SUMIF(116:116,C39,117:117)+100</f>
        <v>100</v>
      </c>
      <c r="I39" s="2040"/>
      <c r="J39" s="393">
        <f>SUMIF(116:116,I39,117:117)-SUMIF(116:116,C39,117:117)+100</f>
        <v>100</v>
      </c>
      <c r="K39" s="384"/>
      <c r="L39" s="2897"/>
      <c r="M39" s="2891"/>
      <c r="N39" s="2891"/>
      <c r="O39" s="2891"/>
      <c r="P39" s="3462"/>
      <c r="Q39" s="1483" t="str">
        <f t="shared" si="11"/>
        <v>市政基础设施</v>
      </c>
      <c r="R39" s="711" t="s">
        <v>21</v>
      </c>
      <c r="S39" s="712">
        <f t="shared" si="12"/>
        <v>100</v>
      </c>
      <c r="T39" s="711" t="s">
        <v>21</v>
      </c>
      <c r="U39" s="712">
        <f t="shared" si="13"/>
        <v>100</v>
      </c>
      <c r="V39" s="711" t="s">
        <v>21</v>
      </c>
      <c r="W39" s="712">
        <f t="shared" si="14"/>
        <v>100</v>
      </c>
      <c r="X39" s="1486"/>
      <c r="Y39" s="3464"/>
      <c r="Z39" s="1487" t="str">
        <f t="shared" si="18"/>
        <v>市政基础设施</v>
      </c>
      <c r="AA39" s="1484">
        <f t="shared" si="15"/>
        <v>1</v>
      </c>
      <c r="AB39" s="1484">
        <f t="shared" si="16"/>
        <v>1</v>
      </c>
      <c r="AC39" s="1484">
        <f t="shared" si="17"/>
        <v>1</v>
      </c>
    </row>
    <row r="40" spans="1:29" ht="15">
      <c r="A40" s="430"/>
      <c r="B40" s="380" t="s">
        <v>2152</v>
      </c>
      <c r="C40" s="2039"/>
      <c r="D40" s="393">
        <v>100</v>
      </c>
      <c r="E40" s="2040"/>
      <c r="F40" s="419">
        <f>SUMIF(118:118,E40,119:119)-SUMIF(118:118,C40,119:119)+100</f>
        <v>100</v>
      </c>
      <c r="G40" s="2039"/>
      <c r="H40" s="393">
        <f>SUMIF(118:118,G40,119:119)-SUMIF(118:118,C40,119:119)+100</f>
        <v>100</v>
      </c>
      <c r="I40" s="2040"/>
      <c r="J40" s="393">
        <f>SUMIF(118:118,I40,119:119)-SUMIF(118:118,C40,119:119)+100</f>
        <v>100</v>
      </c>
      <c r="K40" s="384"/>
      <c r="L40" s="2897"/>
      <c r="M40" s="2891"/>
      <c r="N40" s="2891"/>
      <c r="O40" s="2891"/>
      <c r="P40" s="3462"/>
      <c r="Q40" s="1483" t="str">
        <f t="shared" si="11"/>
        <v>房型</v>
      </c>
      <c r="R40" s="711" t="s">
        <v>21</v>
      </c>
      <c r="S40" s="712">
        <f t="shared" si="12"/>
        <v>100</v>
      </c>
      <c r="T40" s="711" t="s">
        <v>21</v>
      </c>
      <c r="U40" s="712">
        <f t="shared" si="13"/>
        <v>100</v>
      </c>
      <c r="V40" s="711" t="s">
        <v>21</v>
      </c>
      <c r="W40" s="712">
        <f t="shared" si="14"/>
        <v>100</v>
      </c>
      <c r="X40" s="1486"/>
      <c r="Y40" s="3464"/>
      <c r="Z40" s="1487" t="str">
        <f t="shared" si="18"/>
        <v>房型</v>
      </c>
      <c r="AA40" s="1484">
        <f t="shared" si="15"/>
        <v>1</v>
      </c>
      <c r="AB40" s="1484">
        <f t="shared" si="16"/>
        <v>1</v>
      </c>
      <c r="AC40" s="1484">
        <f t="shared" si="17"/>
        <v>1</v>
      </c>
    </row>
    <row r="41" spans="1:29" s="429" customFormat="1" ht="28.5">
      <c r="A41" s="426"/>
      <c r="B41" s="380" t="s">
        <v>2153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7"/>
      <c r="L41" s="2896"/>
      <c r="M41" s="2898"/>
      <c r="N41" s="2898"/>
      <c r="O41" s="2898"/>
      <c r="P41" s="3462"/>
      <c r="Q41" s="713" t="str">
        <f t="shared" si="11"/>
        <v>单套/主力户型建筑面积</v>
      </c>
      <c r="R41" s="714" t="s">
        <v>21</v>
      </c>
      <c r="S41" s="715">
        <f t="shared" si="12"/>
        <v>100</v>
      </c>
      <c r="T41" s="714" t="s">
        <v>21</v>
      </c>
      <c r="U41" s="715">
        <f t="shared" si="13"/>
        <v>100</v>
      </c>
      <c r="V41" s="714" t="s">
        <v>21</v>
      </c>
      <c r="W41" s="715">
        <f t="shared" si="14"/>
        <v>100</v>
      </c>
      <c r="X41" s="716"/>
      <c r="Y41" s="3464"/>
      <c r="Z41" s="717" t="str">
        <f t="shared" si="18"/>
        <v>单套/主力户型建筑面积</v>
      </c>
      <c r="AA41" s="1484">
        <f t="shared" si="15"/>
        <v>1</v>
      </c>
      <c r="AB41" s="1484">
        <f t="shared" si="16"/>
        <v>1</v>
      </c>
      <c r="AC41" s="1484">
        <f t="shared" si="17"/>
        <v>1</v>
      </c>
    </row>
    <row r="42" spans="1:29" ht="15">
      <c r="A42" s="430"/>
      <c r="B42" s="380" t="s">
        <v>2154</v>
      </c>
      <c r="C42" s="2039"/>
      <c r="D42" s="393">
        <v>100</v>
      </c>
      <c r="E42" s="2040"/>
      <c r="F42" s="419">
        <f>SUMIF(122:122,E42,123:123)-SUMIF(122:122,C42,123:123)+100</f>
        <v>100</v>
      </c>
      <c r="G42" s="2039"/>
      <c r="H42" s="393">
        <f>SUMIF(122:122,G42,123:123)-SUMIF(122:122,C42,123:123)+100</f>
        <v>100</v>
      </c>
      <c r="I42" s="2040"/>
      <c r="J42" s="393">
        <f>SUMIF(122:122,I42,123:123)-SUMIF(122:122,C42,123:123)+100</f>
        <v>100</v>
      </c>
      <c r="K42" s="384"/>
      <c r="L42" s="2897"/>
      <c r="M42" s="2891"/>
      <c r="N42" s="2891"/>
      <c r="O42" s="2891"/>
      <c r="P42" s="3462"/>
      <c r="Q42" s="1483" t="str">
        <f t="shared" si="11"/>
        <v>内部装修</v>
      </c>
      <c r="R42" s="711" t="s">
        <v>21</v>
      </c>
      <c r="S42" s="712">
        <f t="shared" si="12"/>
        <v>100</v>
      </c>
      <c r="T42" s="711" t="s">
        <v>21</v>
      </c>
      <c r="U42" s="712">
        <f t="shared" si="13"/>
        <v>100</v>
      </c>
      <c r="V42" s="711" t="s">
        <v>21</v>
      </c>
      <c r="W42" s="712">
        <f t="shared" si="14"/>
        <v>100</v>
      </c>
      <c r="X42" s="1486"/>
      <c r="Y42" s="3464"/>
      <c r="Z42" s="1487" t="str">
        <f t="shared" si="18"/>
        <v>内部装修</v>
      </c>
      <c r="AA42" s="1484">
        <f t="shared" si="15"/>
        <v>1</v>
      </c>
      <c r="AB42" s="1484">
        <f t="shared" si="16"/>
        <v>1</v>
      </c>
      <c r="AC42" s="1484">
        <f t="shared" si="17"/>
        <v>1</v>
      </c>
    </row>
    <row r="43" spans="1:29" ht="15">
      <c r="A43" s="430"/>
      <c r="B43" s="380" t="s">
        <v>2155</v>
      </c>
      <c r="C43" s="2039"/>
      <c r="D43" s="393">
        <v>100</v>
      </c>
      <c r="E43" s="2040"/>
      <c r="F43" s="419">
        <f>SUMIF(124:124,E43,125:125)-SUMIF(124:124,C43,125:125)+100</f>
        <v>100</v>
      </c>
      <c r="G43" s="2039"/>
      <c r="H43" s="393">
        <f>SUMIF(124:124,G43,125:125)-SUMIF(124:124,C43,125:125)+100</f>
        <v>100</v>
      </c>
      <c r="I43" s="2040"/>
      <c r="J43" s="393">
        <f>SUMIF(124:124,I43,125:125)-SUMIF(124:124,C43,125:125)+100</f>
        <v>100</v>
      </c>
      <c r="K43" s="384"/>
      <c r="L43" s="2897"/>
      <c r="M43" s="2891"/>
      <c r="N43" s="2891"/>
      <c r="O43" s="2891"/>
      <c r="P43" s="3462"/>
      <c r="Q43" s="1483" t="str">
        <f t="shared" si="11"/>
        <v>内部装修维护情况</v>
      </c>
      <c r="R43" s="711" t="s">
        <v>21</v>
      </c>
      <c r="S43" s="712">
        <f t="shared" si="12"/>
        <v>100</v>
      </c>
      <c r="T43" s="711" t="s">
        <v>21</v>
      </c>
      <c r="U43" s="712">
        <f t="shared" si="13"/>
        <v>100</v>
      </c>
      <c r="V43" s="711" t="s">
        <v>21</v>
      </c>
      <c r="W43" s="712">
        <f t="shared" si="14"/>
        <v>100</v>
      </c>
      <c r="X43" s="1486"/>
      <c r="Y43" s="3464"/>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7"/>
      <c r="L44" s="2892"/>
      <c r="M44" s="2893"/>
      <c r="N44" s="2893"/>
      <c r="O44" s="2893"/>
      <c r="P44" s="3462"/>
      <c r="Q44" s="1474">
        <f t="shared" si="11"/>
        <v>111</v>
      </c>
      <c r="R44" s="707" t="s">
        <v>21</v>
      </c>
      <c r="S44" s="708">
        <f t="shared" si="12"/>
        <v>100</v>
      </c>
      <c r="T44" s="707" t="s">
        <v>21</v>
      </c>
      <c r="U44" s="708">
        <f t="shared" si="13"/>
        <v>100</v>
      </c>
      <c r="V44" s="707" t="s">
        <v>21</v>
      </c>
      <c r="W44" s="708">
        <f t="shared" si="14"/>
        <v>100</v>
      </c>
      <c r="X44" s="709"/>
      <c r="Y44" s="3464"/>
      <c r="Z44" s="54">
        <f t="shared" si="18"/>
        <v>111</v>
      </c>
      <c r="AA44" s="710">
        <f t="shared" si="15"/>
        <v>1</v>
      </c>
      <c r="AB44" s="710">
        <f t="shared" si="16"/>
        <v>1</v>
      </c>
      <c r="AC44" s="710">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7"/>
      <c r="L45" s="2897"/>
      <c r="M45" s="2891"/>
      <c r="N45" s="2891"/>
      <c r="O45" s="2891"/>
      <c r="P45" s="3462"/>
      <c r="Q45" s="1483">
        <f t="shared" si="11"/>
        <v>111</v>
      </c>
      <c r="R45" s="711" t="s">
        <v>21</v>
      </c>
      <c r="S45" s="712">
        <f t="shared" si="12"/>
        <v>100</v>
      </c>
      <c r="T45" s="711" t="s">
        <v>21</v>
      </c>
      <c r="U45" s="712">
        <f t="shared" si="13"/>
        <v>100</v>
      </c>
      <c r="V45" s="711" t="s">
        <v>21</v>
      </c>
      <c r="W45" s="712">
        <f t="shared" si="14"/>
        <v>100</v>
      </c>
      <c r="X45" s="1486"/>
      <c r="Y45" s="3464"/>
      <c r="Z45" s="1487">
        <f t="shared" si="18"/>
        <v>111</v>
      </c>
      <c r="AA45" s="1484">
        <f t="shared" si="15"/>
        <v>1</v>
      </c>
      <c r="AB45" s="1484">
        <f t="shared" si="16"/>
        <v>1</v>
      </c>
      <c r="AC45" s="1484">
        <f t="shared" si="17"/>
        <v>1</v>
      </c>
    </row>
    <row r="46" spans="1:29" ht="15.75" thickBot="1">
      <c r="A46" s="436"/>
      <c r="B46" s="202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7"/>
      <c r="L46" s="2897"/>
      <c r="M46" s="2891"/>
      <c r="N46" s="2891"/>
      <c r="O46" s="2891"/>
      <c r="P46" s="3463"/>
      <c r="Q46" s="1483">
        <f t="shared" si="11"/>
        <v>111</v>
      </c>
      <c r="R46" s="711" t="s">
        <v>20</v>
      </c>
      <c r="S46" s="712">
        <f t="shared" si="12"/>
        <v>100</v>
      </c>
      <c r="T46" s="711" t="s">
        <v>20</v>
      </c>
      <c r="U46" s="712">
        <f t="shared" si="13"/>
        <v>100</v>
      </c>
      <c r="V46" s="711" t="s">
        <v>20</v>
      </c>
      <c r="W46" s="712">
        <f t="shared" si="14"/>
        <v>100</v>
      </c>
      <c r="X46" s="1486"/>
      <c r="Y46" s="3465"/>
      <c r="Z46" s="1487">
        <f t="shared" si="18"/>
        <v>111</v>
      </c>
      <c r="AA46" s="1484">
        <f t="shared" si="15"/>
        <v>1</v>
      </c>
      <c r="AB46" s="1484">
        <f t="shared" si="16"/>
        <v>1</v>
      </c>
      <c r="AC46" s="1484">
        <f t="shared" si="17"/>
        <v>1</v>
      </c>
    </row>
    <row r="47" spans="1:29" ht="15">
      <c r="A47" s="437" t="s">
        <v>2156</v>
      </c>
      <c r="B47" s="438"/>
      <c r="C47" s="1265" t="s">
        <v>19</v>
      </c>
      <c r="D47" s="1266"/>
      <c r="E47" s="1267"/>
      <c r="F47" s="1268"/>
      <c r="G47" s="1269"/>
      <c r="H47" s="1270"/>
      <c r="I47" s="1267"/>
      <c r="J47" s="1270"/>
      <c r="K47" s="2047"/>
      <c r="L47" s="2899"/>
      <c r="M47" s="2900"/>
      <c r="N47" s="2891"/>
      <c r="O47" s="2900"/>
      <c r="P47" s="3452" t="str">
        <f>A47</f>
        <v>成交单价（元/平方米）</v>
      </c>
      <c r="Q47" s="3452"/>
      <c r="R47" s="3453">
        <f>E47</f>
        <v>0</v>
      </c>
      <c r="S47" s="3453"/>
      <c r="T47" s="3453">
        <f>G47</f>
        <v>0</v>
      </c>
      <c r="U47" s="3453"/>
      <c r="V47" s="3453">
        <f>I47</f>
        <v>0</v>
      </c>
      <c r="W47" s="3453"/>
      <c r="X47" s="696"/>
      <c r="Y47" s="718"/>
      <c r="Z47" s="696"/>
      <c r="AA47" s="696"/>
      <c r="AB47" s="696"/>
      <c r="AC47" s="696"/>
    </row>
    <row r="48" spans="1:29" ht="15.75" thickBot="1">
      <c r="A48" s="444" t="s">
        <v>2157</v>
      </c>
      <c r="B48" s="445"/>
      <c r="C48" s="1271" t="e">
        <f>R49</f>
        <v>#DIV/0!</v>
      </c>
      <c r="D48" s="2485" t="s">
        <v>2637</v>
      </c>
      <c r="E48" s="1272" t="e">
        <f>R48</f>
        <v>#DIV/0!</v>
      </c>
      <c r="F48" s="2486"/>
      <c r="G48" s="1271" t="e">
        <f>T48</f>
        <v>#DIV/0!</v>
      </c>
      <c r="H48" s="2486"/>
      <c r="I48" s="1272" t="e">
        <f>V48</f>
        <v>#DIV/0!</v>
      </c>
      <c r="J48" s="2486"/>
      <c r="K48" s="2487">
        <f>F48+H48+J48</f>
        <v>0</v>
      </c>
      <c r="L48" s="2899"/>
      <c r="M48" s="2900"/>
      <c r="N48" s="2900"/>
      <c r="O48" s="2900"/>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6"/>
      <c r="Y48" s="696"/>
      <c r="Z48" s="696"/>
      <c r="AA48" s="696"/>
      <c r="AB48" s="696"/>
      <c r="AC48" s="696"/>
    </row>
    <row r="49" spans="1:29" ht="15.75" thickBot="1">
      <c r="A49" s="448" t="s">
        <v>2158</v>
      </c>
      <c r="B49" s="449"/>
      <c r="C49" s="1273" t="e">
        <f>R49</f>
        <v>#DIV/0!</v>
      </c>
      <c r="D49" s="1274"/>
      <c r="E49" s="1274"/>
      <c r="F49" s="1274"/>
      <c r="G49" s="1274"/>
      <c r="H49" s="1274"/>
      <c r="I49" s="1274"/>
      <c r="J49" s="1274"/>
      <c r="K49" s="2048"/>
      <c r="L49" s="2899"/>
      <c r="M49" s="2900"/>
      <c r="N49" s="2900"/>
      <c r="O49" s="2900"/>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0"/>
    </row>
    <row r="55" spans="1:29" s="458"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0" t="s">
        <v>2162</v>
      </c>
      <c r="B57" s="696"/>
      <c r="C57" s="701"/>
      <c r="D57" s="701"/>
      <c r="E57" s="701"/>
      <c r="F57" s="702"/>
      <c r="G57" s="702"/>
      <c r="H57" s="701"/>
      <c r="I57" s="701"/>
      <c r="J57" s="701"/>
      <c r="K57" s="1050"/>
      <c r="L57" s="1051"/>
      <c r="M57" s="1049"/>
      <c r="N57" s="1049"/>
      <c r="O57" s="1049"/>
      <c r="P57" s="2051"/>
      <c r="Q57" s="460"/>
    </row>
    <row r="58" spans="1:29" s="464" customFormat="1" ht="15">
      <c r="A58" s="461" t="s">
        <v>2163</v>
      </c>
      <c r="B58" s="462"/>
      <c r="C58" s="1297" t="str">
        <f>YEAR(C7)&amp;"-"&amp;MONTH(C7)</f>
        <v>2022-9</v>
      </c>
      <c r="D58" s="1296">
        <f>EDATE(C58,-1)</f>
        <v>44774</v>
      </c>
      <c r="E58" s="1296">
        <f>EDATE(D58,-1)</f>
        <v>44743</v>
      </c>
      <c r="F58" s="1296">
        <f t="shared" ref="F58:O58" si="19">EDATE(E58,-1)</f>
        <v>44713</v>
      </c>
      <c r="G58" s="1296">
        <f t="shared" si="19"/>
        <v>44682</v>
      </c>
      <c r="H58" s="1296">
        <f t="shared" si="19"/>
        <v>44652</v>
      </c>
      <c r="I58" s="1296">
        <f t="shared" si="19"/>
        <v>44621</v>
      </c>
      <c r="J58" s="1296">
        <f t="shared" si="19"/>
        <v>44593</v>
      </c>
      <c r="K58" s="1296">
        <f t="shared" si="19"/>
        <v>44562</v>
      </c>
      <c r="L58" s="1296">
        <f t="shared" si="19"/>
        <v>44531</v>
      </c>
      <c r="M58" s="1296">
        <f t="shared" si="19"/>
        <v>44501</v>
      </c>
      <c r="N58" s="1296">
        <f t="shared" si="19"/>
        <v>44470</v>
      </c>
      <c r="O58" s="1296">
        <f t="shared" si="19"/>
        <v>44440</v>
      </c>
      <c r="P58" s="1292"/>
    </row>
    <row r="59" spans="1:29" s="112" customFormat="1" ht="15">
      <c r="A59" s="465"/>
      <c r="B59" s="2052"/>
      <c r="C59" s="1294">
        <v>100</v>
      </c>
      <c r="D59" s="467"/>
      <c r="E59" s="468"/>
      <c r="F59" s="468"/>
      <c r="G59" s="468"/>
      <c r="H59" s="468"/>
      <c r="I59" s="468"/>
      <c r="J59" s="468"/>
      <c r="K59" s="468"/>
      <c r="L59" s="468"/>
      <c r="M59" s="469"/>
      <c r="N59" s="468"/>
      <c r="O59" s="469"/>
      <c r="P59" s="2053"/>
    </row>
    <row r="60" spans="1:29" s="112" customFormat="1" ht="15.75" thickBot="1">
      <c r="A60" s="471" t="s">
        <v>2164</v>
      </c>
      <c r="B60" s="472"/>
      <c r="C60" s="473"/>
      <c r="D60" s="474"/>
      <c r="E60" s="474"/>
      <c r="F60" s="474"/>
      <c r="G60" s="474"/>
      <c r="H60" s="474"/>
      <c r="I60" s="474"/>
      <c r="J60" s="474"/>
      <c r="K60" s="474"/>
      <c r="L60" s="474"/>
      <c r="M60" s="475"/>
      <c r="N60" s="474"/>
      <c r="O60" s="475"/>
      <c r="P60" s="2053"/>
      <c r="Q60" s="460"/>
    </row>
    <row r="61" spans="1:29" s="112" customFormat="1" ht="15">
      <c r="A61" s="477" t="s">
        <v>2165</v>
      </c>
      <c r="B61" s="466"/>
      <c r="C61" s="478" t="s">
        <v>2166</v>
      </c>
      <c r="D61" s="479"/>
      <c r="E61" s="479"/>
      <c r="F61" s="479"/>
      <c r="G61" s="479"/>
      <c r="H61" s="479"/>
      <c r="I61" s="479"/>
      <c r="J61" s="479"/>
      <c r="K61" s="479"/>
      <c r="L61" s="480"/>
      <c r="M61" s="481"/>
      <c r="N61" s="1041"/>
      <c r="O61" s="1041"/>
      <c r="P61" s="2054"/>
      <c r="Q61" s="460"/>
    </row>
    <row r="62" spans="1:29" s="112" customFormat="1" ht="15.75" thickBot="1">
      <c r="A62" s="477"/>
      <c r="B62" s="466"/>
      <c r="C62" s="467">
        <v>100</v>
      </c>
      <c r="D62" s="468"/>
      <c r="E62" s="468"/>
      <c r="F62" s="468"/>
      <c r="G62" s="468"/>
      <c r="H62" s="468"/>
      <c r="I62" s="468"/>
      <c r="J62" s="468"/>
      <c r="K62" s="468"/>
      <c r="L62" s="468"/>
      <c r="M62" s="470"/>
      <c r="N62" s="1041"/>
      <c r="O62" s="1041"/>
      <c r="P62" s="2053"/>
      <c r="Q62" s="460"/>
    </row>
    <row r="63" spans="1:29">
      <c r="A63" s="483" t="s">
        <v>2167</v>
      </c>
      <c r="B63" s="484" t="s">
        <v>2133</v>
      </c>
      <c r="C63" s="485">
        <f>C9</f>
        <v>0</v>
      </c>
      <c r="D63" s="486"/>
      <c r="E63" s="486"/>
      <c r="F63" s="486"/>
      <c r="G63" s="486"/>
      <c r="H63" s="486"/>
      <c r="I63" s="486"/>
      <c r="J63" s="486"/>
      <c r="K63" s="487"/>
      <c r="L63" s="488"/>
      <c r="M63" s="489"/>
      <c r="N63" s="1042"/>
      <c r="O63" s="1042"/>
      <c r="P63" s="2055"/>
      <c r="Q63" s="460"/>
    </row>
    <row r="64" spans="1:29" ht="15.75" thickBot="1">
      <c r="A64" s="490"/>
      <c r="B64" s="491"/>
      <c r="C64" s="492">
        <v>100</v>
      </c>
      <c r="D64" s="492"/>
      <c r="E64" s="492"/>
      <c r="F64" s="492"/>
      <c r="G64" s="492"/>
      <c r="H64" s="492"/>
      <c r="I64" s="492"/>
      <c r="J64" s="492"/>
      <c r="K64" s="492"/>
      <c r="L64" s="492"/>
      <c r="M64" s="493"/>
      <c r="N64" s="1043"/>
      <c r="O64" s="1043"/>
      <c r="P64" s="2055"/>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2"/>
      <c r="O65" s="1042"/>
      <c r="P65" s="205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3"/>
      <c r="O66" s="1043"/>
      <c r="P66" s="2055"/>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3"/>
      <c r="O67" s="1043"/>
      <c r="P67" s="2055"/>
      <c r="Q67" s="460"/>
    </row>
    <row r="68" spans="1:17" ht="15">
      <c r="A68" s="490"/>
      <c r="B68" s="504"/>
      <c r="C68" s="505"/>
      <c r="D68" s="505"/>
      <c r="E68" s="505"/>
      <c r="F68" s="505"/>
      <c r="G68" s="505"/>
      <c r="H68" s="505"/>
      <c r="I68" s="505"/>
      <c r="J68" s="505"/>
      <c r="K68" s="506"/>
      <c r="L68" s="507"/>
      <c r="M68" s="508"/>
      <c r="N68" s="1042"/>
      <c r="O68" s="1042"/>
      <c r="P68" s="205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3"/>
      <c r="O69" s="1043"/>
      <c r="P69" s="2055"/>
      <c r="Q69" s="460"/>
    </row>
    <row r="70" spans="1:17" s="429" customFormat="1" ht="15.75" thickTop="1">
      <c r="A70" s="509"/>
      <c r="B70" s="494">
        <f>B12</f>
        <v>111</v>
      </c>
      <c r="C70" s="510"/>
      <c r="D70" s="510"/>
      <c r="E70" s="510"/>
      <c r="F70" s="510"/>
      <c r="G70" s="510"/>
      <c r="H70" s="511"/>
      <c r="I70" s="511"/>
      <c r="J70" s="511"/>
      <c r="K70" s="511"/>
      <c r="L70" s="512"/>
      <c r="M70" s="513"/>
      <c r="N70" s="1044"/>
      <c r="O70" s="1044"/>
      <c r="P70" s="2056"/>
      <c r="Q70" s="515"/>
    </row>
    <row r="71" spans="1:17" s="429" customFormat="1" ht="15.75" thickBot="1">
      <c r="A71" s="509"/>
      <c r="B71" s="499"/>
      <c r="C71" s="516"/>
      <c r="D71" s="492"/>
      <c r="E71" s="492"/>
      <c r="F71" s="492"/>
      <c r="G71" s="492"/>
      <c r="H71" s="492"/>
      <c r="I71" s="492"/>
      <c r="J71" s="492"/>
      <c r="K71" s="492"/>
      <c r="L71" s="492"/>
      <c r="M71" s="493"/>
      <c r="N71" s="1043"/>
      <c r="O71" s="1043"/>
      <c r="P71" s="2056"/>
      <c r="Q71" s="515"/>
    </row>
    <row r="72" spans="1:17" s="429" customFormat="1" ht="15.75" thickTop="1">
      <c r="A72" s="509"/>
      <c r="B72" s="494">
        <f>B13</f>
        <v>111</v>
      </c>
      <c r="C72" s="510"/>
      <c r="D72" s="510"/>
      <c r="E72" s="510"/>
      <c r="F72" s="510"/>
      <c r="G72" s="510"/>
      <c r="H72" s="511"/>
      <c r="I72" s="511"/>
      <c r="J72" s="511"/>
      <c r="K72" s="511"/>
      <c r="L72" s="512"/>
      <c r="M72" s="513"/>
      <c r="N72" s="1044"/>
      <c r="O72" s="1044"/>
      <c r="P72" s="2057"/>
      <c r="Q72" s="517"/>
    </row>
    <row r="73" spans="1:17" s="429" customFormat="1" ht="15.75" thickBot="1">
      <c r="A73" s="509"/>
      <c r="B73" s="499"/>
      <c r="C73" s="516"/>
      <c r="D73" s="516"/>
      <c r="E73" s="516"/>
      <c r="F73" s="516"/>
      <c r="G73" s="516"/>
      <c r="H73" s="518"/>
      <c r="I73" s="518"/>
      <c r="J73" s="518"/>
      <c r="K73" s="518"/>
      <c r="L73" s="518"/>
      <c r="M73" s="519"/>
      <c r="N73" s="1044"/>
      <c r="O73" s="1044"/>
      <c r="P73" s="2056"/>
      <c r="Q73" s="515"/>
    </row>
    <row r="74" spans="1:17" s="429" customFormat="1" ht="15.75" thickTop="1">
      <c r="A74" s="509"/>
      <c r="B74" s="502">
        <f>B14</f>
        <v>111</v>
      </c>
      <c r="C74" s="510"/>
      <c r="D74" s="510"/>
      <c r="E74" s="510"/>
      <c r="F74" s="510"/>
      <c r="G74" s="479"/>
      <c r="H74" s="520"/>
      <c r="I74" s="520"/>
      <c r="J74" s="520"/>
      <c r="K74" s="520"/>
      <c r="L74" s="521"/>
      <c r="M74" s="522"/>
      <c r="N74" s="1044"/>
      <c r="O74" s="1044"/>
      <c r="P74" s="2058"/>
      <c r="Q74" s="515"/>
    </row>
    <row r="75" spans="1:17" s="429" customFormat="1" ht="15.75" thickBot="1">
      <c r="A75" s="524"/>
      <c r="B75" s="525"/>
      <c r="C75" s="526"/>
      <c r="D75" s="526"/>
      <c r="E75" s="526"/>
      <c r="F75" s="526"/>
      <c r="G75" s="526"/>
      <c r="H75" s="527"/>
      <c r="I75" s="527"/>
      <c r="J75" s="527"/>
      <c r="K75" s="527"/>
      <c r="L75" s="527"/>
      <c r="M75" s="528"/>
      <c r="N75" s="1044"/>
      <c r="O75" s="1044"/>
      <c r="P75" s="2056"/>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2"/>
      <c r="O76" s="1042"/>
      <c r="P76" s="205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3"/>
      <c r="O77" s="1043"/>
      <c r="P77" s="2055"/>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2"/>
      <c r="O78" s="1042"/>
      <c r="P78" s="205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3"/>
      <c r="O79" s="1043"/>
      <c r="P79" s="2055"/>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2"/>
      <c r="O80" s="1042"/>
      <c r="P80" s="205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3"/>
      <c r="O81" s="1043"/>
      <c r="P81" s="2055"/>
      <c r="Q81" s="460"/>
    </row>
    <row r="82" spans="1:17" ht="15.75" thickTop="1">
      <c r="A82" s="490"/>
      <c r="B82" s="502" t="s">
        <v>1704</v>
      </c>
      <c r="C82" s="495" t="s">
        <v>2183</v>
      </c>
      <c r="D82" s="495" t="s">
        <v>2184</v>
      </c>
      <c r="E82" s="495" t="s">
        <v>2185</v>
      </c>
      <c r="F82" s="495" t="s">
        <v>2186</v>
      </c>
      <c r="G82" s="495" t="s">
        <v>2187</v>
      </c>
      <c r="H82" s="495"/>
      <c r="I82" s="495"/>
      <c r="J82" s="495"/>
      <c r="K82" s="495"/>
      <c r="L82" s="495"/>
      <c r="M82" s="1240"/>
      <c r="N82" s="1043"/>
      <c r="O82" s="1043"/>
      <c r="P82" s="205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3"/>
      <c r="O83" s="1043"/>
      <c r="P83" s="2055"/>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2"/>
      <c r="O84" s="1042"/>
      <c r="P84" s="205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3"/>
      <c r="O85" s="1043"/>
      <c r="P85" s="2055"/>
      <c r="Q85" s="460"/>
    </row>
    <row r="86" spans="1:17" s="112" customFormat="1" ht="15.75" thickTop="1">
      <c r="A86" s="535"/>
      <c r="B86" s="494" t="s">
        <v>2189</v>
      </c>
      <c r="C86" s="510"/>
      <c r="D86" s="510"/>
      <c r="E86" s="510"/>
      <c r="F86" s="510"/>
      <c r="G86" s="510"/>
      <c r="H86" s="510"/>
      <c r="I86" s="510"/>
      <c r="J86" s="510"/>
      <c r="K86" s="510"/>
      <c r="L86" s="536"/>
      <c r="M86" s="537"/>
      <c r="N86" s="1041"/>
      <c r="O86" s="1041"/>
      <c r="P86" s="2055"/>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3"/>
      <c r="O87" s="1043"/>
      <c r="P87" s="2055"/>
      <c r="Q87" s="460"/>
    </row>
    <row r="88" spans="1:17" s="112" customFormat="1" ht="15.75" thickTop="1">
      <c r="A88" s="535"/>
      <c r="B88" s="494" t="s">
        <v>2190</v>
      </c>
      <c r="C88" s="510"/>
      <c r="D88" s="510"/>
      <c r="E88" s="510"/>
      <c r="F88" s="2060"/>
      <c r="G88" s="510"/>
      <c r="H88" s="510"/>
      <c r="I88" s="510"/>
      <c r="J88" s="510"/>
      <c r="K88" s="510"/>
      <c r="L88" s="510"/>
      <c r="M88" s="537"/>
      <c r="N88" s="1041"/>
      <c r="O88" s="1041"/>
      <c r="P88" s="2055"/>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3"/>
      <c r="O89" s="1043"/>
      <c r="P89" s="2055"/>
      <c r="Q89" s="460"/>
    </row>
    <row r="90" spans="1:17" s="429" customFormat="1" ht="15.75" thickTop="1">
      <c r="A90" s="509"/>
      <c r="B90" s="494">
        <f>B27</f>
        <v>111</v>
      </c>
      <c r="C90" s="510"/>
      <c r="D90" s="510"/>
      <c r="E90" s="510"/>
      <c r="F90" s="510"/>
      <c r="G90" s="510"/>
      <c r="H90" s="511"/>
      <c r="I90" s="511"/>
      <c r="J90" s="511"/>
      <c r="K90" s="511"/>
      <c r="L90" s="512"/>
      <c r="M90" s="513"/>
      <c r="N90" s="1044"/>
      <c r="O90" s="1044"/>
      <c r="P90" s="2056"/>
      <c r="Q90" s="515"/>
    </row>
    <row r="91" spans="1:17" s="429" customFormat="1" ht="15.75" thickBot="1">
      <c r="A91" s="509"/>
      <c r="B91" s="499"/>
      <c r="C91" s="516"/>
      <c r="D91" s="516"/>
      <c r="E91" s="516"/>
      <c r="F91" s="516"/>
      <c r="G91" s="516"/>
      <c r="H91" s="518"/>
      <c r="I91" s="518"/>
      <c r="J91" s="518"/>
      <c r="K91" s="518"/>
      <c r="L91" s="518"/>
      <c r="M91" s="519"/>
      <c r="N91" s="1044"/>
      <c r="O91" s="1044"/>
      <c r="P91" s="2056"/>
      <c r="Q91" s="515"/>
    </row>
    <row r="92" spans="1:17" ht="15.75" thickTop="1">
      <c r="A92" s="490"/>
      <c r="B92" s="494">
        <f>B28</f>
        <v>111</v>
      </c>
      <c r="C92" s="510"/>
      <c r="D92" s="510"/>
      <c r="E92" s="510"/>
      <c r="F92" s="510"/>
      <c r="G92" s="539"/>
      <c r="H92" s="539"/>
      <c r="I92" s="539"/>
      <c r="J92" s="539"/>
      <c r="K92" s="540"/>
      <c r="L92" s="541"/>
      <c r="M92" s="542"/>
      <c r="N92" s="1042"/>
      <c r="O92" s="1042"/>
      <c r="P92" s="2055"/>
      <c r="Q92" s="460"/>
    </row>
    <row r="93" spans="1:17" ht="15.75" thickBot="1">
      <c r="A93" s="490"/>
      <c r="B93" s="499"/>
      <c r="C93" s="516"/>
      <c r="D93" s="492"/>
      <c r="E93" s="492"/>
      <c r="F93" s="492"/>
      <c r="G93" s="492"/>
      <c r="H93" s="492"/>
      <c r="I93" s="492"/>
      <c r="J93" s="492"/>
      <c r="K93" s="492"/>
      <c r="L93" s="492"/>
      <c r="M93" s="493"/>
      <c r="N93" s="1043"/>
      <c r="O93" s="1043"/>
      <c r="P93" s="2055"/>
      <c r="Q93" s="460"/>
    </row>
    <row r="94" spans="1:17" ht="15.75" thickTop="1">
      <c r="A94" s="490"/>
      <c r="B94" s="494">
        <f>B29</f>
        <v>111</v>
      </c>
      <c r="C94" s="510"/>
      <c r="D94" s="510"/>
      <c r="E94" s="510"/>
      <c r="F94" s="510"/>
      <c r="G94" s="539"/>
      <c r="H94" s="539"/>
      <c r="I94" s="539"/>
      <c r="J94" s="539"/>
      <c r="K94" s="540"/>
      <c r="L94" s="541"/>
      <c r="M94" s="542"/>
      <c r="N94" s="1042"/>
      <c r="O94" s="1042"/>
      <c r="P94" s="2055"/>
      <c r="Q94" s="460"/>
    </row>
    <row r="95" spans="1:17" ht="15.75" thickBot="1">
      <c r="A95" s="490"/>
      <c r="B95" s="499"/>
      <c r="C95" s="516"/>
      <c r="D95" s="516"/>
      <c r="E95" s="516"/>
      <c r="F95" s="516"/>
      <c r="G95" s="492"/>
      <c r="H95" s="492"/>
      <c r="I95" s="492"/>
      <c r="J95" s="492"/>
      <c r="K95" s="492"/>
      <c r="L95" s="492"/>
      <c r="M95" s="493"/>
      <c r="N95" s="1043"/>
      <c r="O95" s="1043"/>
      <c r="P95" s="2055"/>
      <c r="Q95" s="460"/>
    </row>
    <row r="96" spans="1:17" ht="15.75" thickTop="1">
      <c r="A96" s="490"/>
      <c r="B96" s="494">
        <f>B30</f>
        <v>111</v>
      </c>
      <c r="C96" s="510"/>
      <c r="D96" s="510"/>
      <c r="E96" s="510"/>
      <c r="F96" s="510"/>
      <c r="G96" s="539"/>
      <c r="H96" s="539"/>
      <c r="I96" s="539"/>
      <c r="J96" s="539"/>
      <c r="K96" s="540"/>
      <c r="L96" s="541"/>
      <c r="M96" s="542"/>
      <c r="N96" s="1042"/>
      <c r="O96" s="1042"/>
      <c r="P96" s="2055"/>
      <c r="Q96" s="460"/>
    </row>
    <row r="97" spans="1:17" ht="15.75" thickBot="1">
      <c r="A97" s="490"/>
      <c r="B97" s="499"/>
      <c r="C97" s="526"/>
      <c r="D97" s="526"/>
      <c r="E97" s="526"/>
      <c r="F97" s="526"/>
      <c r="G97" s="492"/>
      <c r="H97" s="492"/>
      <c r="I97" s="492"/>
      <c r="J97" s="492"/>
      <c r="K97" s="492"/>
      <c r="L97" s="492"/>
      <c r="M97" s="493"/>
      <c r="N97" s="1043"/>
      <c r="O97" s="1043"/>
      <c r="P97" s="2055"/>
      <c r="Q97" s="460"/>
    </row>
    <row r="98" spans="1:17" ht="15.75" thickTop="1">
      <c r="A98" s="490"/>
      <c r="B98" s="502">
        <f>B31</f>
        <v>111</v>
      </c>
      <c r="C98" s="543"/>
      <c r="D98" s="543"/>
      <c r="E98" s="543"/>
      <c r="F98" s="543"/>
      <c r="G98" s="543"/>
      <c r="H98" s="543"/>
      <c r="I98" s="543"/>
      <c r="J98" s="543"/>
      <c r="K98" s="544"/>
      <c r="L98" s="545"/>
      <c r="M98" s="546"/>
      <c r="N98" s="1042"/>
      <c r="O98" s="1042"/>
      <c r="P98" s="2055"/>
      <c r="Q98" s="460"/>
    </row>
    <row r="99" spans="1:17" ht="15.75" thickBot="1">
      <c r="A99" s="2061"/>
      <c r="B99" s="525"/>
      <c r="C99" s="547"/>
      <c r="D99" s="547"/>
      <c r="E99" s="547"/>
      <c r="F99" s="547"/>
      <c r="G99" s="547"/>
      <c r="H99" s="547"/>
      <c r="I99" s="547"/>
      <c r="J99" s="547"/>
      <c r="K99" s="547"/>
      <c r="L99" s="547"/>
      <c r="M99" s="548"/>
      <c r="N99" s="1043"/>
      <c r="O99" s="1043"/>
      <c r="P99" s="2055"/>
      <c r="Q99" s="460"/>
    </row>
    <row r="100" spans="1:17">
      <c r="A100" s="483" t="s">
        <v>2142</v>
      </c>
      <c r="B100" s="484" t="s">
        <v>2191</v>
      </c>
      <c r="C100" s="486"/>
      <c r="D100" s="486"/>
      <c r="E100" s="486"/>
      <c r="F100" s="486"/>
      <c r="G100" s="486"/>
      <c r="H100" s="486"/>
      <c r="I100" s="486"/>
      <c r="J100" s="486"/>
      <c r="K100" s="487"/>
      <c r="L100" s="488"/>
      <c r="M100" s="489"/>
      <c r="N100" s="1042"/>
      <c r="O100" s="1042"/>
      <c r="P100" s="205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3"/>
      <c r="O101" s="1043"/>
      <c r="P101" s="2055"/>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1"/>
      <c r="O102" s="1041"/>
      <c r="P102" s="2055"/>
      <c r="Q102" s="460"/>
    </row>
    <row r="103" spans="1:17" s="429" customFormat="1">
      <c r="A103" s="549"/>
      <c r="B103" s="550"/>
      <c r="C103" s="551"/>
      <c r="D103" s="551"/>
      <c r="E103" s="551"/>
      <c r="F103" s="551"/>
      <c r="G103" s="551"/>
      <c r="H103" s="551"/>
      <c r="I103" s="551"/>
      <c r="J103" s="552"/>
      <c r="K103" s="552"/>
      <c r="L103" s="553"/>
      <c r="M103" s="554"/>
      <c r="N103" s="1044"/>
      <c r="O103" s="1044"/>
      <c r="P103" s="2056"/>
      <c r="Q103" s="515"/>
    </row>
    <row r="104" spans="1:17" s="429" customFormat="1" ht="15.75" thickBot="1">
      <c r="A104" s="509"/>
      <c r="B104" s="499"/>
      <c r="C104" s="516"/>
      <c r="D104" s="492"/>
      <c r="E104" s="492"/>
      <c r="F104" s="492"/>
      <c r="G104" s="492"/>
      <c r="H104" s="492"/>
      <c r="I104" s="492"/>
      <c r="J104" s="492"/>
      <c r="K104" s="492"/>
      <c r="L104" s="492"/>
      <c r="M104" s="492"/>
      <c r="N104" s="1043"/>
      <c r="O104" s="1043"/>
      <c r="P104" s="2056"/>
      <c r="Q104" s="515"/>
    </row>
    <row r="105" spans="1:17" ht="15" thickTop="1">
      <c r="A105" s="555"/>
      <c r="B105" s="494" t="s">
        <v>2193</v>
      </c>
      <c r="C105" s="510"/>
      <c r="D105" s="510"/>
      <c r="E105" s="539"/>
      <c r="F105" s="539"/>
      <c r="G105" s="539"/>
      <c r="H105" s="539"/>
      <c r="I105" s="539"/>
      <c r="J105" s="539"/>
      <c r="K105" s="540"/>
      <c r="L105" s="541"/>
      <c r="M105" s="542"/>
      <c r="N105" s="1042"/>
      <c r="O105" s="1042"/>
      <c r="P105" s="205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3"/>
      <c r="O106" s="1043"/>
      <c r="P106" s="2055"/>
      <c r="Q106" s="460"/>
    </row>
    <row r="107" spans="1:17" ht="15" thickTop="1">
      <c r="A107" s="555"/>
      <c r="B107" s="494" t="s">
        <v>2194</v>
      </c>
      <c r="C107" s="539"/>
      <c r="D107" s="539"/>
      <c r="E107" s="539"/>
      <c r="F107" s="539"/>
      <c r="G107" s="539"/>
      <c r="H107" s="539"/>
      <c r="I107" s="539"/>
      <c r="J107" s="539"/>
      <c r="K107" s="540"/>
      <c r="L107" s="541"/>
      <c r="M107" s="542"/>
      <c r="N107" s="1042"/>
      <c r="O107" s="1042"/>
      <c r="P107" s="205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3"/>
      <c r="O108" s="1043"/>
      <c r="P108" s="2055"/>
      <c r="Q108" s="460"/>
    </row>
    <row r="109" spans="1:17" ht="15" thickTop="1">
      <c r="A109" s="555"/>
      <c r="B109" s="494" t="s">
        <v>2195</v>
      </c>
      <c r="C109" s="510"/>
      <c r="D109" s="510"/>
      <c r="E109" s="510"/>
      <c r="F109" s="539"/>
      <c r="G109" s="539"/>
      <c r="H109" s="539"/>
      <c r="I109" s="539"/>
      <c r="J109" s="539"/>
      <c r="K109" s="540"/>
      <c r="L109" s="541"/>
      <c r="M109" s="542"/>
      <c r="N109" s="1042"/>
      <c r="O109" s="1042"/>
      <c r="P109" s="205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3"/>
      <c r="O110" s="1043"/>
      <c r="P110" s="2055"/>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4"/>
      <c r="O111" s="1044"/>
      <c r="P111" s="205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4"/>
      <c r="O112" s="1044"/>
      <c r="P112" s="205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4"/>
      <c r="O113" s="1044"/>
      <c r="P113" s="2056"/>
      <c r="Q113" s="515"/>
    </row>
    <row r="114" spans="1:17" ht="15" thickTop="1">
      <c r="A114" s="555"/>
      <c r="B114" s="494" t="s">
        <v>2196</v>
      </c>
      <c r="C114" s="510"/>
      <c r="D114" s="510"/>
      <c r="E114" s="539"/>
      <c r="F114" s="539"/>
      <c r="G114" s="539"/>
      <c r="H114" s="539"/>
      <c r="I114" s="539"/>
      <c r="J114" s="539"/>
      <c r="K114" s="540"/>
      <c r="L114" s="541"/>
      <c r="M114" s="542"/>
      <c r="N114" s="1042"/>
      <c r="O114" s="1042"/>
      <c r="P114" s="205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3"/>
      <c r="O115" s="1043"/>
      <c r="P115" s="2055"/>
      <c r="Q115" s="460"/>
    </row>
    <row r="116" spans="1:17" ht="15" thickTop="1">
      <c r="A116" s="555"/>
      <c r="B116" s="494" t="s">
        <v>2197</v>
      </c>
      <c r="C116" s="510"/>
      <c r="D116" s="510"/>
      <c r="E116" s="510"/>
      <c r="F116" s="510"/>
      <c r="G116" s="510"/>
      <c r="H116" s="539"/>
      <c r="I116" s="539"/>
      <c r="J116" s="539"/>
      <c r="K116" s="540"/>
      <c r="L116" s="541"/>
      <c r="M116" s="542"/>
      <c r="N116" s="1042"/>
      <c r="O116" s="1042"/>
      <c r="P116" s="205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3"/>
      <c r="O117" s="1043"/>
      <c r="P117" s="2055"/>
      <c r="Q117" s="460"/>
    </row>
    <row r="118" spans="1:17" ht="15" thickTop="1">
      <c r="A118" s="555"/>
      <c r="B118" s="494" t="s">
        <v>2198</v>
      </c>
      <c r="C118" s="539"/>
      <c r="D118" s="539"/>
      <c r="E118" s="539"/>
      <c r="F118" s="539"/>
      <c r="G118" s="539"/>
      <c r="H118" s="539"/>
      <c r="I118" s="539"/>
      <c r="J118" s="539"/>
      <c r="K118" s="540"/>
      <c r="L118" s="541"/>
      <c r="M118" s="542"/>
      <c r="N118" s="1042"/>
      <c r="O118" s="1042"/>
      <c r="P118" s="205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3"/>
      <c r="O119" s="1043"/>
      <c r="P119" s="2055"/>
      <c r="Q119" s="460"/>
    </row>
    <row r="120" spans="1:17" s="429" customFormat="1" ht="28.5" thickTop="1">
      <c r="A120" s="549"/>
      <c r="B120" s="494" t="s">
        <v>2153</v>
      </c>
      <c r="C120" s="510"/>
      <c r="D120" s="510"/>
      <c r="E120" s="510"/>
      <c r="F120" s="510"/>
      <c r="G120" s="510"/>
      <c r="H120" s="510"/>
      <c r="I120" s="510"/>
      <c r="J120" s="510"/>
      <c r="K120" s="510"/>
      <c r="L120" s="536"/>
      <c r="M120" s="537"/>
      <c r="N120" s="1044"/>
      <c r="O120" s="1044"/>
      <c r="P120" s="2056"/>
      <c r="Q120" s="515"/>
    </row>
    <row r="121" spans="1:17" s="429" customFormat="1" ht="15.75" thickBot="1">
      <c r="A121" s="509"/>
      <c r="B121" s="491"/>
      <c r="C121" s="516"/>
      <c r="D121" s="492"/>
      <c r="E121" s="492"/>
      <c r="F121" s="492"/>
      <c r="G121" s="492"/>
      <c r="H121" s="492"/>
      <c r="I121" s="492"/>
      <c r="J121" s="492"/>
      <c r="K121" s="492"/>
      <c r="L121" s="492"/>
      <c r="M121" s="492"/>
      <c r="N121" s="1044"/>
      <c r="O121" s="1044"/>
      <c r="P121" s="2056"/>
      <c r="Q121" s="515"/>
    </row>
    <row r="122" spans="1:17" ht="15" thickTop="1">
      <c r="A122" s="555"/>
      <c r="B122" s="494" t="s">
        <v>2199</v>
      </c>
      <c r="C122" s="510"/>
      <c r="D122" s="510"/>
      <c r="E122" s="510"/>
      <c r="F122" s="539"/>
      <c r="G122" s="539"/>
      <c r="H122" s="539"/>
      <c r="I122" s="539"/>
      <c r="J122" s="539"/>
      <c r="K122" s="540"/>
      <c r="L122" s="541"/>
      <c r="M122" s="542"/>
      <c r="N122" s="1042"/>
      <c r="O122" s="1042"/>
      <c r="P122" s="205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3"/>
      <c r="O123" s="1043"/>
      <c r="P123" s="2055"/>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2"/>
      <c r="O124" s="1042"/>
      <c r="P124" s="205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3"/>
      <c r="O125" s="1043"/>
      <c r="P125" s="2055"/>
      <c r="Q125" s="460"/>
    </row>
    <row r="126" spans="1:17" s="429" customFormat="1" ht="15" thickTop="1">
      <c r="A126" s="549"/>
      <c r="B126" s="494">
        <f>B44</f>
        <v>111</v>
      </c>
      <c r="C126" s="510"/>
      <c r="D126" s="510"/>
      <c r="E126" s="510"/>
      <c r="F126" s="510"/>
      <c r="G126" s="510"/>
      <c r="H126" s="511"/>
      <c r="I126" s="511"/>
      <c r="J126" s="511"/>
      <c r="K126" s="511"/>
      <c r="L126" s="512"/>
      <c r="M126" s="513"/>
      <c r="N126" s="1044"/>
      <c r="O126" s="1044"/>
      <c r="P126" s="2056"/>
      <c r="Q126" s="515"/>
    </row>
    <row r="127" spans="1:17" s="429" customFormat="1" ht="15.75" thickBot="1">
      <c r="A127" s="509"/>
      <c r="B127" s="499"/>
      <c r="C127" s="516"/>
      <c r="D127" s="492"/>
      <c r="E127" s="492"/>
      <c r="F127" s="492"/>
      <c r="G127" s="516"/>
      <c r="H127" s="518"/>
      <c r="I127" s="518"/>
      <c r="J127" s="518"/>
      <c r="K127" s="518"/>
      <c r="L127" s="518"/>
      <c r="M127" s="519"/>
      <c r="N127" s="1044"/>
      <c r="O127" s="1044"/>
      <c r="P127" s="2056"/>
      <c r="Q127" s="515"/>
    </row>
    <row r="128" spans="1:17" ht="15" thickTop="1">
      <c r="A128" s="555"/>
      <c r="B128" s="494">
        <f>B45</f>
        <v>111</v>
      </c>
      <c r="C128" s="510"/>
      <c r="D128" s="510"/>
      <c r="E128" s="510"/>
      <c r="F128" s="510"/>
      <c r="G128" s="539"/>
      <c r="H128" s="539"/>
      <c r="I128" s="539"/>
      <c r="J128" s="539"/>
      <c r="K128" s="540"/>
      <c r="L128" s="541"/>
      <c r="M128" s="542"/>
      <c r="N128" s="1042"/>
      <c r="O128" s="1042"/>
      <c r="P128" s="2055"/>
      <c r="Q128" s="460"/>
    </row>
    <row r="129" spans="1:17" ht="15.75" thickBot="1">
      <c r="A129" s="490"/>
      <c r="B129" s="499"/>
      <c r="C129" s="516"/>
      <c r="D129" s="516"/>
      <c r="E129" s="516"/>
      <c r="F129" s="516"/>
      <c r="G129" s="492"/>
      <c r="H129" s="492"/>
      <c r="I129" s="492"/>
      <c r="J129" s="492"/>
      <c r="K129" s="492"/>
      <c r="L129" s="492"/>
      <c r="M129" s="493"/>
      <c r="N129" s="1043"/>
      <c r="O129" s="1043"/>
      <c r="P129" s="2055"/>
      <c r="Q129" s="460"/>
    </row>
    <row r="130" spans="1:17" ht="15" thickTop="1">
      <c r="A130" s="555"/>
      <c r="B130" s="502">
        <f>B46</f>
        <v>111</v>
      </c>
      <c r="C130" s="510"/>
      <c r="D130" s="510"/>
      <c r="E130" s="510"/>
      <c r="F130" s="510"/>
      <c r="G130" s="543"/>
      <c r="H130" s="543"/>
      <c r="I130" s="543"/>
      <c r="J130" s="543"/>
      <c r="K130" s="479"/>
      <c r="L130" s="480"/>
      <c r="M130" s="546"/>
      <c r="N130" s="1042"/>
      <c r="O130" s="1042"/>
      <c r="P130" s="2055"/>
      <c r="Q130" s="460"/>
    </row>
    <row r="131" spans="1:17" ht="15.75" thickBot="1">
      <c r="A131" s="2061"/>
      <c r="B131" s="525"/>
      <c r="C131" s="526"/>
      <c r="D131" s="526"/>
      <c r="E131" s="526"/>
      <c r="F131" s="526"/>
      <c r="G131" s="547"/>
      <c r="H131" s="547"/>
      <c r="I131" s="547"/>
      <c r="J131" s="547"/>
      <c r="K131" s="547"/>
      <c r="L131" s="547"/>
      <c r="M131" s="548"/>
      <c r="N131" s="1043"/>
      <c r="O131" s="1043"/>
      <c r="P131" s="2055"/>
      <c r="Q131" s="460"/>
    </row>
    <row r="136" spans="1:17" ht="15" thickBot="1">
      <c r="B136" s="2062" t="s">
        <v>2201</v>
      </c>
    </row>
    <row r="137" spans="1:17" ht="15">
      <c r="B137" s="2063" t="s">
        <v>2202</v>
      </c>
      <c r="C137" s="2064"/>
      <c r="D137" s="2064"/>
      <c r="E137" s="2064"/>
      <c r="F137" s="2064"/>
      <c r="G137" s="2065"/>
      <c r="H137" s="2066"/>
      <c r="I137" s="2067" t="s">
        <v>2203</v>
      </c>
      <c r="J137" s="2064"/>
      <c r="K137" s="2068"/>
    </row>
    <row r="138" spans="1:17" ht="15">
      <c r="B138" s="2069"/>
      <c r="C138" s="141" t="s">
        <v>2204</v>
      </c>
      <c r="D138" s="141" t="s">
        <v>2205</v>
      </c>
      <c r="E138" s="2070" t="s">
        <v>2206</v>
      </c>
      <c r="F138" s="2071" t="s">
        <v>2207</v>
      </c>
      <c r="G138" s="141" t="s">
        <v>2205</v>
      </c>
      <c r="H138" s="142" t="s">
        <v>2206</v>
      </c>
      <c r="I138" s="2072"/>
      <c r="J138" s="141" t="s">
        <v>2208</v>
      </c>
      <c r="K138" s="142" t="s">
        <v>2209</v>
      </c>
    </row>
    <row r="139" spans="1:17" ht="15">
      <c r="B139" s="976">
        <v>6</v>
      </c>
      <c r="C139" s="977">
        <v>96</v>
      </c>
      <c r="D139" s="2073" t="s">
        <v>2210</v>
      </c>
      <c r="E139" s="978">
        <v>100</v>
      </c>
      <c r="F139" s="979">
        <v>102.5</v>
      </c>
      <c r="G139" s="2073" t="s">
        <v>2210</v>
      </c>
      <c r="H139" s="980">
        <v>105</v>
      </c>
      <c r="I139" s="2074" t="s">
        <v>2211</v>
      </c>
      <c r="J139" s="977">
        <v>20</v>
      </c>
      <c r="K139" s="981">
        <f>C145/(J139-2)</f>
        <v>4.0555555555555553E-3</v>
      </c>
    </row>
    <row r="140" spans="1:17" ht="15">
      <c r="B140" s="982">
        <v>5</v>
      </c>
      <c r="C140" s="983">
        <v>100</v>
      </c>
      <c r="D140" s="983"/>
      <c r="E140" s="984"/>
      <c r="F140" s="985">
        <v>102</v>
      </c>
      <c r="G140" s="983"/>
      <c r="H140" s="986"/>
      <c r="I140" s="2075" t="s">
        <v>2212</v>
      </c>
      <c r="J140" s="276">
        <f>ROUNDUP((J139-1)/2,0)</f>
        <v>10</v>
      </c>
      <c r="K140" s="987">
        <v>100</v>
      </c>
    </row>
    <row r="141" spans="1:17" ht="15">
      <c r="B141" s="982">
        <v>4</v>
      </c>
      <c r="C141" s="983">
        <v>102</v>
      </c>
      <c r="D141" s="983"/>
      <c r="E141" s="984"/>
      <c r="F141" s="985">
        <v>101.5</v>
      </c>
      <c r="G141" s="983"/>
      <c r="H141" s="986"/>
      <c r="I141" s="2075" t="s">
        <v>2213</v>
      </c>
      <c r="J141" s="276">
        <v>1</v>
      </c>
      <c r="K141" s="988">
        <f>ROUND(100+(J141-J140)*K139*100,1)</f>
        <v>96.4</v>
      </c>
    </row>
    <row r="142" spans="1:17" ht="15">
      <c r="B142" s="982">
        <v>3</v>
      </c>
      <c r="C142" s="983">
        <v>103</v>
      </c>
      <c r="D142" s="983"/>
      <c r="E142" s="984"/>
      <c r="F142" s="985">
        <v>101</v>
      </c>
      <c r="G142" s="983"/>
      <c r="H142" s="986"/>
      <c r="I142" s="2075" t="s">
        <v>2214</v>
      </c>
      <c r="J142" s="276">
        <f>J139</f>
        <v>20</v>
      </c>
      <c r="K142" s="989">
        <v>95</v>
      </c>
    </row>
    <row r="143" spans="1:17" ht="15">
      <c r="B143" s="982">
        <v>2</v>
      </c>
      <c r="C143" s="983">
        <v>100</v>
      </c>
      <c r="D143" s="983"/>
      <c r="E143" s="984"/>
      <c r="F143" s="985">
        <v>100.5</v>
      </c>
      <c r="G143" s="983"/>
      <c r="H143" s="986"/>
      <c r="I143" s="2075" t="s">
        <v>2215</v>
      </c>
      <c r="J143" s="983">
        <v>15</v>
      </c>
      <c r="K143" s="988">
        <f>ROUND(100+(J143-J140)*K139*100,1)</f>
        <v>102</v>
      </c>
    </row>
    <row r="144" spans="1:17" ht="15">
      <c r="B144" s="982">
        <v>1</v>
      </c>
      <c r="C144" s="983">
        <v>98</v>
      </c>
      <c r="D144" s="2076" t="s">
        <v>2216</v>
      </c>
      <c r="E144" s="984">
        <v>102</v>
      </c>
      <c r="F144" s="990">
        <v>100</v>
      </c>
      <c r="G144" s="2076" t="s">
        <v>2216</v>
      </c>
      <c r="H144" s="986">
        <v>105</v>
      </c>
      <c r="I144" s="2075" t="s">
        <v>2215</v>
      </c>
      <c r="J144" s="983">
        <v>18</v>
      </c>
      <c r="K144" s="988">
        <f>ROUND(100+(J144-J140)*K139*100,1)</f>
        <v>103.2</v>
      </c>
    </row>
    <row r="145" spans="2:11" ht="15.75" thickBot="1">
      <c r="B145" s="2077" t="s">
        <v>2217</v>
      </c>
      <c r="C145" s="991">
        <f>ROUND(MAX(C139:C144)/MIN(C139:C144)-1,3)</f>
        <v>7.2999999999999995E-2</v>
      </c>
      <c r="D145" s="992"/>
      <c r="E145" s="992"/>
      <c r="F145" s="2078" t="s">
        <v>2218</v>
      </c>
      <c r="G145" s="2079"/>
      <c r="H145" s="2080"/>
      <c r="I145" s="2081" t="s">
        <v>2215</v>
      </c>
      <c r="J145" s="993">
        <v>8</v>
      </c>
      <c r="K145" s="994">
        <f>ROUND(100+(J145-J140)*K139*100,1)</f>
        <v>99.2</v>
      </c>
    </row>
    <row r="147" spans="2:11">
      <c r="B147" s="2062" t="s">
        <v>2219</v>
      </c>
    </row>
    <row r="148" spans="2:11">
      <c r="B148" s="2062"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2221</v>
      </c>
      <c r="C1" s="1355" t="s">
        <v>2109</v>
      </c>
      <c r="D1" s="1342"/>
      <c r="E1" s="2490"/>
      <c r="F1" s="2012"/>
      <c r="G1" s="1352" t="s">
        <v>2222</v>
      </c>
      <c r="H1" s="1351"/>
      <c r="I1" s="1351"/>
      <c r="J1" s="1351"/>
      <c r="K1" s="1353"/>
      <c r="L1" s="1354"/>
      <c r="M1" s="1355"/>
      <c r="N1" s="1355"/>
      <c r="O1" s="1355"/>
      <c r="P1" s="2082"/>
      <c r="Q1" s="2083"/>
      <c r="R1" s="2083"/>
      <c r="S1" s="2083"/>
      <c r="T1" s="2083"/>
      <c r="U1" s="2083"/>
      <c r="V1" s="2083"/>
      <c r="W1" s="2083"/>
      <c r="X1" s="2083"/>
      <c r="Y1" s="2083"/>
      <c r="Z1" s="2083"/>
      <c r="AA1" s="2083"/>
      <c r="AB1" s="2083"/>
      <c r="AC1" s="2084"/>
    </row>
    <row r="2" spans="1:29" s="357" customFormat="1" ht="28.5" customHeight="1" thickTop="1">
      <c r="A2" s="1338" t="s">
        <v>1906</v>
      </c>
      <c r="B2" s="1275" t="e">
        <f ca="1">IF(C2="——",ROUND(C49*D3/10000,0),ROUND(C49*D3/10000,0)-D2)</f>
        <v>#DIV/0!</v>
      </c>
      <c r="C2" s="2014"/>
      <c r="D2" s="1224" t="e">
        <f ca="1">SUMIF(INDIRECT("'"&amp;F2&amp;"'"&amp;"!A:A"),"承租人权益价值",INDIRECT("'"&amp;F2&amp;"'"&amp;"!c:c"))</f>
        <v>#REF!</v>
      </c>
      <c r="E2" s="2015" t="s">
        <v>1907</v>
      </c>
      <c r="F2" s="2016"/>
      <c r="G2" s="1017"/>
      <c r="H2" s="1017"/>
      <c r="I2" s="1017"/>
      <c r="J2" s="1017"/>
      <c r="K2" s="1017"/>
      <c r="L2" s="2909"/>
      <c r="M2" s="2910"/>
      <c r="N2" s="2910"/>
      <c r="O2" s="2910"/>
      <c r="P2" s="2085"/>
      <c r="Q2" s="1021"/>
      <c r="R2" s="1021"/>
      <c r="S2" s="1021"/>
      <c r="T2" s="1021"/>
      <c r="U2" s="1021"/>
      <c r="V2" s="1021"/>
      <c r="W2" s="1021"/>
      <c r="X2" s="1021"/>
      <c r="Y2" s="1021"/>
      <c r="Z2" s="1021"/>
      <c r="AA2" s="1021"/>
      <c r="AB2" s="1021"/>
      <c r="AC2" s="2086"/>
    </row>
    <row r="3" spans="1:29" s="357" customFormat="1" ht="28.5" customHeight="1" thickBot="1">
      <c r="A3" s="208" t="s">
        <v>1908</v>
      </c>
      <c r="B3" s="565" t="e">
        <f ca="1">IF(C2="——",C49,ROUND(B2*10000/D3,0))</f>
        <v>#DIV/0!</v>
      </c>
      <c r="C3" s="359" t="s">
        <v>2223</v>
      </c>
      <c r="D3" s="358">
        <f>IF(D1="",'数据-汇总表'!E3,SUMIF('数据-汇总表'!$C19:$C33,D1,'数据-汇总表'!$E19:$E33))</f>
        <v>24865.040000000005</v>
      </c>
      <c r="E3" s="2087"/>
      <c r="F3" s="1018"/>
      <c r="G3" s="1017"/>
      <c r="H3" s="1017"/>
      <c r="I3" s="1017"/>
      <c r="J3" s="1017"/>
      <c r="K3" s="1019"/>
      <c r="L3" s="2909"/>
      <c r="M3" s="2910"/>
      <c r="N3" s="2910"/>
      <c r="O3" s="2910"/>
      <c r="P3" s="2085"/>
      <c r="Q3" s="1021"/>
      <c r="R3" s="1021"/>
      <c r="S3" s="1021"/>
      <c r="T3" s="1021"/>
      <c r="U3" s="1021"/>
      <c r="V3" s="1021"/>
      <c r="W3" s="1021"/>
      <c r="X3" s="1021"/>
      <c r="Y3" s="1021"/>
      <c r="Z3" s="1021"/>
      <c r="AA3" s="1021"/>
      <c r="AB3" s="1021"/>
      <c r="AC3" s="2087"/>
    </row>
    <row r="4" spans="1:29" ht="15">
      <c r="A4" s="360" t="s">
        <v>2224</v>
      </c>
      <c r="B4" s="361"/>
      <c r="C4" s="3469" t="s">
        <v>2225</v>
      </c>
      <c r="D4" s="3470"/>
      <c r="E4" s="3471" t="s">
        <v>2226</v>
      </c>
      <c r="F4" s="3472"/>
      <c r="G4" s="3469" t="s">
        <v>2227</v>
      </c>
      <c r="H4" s="3470"/>
      <c r="I4" s="3469" t="s">
        <v>2228</v>
      </c>
      <c r="J4" s="3470"/>
      <c r="K4" s="566" t="s">
        <v>2229</v>
      </c>
      <c r="L4" s="2890"/>
      <c r="M4" s="2891"/>
      <c r="N4" s="2891"/>
      <c r="O4" s="2891"/>
      <c r="P4" s="3536" t="s">
        <v>2230</v>
      </c>
      <c r="Q4" s="3537"/>
      <c r="R4" s="3540" t="s">
        <v>2226</v>
      </c>
      <c r="S4" s="3541"/>
      <c r="T4" s="3540" t="s">
        <v>2227</v>
      </c>
      <c r="U4" s="3541"/>
      <c r="V4" s="3486" t="s">
        <v>2228</v>
      </c>
      <c r="W4" s="3486"/>
      <c r="X4" s="1486"/>
      <c r="Y4" s="3540" t="s">
        <v>2230</v>
      </c>
      <c r="Z4" s="3541"/>
      <c r="AA4" s="3535" t="s">
        <v>2226</v>
      </c>
      <c r="AB4" s="3486" t="s">
        <v>2227</v>
      </c>
      <c r="AC4" s="3535" t="s">
        <v>2228</v>
      </c>
    </row>
    <row r="5" spans="1:29" ht="15">
      <c r="A5" s="363"/>
      <c r="B5" s="364"/>
      <c r="C5" s="3495" t="s">
        <v>2121</v>
      </c>
      <c r="D5" s="3490"/>
      <c r="E5" s="3542" t="s">
        <v>2122</v>
      </c>
      <c r="F5" s="3502"/>
      <c r="G5" s="3495" t="s">
        <v>2123</v>
      </c>
      <c r="H5" s="3490"/>
      <c r="I5" s="3495" t="s">
        <v>2124</v>
      </c>
      <c r="J5" s="3490"/>
      <c r="K5" s="566"/>
      <c r="L5" s="2890"/>
      <c r="M5" s="2891"/>
      <c r="N5" s="2891"/>
      <c r="O5" s="2891"/>
      <c r="P5" s="3538"/>
      <c r="Q5" s="3476"/>
      <c r="R5" s="3481"/>
      <c r="S5" s="3482"/>
      <c r="T5" s="3481"/>
      <c r="U5" s="3482"/>
      <c r="V5" s="3486"/>
      <c r="W5" s="3486"/>
      <c r="X5" s="1486"/>
      <c r="Y5" s="3481"/>
      <c r="Z5" s="3482"/>
      <c r="AA5" s="3499"/>
      <c r="AB5" s="3486"/>
      <c r="AC5" s="3499"/>
    </row>
    <row r="6" spans="1:29" ht="15.75" thickBot="1">
      <c r="A6" s="365"/>
      <c r="B6" s="366"/>
      <c r="C6" s="3487" t="s">
        <v>2125</v>
      </c>
      <c r="D6" s="3488"/>
      <c r="E6" s="3496" t="s">
        <v>2125</v>
      </c>
      <c r="F6" s="3497"/>
      <c r="G6" s="3487" t="s">
        <v>2125</v>
      </c>
      <c r="H6" s="3488"/>
      <c r="I6" s="3487" t="s">
        <v>2125</v>
      </c>
      <c r="J6" s="3488"/>
      <c r="K6" s="566" t="s">
        <v>2126</v>
      </c>
      <c r="L6" s="2890"/>
      <c r="M6" s="2891"/>
      <c r="N6" s="2891"/>
      <c r="O6" s="2891"/>
      <c r="P6" s="3539"/>
      <c r="Q6" s="3478"/>
      <c r="R6" s="3481"/>
      <c r="S6" s="3482"/>
      <c r="T6" s="3483"/>
      <c r="U6" s="3484"/>
      <c r="V6" s="3486"/>
      <c r="W6" s="3486"/>
      <c r="X6" s="1486"/>
      <c r="Y6" s="3483"/>
      <c r="Z6" s="3484"/>
      <c r="AA6" s="3500"/>
      <c r="AB6" s="3486"/>
      <c r="AC6" s="3500"/>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93" t="s">
        <v>2128</v>
      </c>
      <c r="Q7" s="3494"/>
      <c r="R7" s="707" t="s">
        <v>17</v>
      </c>
      <c r="S7" s="708">
        <f t="shared" ref="S7:S15" si="0">F7</f>
        <v>0</v>
      </c>
      <c r="T7" s="707" t="s">
        <v>17</v>
      </c>
      <c r="U7" s="708">
        <f t="shared" ref="U7:U15" si="1">H7</f>
        <v>0</v>
      </c>
      <c r="V7" s="707" t="s">
        <v>17</v>
      </c>
      <c r="W7" s="708">
        <f t="shared" ref="W7:W15" si="2">J7</f>
        <v>0</v>
      </c>
      <c r="X7" s="709"/>
      <c r="Y7" s="3493" t="s">
        <v>2128</v>
      </c>
      <c r="Z7" s="3492"/>
      <c r="AA7" s="710" t="e">
        <f>D7/F7</f>
        <v>#DIV/0!</v>
      </c>
      <c r="AB7" s="710" t="e">
        <f>D7/H7</f>
        <v>#DIV/0!</v>
      </c>
      <c r="AC7" s="710" t="e">
        <f>D7/J7</f>
        <v>#DIV/0!</v>
      </c>
    </row>
    <row r="8" spans="1:29" s="112" customFormat="1" ht="15.75" thickBot="1">
      <c r="A8" s="367" t="s">
        <v>2129</v>
      </c>
      <c r="B8" s="368"/>
      <c r="C8" s="373" t="s">
        <v>2231</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93" t="s">
        <v>2131</v>
      </c>
      <c r="Q8" s="3492"/>
      <c r="R8" s="707" t="s">
        <v>17</v>
      </c>
      <c r="S8" s="708">
        <f t="shared" si="0"/>
        <v>0</v>
      </c>
      <c r="T8" s="707" t="s">
        <v>17</v>
      </c>
      <c r="U8" s="708">
        <f t="shared" si="1"/>
        <v>0</v>
      </c>
      <c r="V8" s="707" t="s">
        <v>17</v>
      </c>
      <c r="W8" s="708">
        <f t="shared" si="2"/>
        <v>0</v>
      </c>
      <c r="X8" s="709"/>
      <c r="Y8" s="3493" t="s">
        <v>2131</v>
      </c>
      <c r="Z8" s="3492"/>
      <c r="AA8" s="710" t="e">
        <f t="shared" ref="AA8:AA46" si="3">D8/F8</f>
        <v>#DIV/0!</v>
      </c>
      <c r="AB8" s="710" t="e">
        <f t="shared" ref="AB8:AB46" si="4">D8/H8</f>
        <v>#DIV/0!</v>
      </c>
      <c r="AC8" s="710" t="e">
        <f t="shared" ref="AC8:AC46" si="5">D8/J8</f>
        <v>#DIV/0!</v>
      </c>
    </row>
    <row r="9" spans="1:29" s="112" customFormat="1">
      <c r="A9" s="374" t="s">
        <v>2132</v>
      </c>
      <c r="B9" s="66" t="s">
        <v>2133</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51"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51"/>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51"/>
      <c r="Q11" s="1474" t="str">
        <f t="shared" si="6"/>
        <v>容积率</v>
      </c>
      <c r="R11" s="707" t="s">
        <v>17</v>
      </c>
      <c r="S11" s="708" t="e">
        <f t="shared" si="0"/>
        <v>#N/A</v>
      </c>
      <c r="T11" s="707" t="s">
        <v>17</v>
      </c>
      <c r="U11" s="708" t="e">
        <f t="shared" si="1"/>
        <v>#N/A</v>
      </c>
      <c r="V11" s="707" t="s">
        <v>17</v>
      </c>
      <c r="W11" s="708" t="e">
        <f t="shared" si="2"/>
        <v>#N/A</v>
      </c>
      <c r="X11" s="709"/>
      <c r="Y11" s="3355"/>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51"/>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51"/>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710">
        <f t="shared" si="5"/>
        <v>1</v>
      </c>
    </row>
    <row r="14" spans="1:29" ht="15.75" thickBot="1">
      <c r="A14" s="394"/>
      <c r="B14" s="2028">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51"/>
      <c r="Q14" s="1474">
        <f t="shared" si="6"/>
        <v>111</v>
      </c>
      <c r="R14" s="707" t="s">
        <v>17</v>
      </c>
      <c r="S14" s="708">
        <f t="shared" si="0"/>
        <v>100</v>
      </c>
      <c r="T14" s="707" t="s">
        <v>17</v>
      </c>
      <c r="U14" s="708">
        <f t="shared" si="1"/>
        <v>100</v>
      </c>
      <c r="V14" s="707" t="s">
        <v>17</v>
      </c>
      <c r="W14" s="708">
        <f t="shared" si="2"/>
        <v>100</v>
      </c>
      <c r="X14" s="709"/>
      <c r="Y14" s="3355"/>
      <c r="Z14" s="54">
        <f t="shared" si="7"/>
        <v>111</v>
      </c>
      <c r="AA14" s="710">
        <f t="shared" si="3"/>
        <v>1</v>
      </c>
      <c r="AB14" s="710">
        <f t="shared" si="4"/>
        <v>1</v>
      </c>
      <c r="AC14" s="710">
        <f t="shared" si="5"/>
        <v>1</v>
      </c>
    </row>
    <row r="15" spans="1:29" ht="71.25">
      <c r="A15" s="398" t="s">
        <v>2138</v>
      </c>
      <c r="B15" s="64" t="s">
        <v>2232</v>
      </c>
      <c r="C15" s="202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457" t="s">
        <v>2139</v>
      </c>
      <c r="Q15" s="1483" t="str">
        <f t="shared" si="6"/>
        <v>商业繁华度</v>
      </c>
      <c r="R15" s="711" t="s">
        <v>17</v>
      </c>
      <c r="S15" s="712">
        <f t="shared" si="0"/>
        <v>100</v>
      </c>
      <c r="T15" s="711" t="s">
        <v>17</v>
      </c>
      <c r="U15" s="712">
        <f t="shared" si="1"/>
        <v>100</v>
      </c>
      <c r="V15" s="711" t="s">
        <v>17</v>
      </c>
      <c r="W15" s="712">
        <f t="shared" si="2"/>
        <v>100</v>
      </c>
      <c r="X15" s="1486"/>
      <c r="Y15" s="3459" t="s">
        <v>2139</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7"/>
      <c r="M16" s="2891"/>
      <c r="N16" s="2891"/>
      <c r="O16" s="2891"/>
      <c r="P16" s="3458"/>
      <c r="Q16" s="1483"/>
      <c r="R16" s="711"/>
      <c r="S16" s="712"/>
      <c r="T16" s="711"/>
      <c r="U16" s="712"/>
      <c r="V16" s="711"/>
      <c r="W16" s="712"/>
      <c r="X16" s="1486"/>
      <c r="Y16" s="3460"/>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458"/>
      <c r="Q17" s="1483" t="str">
        <f>B17</f>
        <v>交通便捷度</v>
      </c>
      <c r="R17" s="711" t="s">
        <v>17</v>
      </c>
      <c r="S17" s="712">
        <f>F17</f>
        <v>100</v>
      </c>
      <c r="T17" s="711" t="s">
        <v>17</v>
      </c>
      <c r="U17" s="712">
        <f>H17</f>
        <v>100</v>
      </c>
      <c r="V17" s="711" t="s">
        <v>17</v>
      </c>
      <c r="W17" s="712">
        <f>J17</f>
        <v>100</v>
      </c>
      <c r="X17" s="1486"/>
      <c r="Y17" s="3460"/>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2897"/>
      <c r="M18" s="2891"/>
      <c r="N18" s="2891"/>
      <c r="O18" s="2891"/>
      <c r="P18" s="3458"/>
      <c r="Q18" s="1483"/>
      <c r="R18" s="711"/>
      <c r="S18" s="712"/>
      <c r="T18" s="711"/>
      <c r="U18" s="712"/>
      <c r="V18" s="711"/>
      <c r="W18" s="712"/>
      <c r="X18" s="1486"/>
      <c r="Y18" s="3460"/>
      <c r="Z18" s="1487"/>
      <c r="AA18" s="1484">
        <v>1</v>
      </c>
      <c r="AB18" s="1484">
        <v>1</v>
      </c>
      <c r="AC18" s="1484">
        <v>1</v>
      </c>
    </row>
    <row r="19" spans="1:29" ht="42.75">
      <c r="A19" s="386"/>
      <c r="B19" s="409" t="s">
        <v>2233</v>
      </c>
      <c r="C19" s="203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458"/>
      <c r="Q19" s="1483" t="str">
        <f>B19</f>
        <v>公共配套设施</v>
      </c>
      <c r="R19" s="711" t="s">
        <v>17</v>
      </c>
      <c r="S19" s="712">
        <f>F19</f>
        <v>100</v>
      </c>
      <c r="T19" s="711" t="s">
        <v>17</v>
      </c>
      <c r="U19" s="712">
        <f>H19</f>
        <v>100</v>
      </c>
      <c r="V19" s="711" t="s">
        <v>17</v>
      </c>
      <c r="W19" s="712">
        <f>J19</f>
        <v>100</v>
      </c>
      <c r="X19" s="1486"/>
      <c r="Y19" s="3460"/>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2897"/>
      <c r="M20" s="2891"/>
      <c r="N20" s="2891"/>
      <c r="O20" s="2891"/>
      <c r="P20" s="3458"/>
      <c r="Q20" s="1483"/>
      <c r="R20" s="711"/>
      <c r="S20" s="712"/>
      <c r="T20" s="711"/>
      <c r="U20" s="712"/>
      <c r="V20" s="711"/>
      <c r="W20" s="712"/>
      <c r="X20" s="1486"/>
      <c r="Y20" s="3460"/>
      <c r="Z20" s="1487"/>
      <c r="AA20" s="1484">
        <v>1</v>
      </c>
      <c r="AB20" s="1484">
        <v>1</v>
      </c>
      <c r="AC20" s="1484">
        <v>1</v>
      </c>
    </row>
    <row r="21" spans="1:29" ht="28.5">
      <c r="A21" s="386"/>
      <c r="B21" s="1242" t="s">
        <v>2234</v>
      </c>
      <c r="C21" s="203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458"/>
      <c r="Q21" s="1483" t="str">
        <f>B21</f>
        <v>基础设施水平</v>
      </c>
      <c r="R21" s="711" t="s">
        <v>17</v>
      </c>
      <c r="S21" s="712">
        <f>F21</f>
        <v>100</v>
      </c>
      <c r="T21" s="711" t="s">
        <v>17</v>
      </c>
      <c r="U21" s="712">
        <f>H21</f>
        <v>100</v>
      </c>
      <c r="V21" s="711" t="s">
        <v>17</v>
      </c>
      <c r="W21" s="712">
        <f>J21</f>
        <v>100</v>
      </c>
      <c r="X21" s="1486"/>
      <c r="Y21" s="3460"/>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2897"/>
      <c r="M22" s="2891"/>
      <c r="N22" s="2891"/>
      <c r="O22" s="2891"/>
      <c r="P22" s="3458"/>
      <c r="Q22" s="1483"/>
      <c r="R22" s="711"/>
      <c r="S22" s="712"/>
      <c r="T22" s="711"/>
      <c r="U22" s="712"/>
      <c r="V22" s="711"/>
      <c r="W22" s="712"/>
      <c r="X22" s="1486"/>
      <c r="Y22" s="3460"/>
      <c r="Z22" s="1487"/>
      <c r="AA22" s="1484">
        <v>1</v>
      </c>
      <c r="AB22" s="1484">
        <v>1</v>
      </c>
      <c r="AC22" s="1484">
        <v>1</v>
      </c>
    </row>
    <row r="23" spans="1:29" ht="57">
      <c r="A23" s="386"/>
      <c r="B23" s="409" t="s">
        <v>1705</v>
      </c>
      <c r="C23" s="208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458"/>
      <c r="Q23" s="1483" t="str">
        <f>B23</f>
        <v>自然及人文环境</v>
      </c>
      <c r="R23" s="711" t="s">
        <v>17</v>
      </c>
      <c r="S23" s="712">
        <f>F23</f>
        <v>100</v>
      </c>
      <c r="T23" s="711" t="s">
        <v>17</v>
      </c>
      <c r="U23" s="712">
        <f>H23</f>
        <v>100</v>
      </c>
      <c r="V23" s="711" t="s">
        <v>17</v>
      </c>
      <c r="W23" s="712">
        <f>J23</f>
        <v>100</v>
      </c>
      <c r="X23" s="1486"/>
      <c r="Y23" s="3460"/>
      <c r="Z23" s="1487" t="str">
        <f>Q23</f>
        <v>自然及人文环境</v>
      </c>
      <c r="AA23" s="1484">
        <f t="shared" si="3"/>
        <v>1</v>
      </c>
      <c r="AB23" s="1484">
        <f t="shared" si="4"/>
        <v>1</v>
      </c>
      <c r="AC23" s="1484">
        <f t="shared" si="5"/>
        <v>1</v>
      </c>
    </row>
    <row r="24" spans="1:29" ht="15">
      <c r="A24" s="386"/>
      <c r="B24" s="414"/>
      <c r="C24" s="405"/>
      <c r="D24" s="406"/>
      <c r="E24" s="2031"/>
      <c r="F24" s="407"/>
      <c r="G24" s="2030"/>
      <c r="H24" s="406"/>
      <c r="I24" s="2031"/>
      <c r="J24" s="406"/>
      <c r="K24" s="571"/>
      <c r="L24" s="2897"/>
      <c r="M24" s="2891"/>
      <c r="N24" s="2891"/>
      <c r="O24" s="2891"/>
      <c r="P24" s="3458"/>
      <c r="Q24" s="1483"/>
      <c r="R24" s="711"/>
      <c r="S24" s="712"/>
      <c r="T24" s="711"/>
      <c r="U24" s="712"/>
      <c r="V24" s="711"/>
      <c r="W24" s="712"/>
      <c r="X24" s="1486"/>
      <c r="Y24" s="3460"/>
      <c r="Z24" s="1487"/>
      <c r="AA24" s="1484">
        <v>1</v>
      </c>
      <c r="AB24" s="1484">
        <v>1</v>
      </c>
      <c r="AC24" s="1484">
        <v>1</v>
      </c>
    </row>
    <row r="25" spans="1:29" ht="15">
      <c r="A25" s="386"/>
      <c r="B25" s="380" t="s">
        <v>2235</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458"/>
      <c r="Q25" s="1483" t="str">
        <f t="shared" ref="Q25:Q46" si="11">B25</f>
        <v>临街状况</v>
      </c>
      <c r="R25" s="711" t="s">
        <v>17</v>
      </c>
      <c r="S25" s="712">
        <f>F25</f>
        <v>100</v>
      </c>
      <c r="T25" s="711" t="s">
        <v>17</v>
      </c>
      <c r="U25" s="712">
        <f>H25</f>
        <v>100</v>
      </c>
      <c r="V25" s="711" t="s">
        <v>17</v>
      </c>
      <c r="W25" s="712">
        <f>J25</f>
        <v>100</v>
      </c>
      <c r="X25" s="1486"/>
      <c r="Y25" s="3460"/>
      <c r="Z25" s="1487" t="str">
        <f>Q25</f>
        <v>临街状况</v>
      </c>
      <c r="AA25" s="1484">
        <f t="shared" si="3"/>
        <v>1</v>
      </c>
      <c r="AB25" s="1484">
        <f t="shared" si="4"/>
        <v>1</v>
      </c>
      <c r="AC25" s="1484">
        <f t="shared" si="5"/>
        <v>1</v>
      </c>
    </row>
    <row r="26" spans="1:29" ht="15">
      <c r="A26" s="386"/>
      <c r="B26" s="1244" t="s">
        <v>2236</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458"/>
      <c r="Q26" s="1483" t="str">
        <f t="shared" si="11"/>
        <v>平面位置/可视性</v>
      </c>
      <c r="R26" s="711" t="s">
        <v>17</v>
      </c>
      <c r="S26" s="712">
        <f>F26</f>
        <v>100</v>
      </c>
      <c r="T26" s="711" t="s">
        <v>17</v>
      </c>
      <c r="U26" s="712">
        <f>H26</f>
        <v>100</v>
      </c>
      <c r="V26" s="711" t="s">
        <v>17</v>
      </c>
      <c r="W26" s="712">
        <f>J26</f>
        <v>100</v>
      </c>
      <c r="X26" s="1486"/>
      <c r="Y26" s="3460"/>
      <c r="Z26" s="1487" t="str">
        <f>Q26</f>
        <v>平面位置/可视性</v>
      </c>
      <c r="AA26" s="1484">
        <f t="shared" si="3"/>
        <v>1</v>
      </c>
      <c r="AB26" s="1484">
        <f t="shared" si="4"/>
        <v>1</v>
      </c>
      <c r="AC26" s="1484">
        <f t="shared" si="5"/>
        <v>1</v>
      </c>
    </row>
    <row r="27" spans="1:29" s="112" customFormat="1" ht="15">
      <c r="A27" s="389"/>
      <c r="B27" s="409" t="s">
        <v>2237</v>
      </c>
      <c r="C27" s="2089"/>
      <c r="D27" s="420">
        <v>100</v>
      </c>
      <c r="E27" s="2089"/>
      <c r="F27" s="422">
        <f>SUMIF(90:90,E27,91:91)-SUMIF(90:90,C27,91:91)+100</f>
        <v>100</v>
      </c>
      <c r="G27" s="2089"/>
      <c r="H27" s="420">
        <f>SUMIF(90:90,G27,91:91)-SUMIF(90:90,C27,91:91)+100</f>
        <v>100</v>
      </c>
      <c r="I27" s="2089"/>
      <c r="J27" s="420">
        <f>SUMIF(90:90,I27,91:91)-SUMIF(90:90,C27,91:91)+100</f>
        <v>100</v>
      </c>
      <c r="K27" s="568"/>
      <c r="L27" s="2892"/>
      <c r="M27" s="2893"/>
      <c r="N27" s="2893"/>
      <c r="O27" s="2893"/>
      <c r="P27" s="3458"/>
      <c r="Q27" s="1474" t="str">
        <f t="shared" si="11"/>
        <v>人流量</v>
      </c>
      <c r="R27" s="707" t="s">
        <v>17</v>
      </c>
      <c r="S27" s="708">
        <f>F27</f>
        <v>100</v>
      </c>
      <c r="T27" s="707" t="s">
        <v>17</v>
      </c>
      <c r="U27" s="708">
        <f>H27</f>
        <v>100</v>
      </c>
      <c r="V27" s="707" t="s">
        <v>17</v>
      </c>
      <c r="W27" s="708">
        <f>J27</f>
        <v>100</v>
      </c>
      <c r="X27" s="709"/>
      <c r="Y27" s="3460"/>
      <c r="Z27" s="54" t="str">
        <f>Q27</f>
        <v>人流量</v>
      </c>
      <c r="AA27" s="1484">
        <f>D27/F27</f>
        <v>1</v>
      </c>
      <c r="AB27" s="1484">
        <f>D27/H27</f>
        <v>1</v>
      </c>
      <c r="AC27" s="1484">
        <f>D27/J27</f>
        <v>1</v>
      </c>
    </row>
    <row r="28" spans="1:29" ht="15">
      <c r="A28" s="386"/>
      <c r="B28" s="380" t="s">
        <v>2238</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458"/>
      <c r="Q28" s="1483" t="str">
        <f t="shared" si="11"/>
        <v>楼层</v>
      </c>
      <c r="R28" s="711" t="s">
        <v>17</v>
      </c>
      <c r="S28" s="712">
        <f t="shared" ref="S28:S46" si="12">F28</f>
        <v>100</v>
      </c>
      <c r="T28" s="711" t="s">
        <v>17</v>
      </c>
      <c r="U28" s="712">
        <f t="shared" ref="U28:U46" si="13">H28</f>
        <v>100</v>
      </c>
      <c r="V28" s="711" t="s">
        <v>17</v>
      </c>
      <c r="W28" s="712">
        <f t="shared" ref="W28:W46" si="14">J28</f>
        <v>100</v>
      </c>
      <c r="X28" s="1486"/>
      <c r="Y28" s="3460"/>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458"/>
      <c r="Q29" s="1483">
        <f t="shared" si="11"/>
        <v>111</v>
      </c>
      <c r="R29" s="711" t="s">
        <v>17</v>
      </c>
      <c r="S29" s="712">
        <f t="shared" si="12"/>
        <v>100</v>
      </c>
      <c r="T29" s="711" t="s">
        <v>17</v>
      </c>
      <c r="U29" s="712">
        <f t="shared" si="13"/>
        <v>100</v>
      </c>
      <c r="V29" s="711" t="s">
        <v>17</v>
      </c>
      <c r="W29" s="712">
        <f t="shared" si="14"/>
        <v>100</v>
      </c>
      <c r="X29" s="1486"/>
      <c r="Y29" s="3460"/>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458"/>
      <c r="Q30" s="1483">
        <f t="shared" si="11"/>
        <v>111</v>
      </c>
      <c r="R30" s="711" t="s">
        <v>17</v>
      </c>
      <c r="S30" s="712">
        <f t="shared" si="12"/>
        <v>100</v>
      </c>
      <c r="T30" s="711" t="s">
        <v>17</v>
      </c>
      <c r="U30" s="712">
        <f t="shared" si="13"/>
        <v>100</v>
      </c>
      <c r="V30" s="711" t="s">
        <v>17</v>
      </c>
      <c r="W30" s="712">
        <f t="shared" si="14"/>
        <v>100</v>
      </c>
      <c r="X30" s="1486"/>
      <c r="Y30" s="3460"/>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458"/>
      <c r="Q31" s="1483">
        <f t="shared" si="11"/>
        <v>111</v>
      </c>
      <c r="R31" s="711" t="s">
        <v>17</v>
      </c>
      <c r="S31" s="712">
        <f t="shared" si="12"/>
        <v>100</v>
      </c>
      <c r="T31" s="711" t="s">
        <v>17</v>
      </c>
      <c r="U31" s="712">
        <f t="shared" si="13"/>
        <v>100</v>
      </c>
      <c r="V31" s="711" t="s">
        <v>17</v>
      </c>
      <c r="W31" s="712">
        <f t="shared" si="14"/>
        <v>100</v>
      </c>
      <c r="X31" s="1486"/>
      <c r="Y31" s="3460"/>
      <c r="Z31" s="1487">
        <f t="shared" si="15"/>
        <v>111</v>
      </c>
      <c r="AA31" s="1484">
        <f t="shared" si="3"/>
        <v>1</v>
      </c>
      <c r="AB31" s="1484">
        <f t="shared" si="4"/>
        <v>1</v>
      </c>
      <c r="AC31" s="1484">
        <f t="shared" si="5"/>
        <v>1</v>
      </c>
    </row>
    <row r="32" spans="1:29" ht="15">
      <c r="A32" s="398" t="s">
        <v>2142</v>
      </c>
      <c r="B32" s="66" t="s">
        <v>2239</v>
      </c>
      <c r="C32" s="2043"/>
      <c r="D32" s="425">
        <v>100</v>
      </c>
      <c r="E32" s="2043"/>
      <c r="F32" s="419">
        <f>SUMIF(100:100,E32,101:101)-SUMIF(100:100,C32,101:101)+100</f>
        <v>100</v>
      </c>
      <c r="G32" s="2043"/>
      <c r="H32" s="393">
        <f>SUMIF(100:100,G32,101:101)-SUMIF(100:100,C32,101:101)+100</f>
        <v>100</v>
      </c>
      <c r="I32" s="2043"/>
      <c r="J32" s="425">
        <f>SUMIF(100:100,I32,101:101)-SUMIF(100:100,C32,101:101)+100</f>
        <v>100</v>
      </c>
      <c r="K32" s="568"/>
      <c r="L32" s="2897"/>
      <c r="M32" s="2891"/>
      <c r="N32" s="2891"/>
      <c r="O32" s="2891"/>
      <c r="P32" s="3461" t="s">
        <v>2144</v>
      </c>
      <c r="Q32" s="1483" t="str">
        <f t="shared" si="11"/>
        <v>商业类型</v>
      </c>
      <c r="R32" s="711" t="s">
        <v>17</v>
      </c>
      <c r="S32" s="712">
        <f t="shared" si="12"/>
        <v>100</v>
      </c>
      <c r="T32" s="711" t="s">
        <v>17</v>
      </c>
      <c r="U32" s="712">
        <f t="shared" si="13"/>
        <v>100</v>
      </c>
      <c r="V32" s="711" t="s">
        <v>17</v>
      </c>
      <c r="W32" s="712">
        <f t="shared" si="14"/>
        <v>100</v>
      </c>
      <c r="X32" s="1486"/>
      <c r="Y32" s="3464" t="s">
        <v>2144</v>
      </c>
      <c r="Z32" s="1487" t="str">
        <f t="shared" si="15"/>
        <v>商业类型</v>
      </c>
      <c r="AA32" s="1484">
        <f t="shared" si="3"/>
        <v>1</v>
      </c>
      <c r="AB32" s="1484">
        <f t="shared" si="4"/>
        <v>1</v>
      </c>
      <c r="AC32" s="1484">
        <f t="shared" si="5"/>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462"/>
      <c r="Q33" s="713" t="str">
        <f t="shared" si="11"/>
        <v>项目建筑规模</v>
      </c>
      <c r="R33" s="714" t="s">
        <v>17</v>
      </c>
      <c r="S33" s="715" t="e">
        <f t="shared" si="12"/>
        <v>#N/A</v>
      </c>
      <c r="T33" s="714" t="s">
        <v>17</v>
      </c>
      <c r="U33" s="715" t="e">
        <f t="shared" si="13"/>
        <v>#N/A</v>
      </c>
      <c r="V33" s="714" t="s">
        <v>17</v>
      </c>
      <c r="W33" s="715" t="e">
        <f t="shared" si="14"/>
        <v>#N/A</v>
      </c>
      <c r="X33" s="716"/>
      <c r="Y33" s="3464"/>
      <c r="Z33" s="717" t="str">
        <f t="shared" si="15"/>
        <v>项目建筑规模</v>
      </c>
      <c r="AA33" s="1484" t="e">
        <f t="shared" si="3"/>
        <v>#N/A</v>
      </c>
      <c r="AB33" s="1484" t="e">
        <f t="shared" si="4"/>
        <v>#N/A</v>
      </c>
      <c r="AC33" s="1484" t="e">
        <f t="shared" si="5"/>
        <v>#N/A</v>
      </c>
    </row>
    <row r="34" spans="1:29" ht="15">
      <c r="A34" s="430"/>
      <c r="B34" s="380" t="s">
        <v>2146</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7"/>
      <c r="M34" s="2891"/>
      <c r="N34" s="2891"/>
      <c r="O34" s="2891"/>
      <c r="P34" s="3462"/>
      <c r="Q34" s="1483" t="str">
        <f t="shared" si="11"/>
        <v>建筑结构</v>
      </c>
      <c r="R34" s="711" t="s">
        <v>17</v>
      </c>
      <c r="S34" s="712">
        <f t="shared" si="12"/>
        <v>100</v>
      </c>
      <c r="T34" s="711" t="s">
        <v>17</v>
      </c>
      <c r="U34" s="712">
        <f t="shared" si="13"/>
        <v>100</v>
      </c>
      <c r="V34" s="711" t="s">
        <v>17</v>
      </c>
      <c r="W34" s="712">
        <f t="shared" si="14"/>
        <v>100</v>
      </c>
      <c r="X34" s="1486"/>
      <c r="Y34" s="3464"/>
      <c r="Z34" s="1487" t="str">
        <f t="shared" si="15"/>
        <v>建筑结构</v>
      </c>
      <c r="AA34" s="1484">
        <f t="shared" si="3"/>
        <v>1</v>
      </c>
      <c r="AB34" s="1484">
        <f t="shared" si="4"/>
        <v>1</v>
      </c>
      <c r="AC34" s="1484">
        <f t="shared" si="5"/>
        <v>1</v>
      </c>
    </row>
    <row r="35" spans="1:29" ht="15">
      <c r="A35" s="430"/>
      <c r="B35" s="380" t="s">
        <v>2240</v>
      </c>
      <c r="C35" s="2039"/>
      <c r="D35" s="393">
        <v>100</v>
      </c>
      <c r="E35" s="2039"/>
      <c r="F35" s="419">
        <f>SUMIF(107:107,E35,108:108)-SUMIF(107:107,C35,108:108)+100</f>
        <v>100</v>
      </c>
      <c r="G35" s="2039"/>
      <c r="H35" s="393">
        <f>SUMIF(107:107,G35,108:108)-SUMIF(107:107,C35,108:108)+100</f>
        <v>100</v>
      </c>
      <c r="I35" s="2039"/>
      <c r="J35" s="393">
        <f>SUMIF(107:107,I35,108:108)-SUMIF(107:107,C35,108:108)+100</f>
        <v>100</v>
      </c>
      <c r="K35" s="568"/>
      <c r="L35" s="2897"/>
      <c r="M35" s="2891"/>
      <c r="N35" s="2891"/>
      <c r="O35" s="2891"/>
      <c r="P35" s="3462"/>
      <c r="Q35" s="1483" t="str">
        <f t="shared" si="11"/>
        <v>公共部分装修</v>
      </c>
      <c r="R35" s="711" t="s">
        <v>17</v>
      </c>
      <c r="S35" s="712">
        <f t="shared" si="12"/>
        <v>100</v>
      </c>
      <c r="T35" s="711" t="s">
        <v>17</v>
      </c>
      <c r="U35" s="712">
        <f t="shared" si="13"/>
        <v>100</v>
      </c>
      <c r="V35" s="711" t="s">
        <v>17</v>
      </c>
      <c r="W35" s="712">
        <f t="shared" si="14"/>
        <v>100</v>
      </c>
      <c r="X35" s="1486"/>
      <c r="Y35" s="3464"/>
      <c r="Z35" s="1487" t="str">
        <f t="shared" si="15"/>
        <v>公共部分装修</v>
      </c>
      <c r="AA35" s="1484">
        <f t="shared" si="3"/>
        <v>1</v>
      </c>
      <c r="AB35" s="1484">
        <f t="shared" si="4"/>
        <v>1</v>
      </c>
      <c r="AC35" s="1484">
        <f t="shared" si="5"/>
        <v>1</v>
      </c>
    </row>
    <row r="36" spans="1:29" ht="15">
      <c r="A36" s="430"/>
      <c r="B36" s="380" t="s">
        <v>2241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462"/>
      <c r="Q36" s="1483" t="str">
        <f t="shared" si="11"/>
        <v>成新度</v>
      </c>
      <c r="R36" s="711" t="s">
        <v>17</v>
      </c>
      <c r="S36" s="712" t="e">
        <f t="shared" si="12"/>
        <v>#N/A</v>
      </c>
      <c r="T36" s="711" t="s">
        <v>17</v>
      </c>
      <c r="U36" s="712" t="e">
        <f t="shared" si="13"/>
        <v>#N/A</v>
      </c>
      <c r="V36" s="711" t="s">
        <v>17</v>
      </c>
      <c r="W36" s="712" t="e">
        <f t="shared" si="14"/>
        <v>#N/A</v>
      </c>
      <c r="X36" s="1486"/>
      <c r="Y36" s="3464"/>
      <c r="Z36" s="1487" t="str">
        <f t="shared" si="15"/>
        <v>成新度</v>
      </c>
      <c r="AA36" s="1484" t="e">
        <f t="shared" si="3"/>
        <v>#N/A</v>
      </c>
      <c r="AB36" s="1484" t="e">
        <f t="shared" si="4"/>
        <v>#N/A</v>
      </c>
      <c r="AC36" s="1484" t="e">
        <f t="shared" si="5"/>
        <v>#N/A</v>
      </c>
    </row>
    <row r="37" spans="1:29" s="112" customFormat="1" ht="15">
      <c r="A37" s="431"/>
      <c r="B37" s="380" t="s">
        <v>2242</v>
      </c>
      <c r="C37" s="2039"/>
      <c r="D37" s="131">
        <v>100</v>
      </c>
      <c r="E37" s="2039"/>
      <c r="F37" s="419">
        <f>SUMIF(112:112,E37,113:113)-SUMIF(112:112,C37,113:113)+100</f>
        <v>100</v>
      </c>
      <c r="G37" s="2039"/>
      <c r="H37" s="393">
        <f>SUMIF(112:112,G37,113:113)-SUMIF(112:112,C37,113:113)+100</f>
        <v>100</v>
      </c>
      <c r="I37" s="2039"/>
      <c r="J37" s="393">
        <f>SUMIF(112:112,I37,113:113)-SUMIF(112:112,C37,113:113)+100</f>
        <v>100</v>
      </c>
      <c r="K37" s="568"/>
      <c r="L37" s="2892"/>
      <c r="M37" s="2893"/>
      <c r="N37" s="2893"/>
      <c r="O37" s="2893"/>
      <c r="P37" s="3462"/>
      <c r="Q37" s="1474" t="str">
        <f t="shared" si="11"/>
        <v>市政基础设施</v>
      </c>
      <c r="R37" s="707" t="s">
        <v>17</v>
      </c>
      <c r="S37" s="708">
        <f t="shared" si="12"/>
        <v>100</v>
      </c>
      <c r="T37" s="707" t="s">
        <v>17</v>
      </c>
      <c r="U37" s="708">
        <f t="shared" si="13"/>
        <v>100</v>
      </c>
      <c r="V37" s="707" t="s">
        <v>17</v>
      </c>
      <c r="W37" s="708">
        <f t="shared" si="14"/>
        <v>100</v>
      </c>
      <c r="X37" s="709"/>
      <c r="Y37" s="3464"/>
      <c r="Z37" s="54" t="str">
        <f t="shared" si="15"/>
        <v>市政基础设施</v>
      </c>
      <c r="AA37" s="710">
        <f t="shared" si="3"/>
        <v>1</v>
      </c>
      <c r="AB37" s="710">
        <f t="shared" si="4"/>
        <v>1</v>
      </c>
      <c r="AC37" s="710">
        <f t="shared" si="5"/>
        <v>1</v>
      </c>
    </row>
    <row r="38" spans="1:29" ht="15">
      <c r="A38" s="430"/>
      <c r="B38" s="380" t="s">
        <v>2243</v>
      </c>
      <c r="C38" s="2039"/>
      <c r="D38" s="393">
        <v>100</v>
      </c>
      <c r="E38" s="2039"/>
      <c r="F38" s="419">
        <f>SUMIF(114:114,E38,115:115)-SUMIF(114:114,C38,115:115)+100</f>
        <v>100</v>
      </c>
      <c r="G38" s="2039"/>
      <c r="H38" s="393">
        <f>SUMIF(114:114,G38,115:115)-SUMIF(114:114,C38,115:115)+100</f>
        <v>100</v>
      </c>
      <c r="I38" s="2039"/>
      <c r="J38" s="393">
        <f>SUMIF(114:114,I38,115:115)-SUMIF(114:114,C38,115:115)+100</f>
        <v>100</v>
      </c>
      <c r="K38" s="568"/>
      <c r="L38" s="2897"/>
      <c r="M38" s="2891"/>
      <c r="N38" s="2891"/>
      <c r="O38" s="2891"/>
      <c r="P38" s="3462" t="s">
        <v>2144</v>
      </c>
      <c r="Q38" s="1483" t="str">
        <f t="shared" si="11"/>
        <v>业态</v>
      </c>
      <c r="R38" s="711" t="s">
        <v>17</v>
      </c>
      <c r="S38" s="712">
        <f t="shared" si="12"/>
        <v>100</v>
      </c>
      <c r="T38" s="711" t="s">
        <v>17</v>
      </c>
      <c r="U38" s="712">
        <f t="shared" si="13"/>
        <v>100</v>
      </c>
      <c r="V38" s="711" t="s">
        <v>17</v>
      </c>
      <c r="W38" s="712">
        <f t="shared" si="14"/>
        <v>100</v>
      </c>
      <c r="X38" s="1486"/>
      <c r="Y38" s="3464" t="s">
        <v>2144</v>
      </c>
      <c r="Z38" s="1487" t="str">
        <f t="shared" si="15"/>
        <v>业态</v>
      </c>
      <c r="AA38" s="1484">
        <f t="shared" si="3"/>
        <v>1</v>
      </c>
      <c r="AB38" s="1484">
        <f t="shared" si="4"/>
        <v>1</v>
      </c>
      <c r="AC38" s="1484">
        <f t="shared" si="5"/>
        <v>1</v>
      </c>
    </row>
    <row r="39" spans="1:29" ht="15">
      <c r="A39" s="430"/>
      <c r="B39" s="380" t="s">
        <v>2244</v>
      </c>
      <c r="C39" s="2039"/>
      <c r="D39" s="393">
        <v>100</v>
      </c>
      <c r="E39" s="2039"/>
      <c r="F39" s="419">
        <f>SUMIF(116:116,E39,117:117)-SUMIF(116:116,C39,117:117)+100</f>
        <v>100</v>
      </c>
      <c r="G39" s="2039"/>
      <c r="H39" s="393">
        <f>SUMIF(116:116,G39,117:117)-SUMIF(116:116,C39,117:117)+100</f>
        <v>100</v>
      </c>
      <c r="I39" s="2039"/>
      <c r="J39" s="393">
        <f>SUMIF(116:116,I39,117:117)-SUMIF(116:116,C39,117:117)+100</f>
        <v>100</v>
      </c>
      <c r="K39" s="568"/>
      <c r="L39" s="2897"/>
      <c r="M39" s="2891"/>
      <c r="N39" s="2891"/>
      <c r="O39" s="2891"/>
      <c r="P39" s="3462"/>
      <c r="Q39" s="1483" t="str">
        <f t="shared" si="11"/>
        <v>层高</v>
      </c>
      <c r="R39" s="711" t="s">
        <v>17</v>
      </c>
      <c r="S39" s="712">
        <f t="shared" si="12"/>
        <v>100</v>
      </c>
      <c r="T39" s="711" t="s">
        <v>17</v>
      </c>
      <c r="U39" s="712">
        <f t="shared" si="13"/>
        <v>100</v>
      </c>
      <c r="V39" s="711" t="s">
        <v>17</v>
      </c>
      <c r="W39" s="712">
        <f t="shared" si="14"/>
        <v>100</v>
      </c>
      <c r="X39" s="1486"/>
      <c r="Y39" s="3464"/>
      <c r="Z39" s="1487" t="str">
        <f t="shared" si="15"/>
        <v>层高</v>
      </c>
      <c r="AA39" s="1484">
        <f t="shared" si="3"/>
        <v>1</v>
      </c>
      <c r="AB39" s="1484">
        <f t="shared" si="4"/>
        <v>1</v>
      </c>
      <c r="AC39" s="1484">
        <f t="shared" si="5"/>
        <v>1</v>
      </c>
    </row>
    <row r="40" spans="1:29" ht="15">
      <c r="A40" s="430"/>
      <c r="B40" s="380" t="s">
        <v>2245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462"/>
      <c r="Q40" s="1483" t="str">
        <f t="shared" si="11"/>
        <v>单套建筑面积</v>
      </c>
      <c r="R40" s="711" t="s">
        <v>17</v>
      </c>
      <c r="S40" s="712">
        <f t="shared" si="12"/>
        <v>100</v>
      </c>
      <c r="T40" s="711" t="s">
        <v>17</v>
      </c>
      <c r="U40" s="712">
        <f t="shared" si="13"/>
        <v>100</v>
      </c>
      <c r="V40" s="711" t="s">
        <v>17</v>
      </c>
      <c r="W40" s="712">
        <f t="shared" si="14"/>
        <v>100</v>
      </c>
      <c r="X40" s="1486"/>
      <c r="Y40" s="3464"/>
      <c r="Z40" s="1487" t="str">
        <f t="shared" si="15"/>
        <v>单套建筑面积</v>
      </c>
      <c r="AA40" s="1484">
        <f t="shared" si="3"/>
        <v>1</v>
      </c>
      <c r="AB40" s="1484">
        <f t="shared" si="4"/>
        <v>1</v>
      </c>
      <c r="AC40" s="1484">
        <f t="shared" si="5"/>
        <v>1</v>
      </c>
    </row>
    <row r="41" spans="1:29" s="429" customFormat="1" ht="15">
      <c r="A41" s="426"/>
      <c r="B41" s="1485"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462"/>
      <c r="Q41" s="713" t="str">
        <f t="shared" si="11"/>
        <v>进深比</v>
      </c>
      <c r="R41" s="714" t="s">
        <v>17</v>
      </c>
      <c r="S41" s="715">
        <f t="shared" si="12"/>
        <v>100</v>
      </c>
      <c r="T41" s="714" t="s">
        <v>17</v>
      </c>
      <c r="U41" s="715">
        <f t="shared" si="13"/>
        <v>100</v>
      </c>
      <c r="V41" s="714" t="s">
        <v>17</v>
      </c>
      <c r="W41" s="715">
        <f t="shared" si="14"/>
        <v>100</v>
      </c>
      <c r="X41" s="716"/>
      <c r="Y41" s="3464"/>
      <c r="Z41" s="717" t="str">
        <f t="shared" si="15"/>
        <v>进深比</v>
      </c>
      <c r="AA41" s="1484">
        <f t="shared" si="3"/>
        <v>1</v>
      </c>
      <c r="AB41" s="1484">
        <f t="shared" si="4"/>
        <v>1</v>
      </c>
      <c r="AC41" s="1484">
        <f t="shared" si="5"/>
        <v>1</v>
      </c>
    </row>
    <row r="42" spans="1:29" ht="15">
      <c r="A42" s="430"/>
      <c r="B42" s="380" t="s">
        <v>2247</v>
      </c>
      <c r="C42" s="2039"/>
      <c r="D42" s="393">
        <v>100</v>
      </c>
      <c r="E42" s="2039"/>
      <c r="F42" s="419">
        <f>SUMIF(122:122,E42,123:123)-SUMIF(122:122,C42,123:123)+100</f>
        <v>100</v>
      </c>
      <c r="G42" s="2039"/>
      <c r="H42" s="393">
        <f>SUMIF(122:122,G42,123:123)-SUMIF(122:122,C42,123:123)+100</f>
        <v>100</v>
      </c>
      <c r="I42" s="2039"/>
      <c r="J42" s="393">
        <f>SUMIF(122:122,I42,123:123)-SUMIF(122:122,C42,123:123)+100</f>
        <v>100</v>
      </c>
      <c r="K42" s="568"/>
      <c r="L42" s="2897"/>
      <c r="M42" s="2891"/>
      <c r="N42" s="2891"/>
      <c r="O42" s="2891"/>
      <c r="P42" s="3462"/>
      <c r="Q42" s="1483" t="str">
        <f t="shared" si="11"/>
        <v>内部装修</v>
      </c>
      <c r="R42" s="711" t="s">
        <v>17</v>
      </c>
      <c r="S42" s="712">
        <f t="shared" si="12"/>
        <v>100</v>
      </c>
      <c r="T42" s="711" t="s">
        <v>17</v>
      </c>
      <c r="U42" s="712">
        <f t="shared" si="13"/>
        <v>100</v>
      </c>
      <c r="V42" s="711" t="s">
        <v>17</v>
      </c>
      <c r="W42" s="712">
        <f t="shared" si="14"/>
        <v>100</v>
      </c>
      <c r="X42" s="1486"/>
      <c r="Y42" s="3464"/>
      <c r="Z42" s="1487" t="str">
        <f t="shared" si="15"/>
        <v>内部装修</v>
      </c>
      <c r="AA42" s="1484">
        <f t="shared" si="3"/>
        <v>1</v>
      </c>
      <c r="AB42" s="1484">
        <f t="shared" si="4"/>
        <v>1</v>
      </c>
      <c r="AC42" s="1484">
        <f t="shared" si="5"/>
        <v>1</v>
      </c>
    </row>
    <row r="43" spans="1:29" ht="15">
      <c r="A43" s="430"/>
      <c r="B43" s="380" t="s">
        <v>2155</v>
      </c>
      <c r="C43" s="2039"/>
      <c r="D43" s="393">
        <v>100</v>
      </c>
      <c r="E43" s="2039"/>
      <c r="F43" s="419">
        <f>SUMIF(124:124,E43,125:125)-SUMIF(124:124,C43,125:125)+100</f>
        <v>100</v>
      </c>
      <c r="G43" s="2039"/>
      <c r="H43" s="393">
        <f>SUMIF(124:124,G43,125:125)-SUMIF(124:124,C43,125:125)+100</f>
        <v>100</v>
      </c>
      <c r="I43" s="2039"/>
      <c r="J43" s="393">
        <f>SUMIF(124:124,I43,125:125)-SUMIF(124:124,C43,125:125)+100</f>
        <v>100</v>
      </c>
      <c r="K43" s="568"/>
      <c r="L43" s="2897"/>
      <c r="M43" s="2891"/>
      <c r="N43" s="2891"/>
      <c r="O43" s="2891"/>
      <c r="P43" s="3462"/>
      <c r="Q43" s="1483" t="str">
        <f t="shared" si="11"/>
        <v>内部装修维护情况</v>
      </c>
      <c r="R43" s="711" t="s">
        <v>17</v>
      </c>
      <c r="S43" s="712">
        <f t="shared" si="12"/>
        <v>100</v>
      </c>
      <c r="T43" s="711" t="s">
        <v>17</v>
      </c>
      <c r="U43" s="712">
        <f t="shared" si="13"/>
        <v>100</v>
      </c>
      <c r="V43" s="711" t="s">
        <v>17</v>
      </c>
      <c r="W43" s="712">
        <f t="shared" si="14"/>
        <v>100</v>
      </c>
      <c r="X43" s="1486"/>
      <c r="Y43" s="3464"/>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462"/>
      <c r="Q44" s="1474">
        <f t="shared" si="11"/>
        <v>111</v>
      </c>
      <c r="R44" s="707" t="s">
        <v>17</v>
      </c>
      <c r="S44" s="708">
        <f t="shared" si="12"/>
        <v>100</v>
      </c>
      <c r="T44" s="707" t="s">
        <v>17</v>
      </c>
      <c r="U44" s="708">
        <f t="shared" si="13"/>
        <v>100</v>
      </c>
      <c r="V44" s="707" t="s">
        <v>17</v>
      </c>
      <c r="W44" s="708">
        <f t="shared" si="14"/>
        <v>100</v>
      </c>
      <c r="X44" s="709"/>
      <c r="Y44" s="3464"/>
      <c r="Z44" s="54">
        <f t="shared" si="15"/>
        <v>111</v>
      </c>
      <c r="AA44" s="710">
        <f t="shared" si="3"/>
        <v>1</v>
      </c>
      <c r="AB44" s="710">
        <f t="shared" si="4"/>
        <v>1</v>
      </c>
      <c r="AC44" s="710">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462"/>
      <c r="Q45" s="1483">
        <f t="shared" si="11"/>
        <v>111</v>
      </c>
      <c r="R45" s="711" t="s">
        <v>17</v>
      </c>
      <c r="S45" s="712">
        <f t="shared" si="12"/>
        <v>100</v>
      </c>
      <c r="T45" s="711" t="s">
        <v>17</v>
      </c>
      <c r="U45" s="712">
        <f t="shared" si="13"/>
        <v>100</v>
      </c>
      <c r="V45" s="711" t="s">
        <v>17</v>
      </c>
      <c r="W45" s="712">
        <f t="shared" si="14"/>
        <v>100</v>
      </c>
      <c r="X45" s="1486"/>
      <c r="Y45" s="3464"/>
      <c r="Z45" s="1487">
        <f t="shared" si="15"/>
        <v>111</v>
      </c>
      <c r="AA45" s="1484">
        <f t="shared" si="3"/>
        <v>1</v>
      </c>
      <c r="AB45" s="1484">
        <f t="shared" si="4"/>
        <v>1</v>
      </c>
      <c r="AC45" s="1484">
        <f t="shared" si="5"/>
        <v>1</v>
      </c>
    </row>
    <row r="46" spans="1:29" ht="15.75" thickBot="1">
      <c r="A46" s="436"/>
      <c r="B46" s="202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463"/>
      <c r="Q46" s="1483">
        <f t="shared" si="11"/>
        <v>111</v>
      </c>
      <c r="R46" s="711" t="s">
        <v>17</v>
      </c>
      <c r="S46" s="712">
        <f t="shared" si="12"/>
        <v>100</v>
      </c>
      <c r="T46" s="711" t="s">
        <v>17</v>
      </c>
      <c r="U46" s="712">
        <f t="shared" si="13"/>
        <v>100</v>
      </c>
      <c r="V46" s="711" t="s">
        <v>17</v>
      </c>
      <c r="W46" s="712">
        <f t="shared" si="14"/>
        <v>100</v>
      </c>
      <c r="X46" s="1486"/>
      <c r="Y46" s="3465"/>
      <c r="Z46" s="1487">
        <f t="shared" si="15"/>
        <v>111</v>
      </c>
      <c r="AA46" s="1484">
        <f t="shared" si="3"/>
        <v>1</v>
      </c>
      <c r="AB46" s="1484">
        <f t="shared" si="4"/>
        <v>1</v>
      </c>
      <c r="AC46" s="1484">
        <f t="shared" si="5"/>
        <v>1</v>
      </c>
    </row>
    <row r="47" spans="1:29" ht="15">
      <c r="A47" s="437" t="s">
        <v>2156</v>
      </c>
      <c r="B47" s="438"/>
      <c r="C47" s="1265" t="s">
        <v>1</v>
      </c>
      <c r="D47" s="1266"/>
      <c r="E47" s="1267"/>
      <c r="F47" s="1268"/>
      <c r="G47" s="1269"/>
      <c r="H47" s="1270"/>
      <c r="I47" s="1267"/>
      <c r="J47" s="1270"/>
      <c r="K47" s="720"/>
      <c r="L47" s="2899"/>
      <c r="M47" s="2900"/>
      <c r="N47" s="2891"/>
      <c r="O47" s="2900"/>
      <c r="P47" s="3452" t="str">
        <f>A47</f>
        <v>成交单价（元/平方米）</v>
      </c>
      <c r="Q47" s="3452"/>
      <c r="R47" s="3486">
        <f>E47</f>
        <v>0</v>
      </c>
      <c r="S47" s="3486"/>
      <c r="T47" s="3486">
        <f>G47</f>
        <v>0</v>
      </c>
      <c r="U47" s="3486"/>
      <c r="V47" s="3486">
        <f>I47</f>
        <v>0</v>
      </c>
      <c r="W47" s="3486"/>
      <c r="X47" s="696"/>
      <c r="Y47" s="718"/>
      <c r="Z47" s="696"/>
      <c r="AA47" s="696"/>
      <c r="AB47" s="696"/>
      <c r="AC47" s="696"/>
    </row>
    <row r="48" spans="1:29" ht="15.75" thickBot="1">
      <c r="A48" s="444" t="s">
        <v>2248</v>
      </c>
      <c r="B48" s="445"/>
      <c r="C48" s="1271" t="e">
        <f>R49</f>
        <v>#DIV/0!</v>
      </c>
      <c r="D48" s="2485" t="s">
        <v>2637</v>
      </c>
      <c r="E48" s="1272" t="e">
        <f>R48</f>
        <v>#DIV/0!</v>
      </c>
      <c r="F48" s="2486"/>
      <c r="G48" s="1271" t="e">
        <f>T48</f>
        <v>#DIV/0!</v>
      </c>
      <c r="H48" s="2486"/>
      <c r="I48" s="1272" t="e">
        <f>V48</f>
        <v>#DIV/0!</v>
      </c>
      <c r="J48" s="2486"/>
      <c r="K48" s="2488">
        <f>F48+H48+J48</f>
        <v>0</v>
      </c>
      <c r="L48" s="2899"/>
      <c r="M48" s="2900"/>
      <c r="N48" s="2891"/>
      <c r="O48" s="2900"/>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6"/>
      <c r="Y48" s="696"/>
      <c r="Z48" s="696"/>
      <c r="AA48" s="696"/>
      <c r="AB48" s="696"/>
      <c r="AC48" s="696"/>
    </row>
    <row r="49" spans="1:29" ht="15.75" thickBot="1">
      <c r="A49" s="448" t="s">
        <v>2249</v>
      </c>
      <c r="B49" s="449"/>
      <c r="C49" s="1274" t="e">
        <f>R49</f>
        <v>#DIV/0!</v>
      </c>
      <c r="D49" s="1274"/>
      <c r="E49" s="1274"/>
      <c r="F49" s="1274"/>
      <c r="G49" s="1274"/>
      <c r="H49" s="1274"/>
      <c r="I49" s="1274"/>
      <c r="J49" s="1274"/>
      <c r="K49" s="721"/>
      <c r="L49" s="2899"/>
      <c r="M49" s="2900"/>
      <c r="N49" s="2891"/>
      <c r="O49" s="2900"/>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0" t="s">
        <v>2253</v>
      </c>
      <c r="B57" s="696"/>
      <c r="C57" s="701"/>
      <c r="D57" s="701"/>
      <c r="E57" s="701"/>
      <c r="F57" s="702"/>
      <c r="G57" s="702"/>
      <c r="H57" s="701"/>
      <c r="I57" s="701"/>
      <c r="J57" s="701"/>
      <c r="K57" s="703"/>
      <c r="L57" s="1051"/>
      <c r="M57" s="1049"/>
      <c r="N57" s="1049"/>
      <c r="O57" s="1049"/>
      <c r="P57" s="2913"/>
      <c r="Q57" s="2914"/>
      <c r="R57" s="2900"/>
      <c r="S57" s="2900"/>
      <c r="T57" s="2900"/>
      <c r="U57" s="2900"/>
      <c r="V57" s="2900"/>
      <c r="W57" s="2900"/>
      <c r="X57" s="2900"/>
      <c r="Y57" s="2900"/>
      <c r="Z57" s="2900"/>
      <c r="AA57" s="2900"/>
      <c r="AB57" s="2900"/>
      <c r="AC57" s="2900"/>
    </row>
    <row r="58" spans="1:29" s="464" customFormat="1" ht="15">
      <c r="A58" s="461" t="s">
        <v>2127</v>
      </c>
      <c r="B58" s="462"/>
      <c r="C58" s="1295" t="str">
        <f>YEAR(C7)&amp;"-"&amp;MONTH(C7)</f>
        <v>2022-9</v>
      </c>
      <c r="D58" s="1296">
        <f>EDATE(C58,-1)</f>
        <v>44774</v>
      </c>
      <c r="E58" s="1296">
        <f t="shared" ref="E58:N58" si="16">EDATE(D58,-1)</f>
        <v>44743</v>
      </c>
      <c r="F58" s="1296">
        <f t="shared" si="16"/>
        <v>44713</v>
      </c>
      <c r="G58" s="1296">
        <f t="shared" si="16"/>
        <v>44682</v>
      </c>
      <c r="H58" s="1296">
        <f t="shared" si="16"/>
        <v>44652</v>
      </c>
      <c r="I58" s="1296">
        <f t="shared" si="16"/>
        <v>44621</v>
      </c>
      <c r="J58" s="1296">
        <f t="shared" si="16"/>
        <v>44593</v>
      </c>
      <c r="K58" s="1296">
        <f t="shared" si="16"/>
        <v>44562</v>
      </c>
      <c r="L58" s="1296">
        <f t="shared" si="16"/>
        <v>44531</v>
      </c>
      <c r="M58" s="1296">
        <f t="shared" si="16"/>
        <v>44501</v>
      </c>
      <c r="N58" s="1296">
        <f t="shared" si="16"/>
        <v>44470</v>
      </c>
      <c r="O58" s="1296">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4">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2164</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2129</v>
      </c>
      <c r="B61" s="466"/>
      <c r="C61" s="478" t="s">
        <v>2231</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2167</v>
      </c>
      <c r="B63" s="484" t="s">
        <v>2133</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2138</v>
      </c>
      <c r="B76" s="484" t="s">
        <v>2175</v>
      </c>
      <c r="C76" s="529" t="s">
        <v>2176</v>
      </c>
      <c r="D76" s="529" t="s">
        <v>2177</v>
      </c>
      <c r="E76" s="529" t="s">
        <v>2178</v>
      </c>
      <c r="F76" s="529" t="s">
        <v>2179</v>
      </c>
      <c r="G76" s="529" t="s">
        <v>2180</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2181</v>
      </c>
      <c r="C78" s="534" t="s">
        <v>2176</v>
      </c>
      <c r="D78" s="534" t="s">
        <v>2177</v>
      </c>
      <c r="E78" s="534" t="s">
        <v>2178</v>
      </c>
      <c r="F78" s="534" t="s">
        <v>2179</v>
      </c>
      <c r="G78" s="534" t="s">
        <v>2180</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2182</v>
      </c>
      <c r="C80" s="534" t="s">
        <v>2176</v>
      </c>
      <c r="D80" s="534" t="s">
        <v>2177</v>
      </c>
      <c r="E80" s="534" t="s">
        <v>2178</v>
      </c>
      <c r="F80" s="534" t="s">
        <v>2179</v>
      </c>
      <c r="G80" s="534" t="s">
        <v>2180</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2234</v>
      </c>
      <c r="C82" s="615" t="s">
        <v>2254</v>
      </c>
      <c r="D82" s="615" t="s">
        <v>2255</v>
      </c>
      <c r="E82" s="615" t="s">
        <v>2256</v>
      </c>
      <c r="F82" s="615" t="s">
        <v>2257</v>
      </c>
      <c r="G82" s="615" t="s">
        <v>2258</v>
      </c>
      <c r="H82" s="495"/>
      <c r="I82" s="495"/>
      <c r="J82" s="495"/>
      <c r="K82" s="495"/>
      <c r="L82" s="495"/>
      <c r="M82" s="1240"/>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2188</v>
      </c>
      <c r="C84" s="534" t="s">
        <v>2176</v>
      </c>
      <c r="D84" s="534" t="s">
        <v>2177</v>
      </c>
      <c r="E84" s="534" t="s">
        <v>2178</v>
      </c>
      <c r="F84" s="534" t="s">
        <v>2179</v>
      </c>
      <c r="G84" s="534" t="s">
        <v>2180</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2259</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0"/>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1"/>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2142</v>
      </c>
      <c r="B100" s="484" t="s">
        <v>2260</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2193</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2195</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2197</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2261</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2262</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2263</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2264</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2199</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2022年9月1日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本次评估采用的主估价方法为比较法和收益法。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2281</v>
      </c>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IF(C2="——",ROUND(C43*D3/10000,0),ROUND(C43*D3/10000,0)-D2)</f>
        <v>#DIV/0!</v>
      </c>
      <c r="C2" s="2014"/>
      <c r="D2" s="1016" t="e">
        <f ca="1">SUMIF(INDIRECT("'"&amp;F2&amp;"'"&amp;"!A:A"),"承租人权益价值",INDIRECT("'"&amp;F2&amp;"'"&amp;"!c:c"))</f>
        <v>#REF!</v>
      </c>
      <c r="E2" s="2015" t="s">
        <v>1907</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24865.040000000005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0" t="s">
        <v>2224</v>
      </c>
      <c r="B4" s="361"/>
      <c r="C4" s="3469" t="s">
        <v>2225</v>
      </c>
      <c r="D4" s="3470"/>
      <c r="E4" s="3471" t="s">
        <v>2226</v>
      </c>
      <c r="F4" s="3472"/>
      <c r="G4" s="3469" t="s">
        <v>2227</v>
      </c>
      <c r="H4" s="3470"/>
      <c r="I4" s="3469" t="s">
        <v>2228</v>
      </c>
      <c r="J4" s="3470"/>
      <c r="K4" s="566" t="s">
        <v>2229</v>
      </c>
      <c r="L4" s="1022"/>
      <c r="M4" s="1023"/>
      <c r="N4" s="1023"/>
      <c r="O4" s="1023"/>
      <c r="P4" s="3536" t="s">
        <v>2230</v>
      </c>
      <c r="Q4" s="3537"/>
      <c r="R4" s="3540" t="s">
        <v>2226</v>
      </c>
      <c r="S4" s="3541"/>
      <c r="T4" s="3540" t="s">
        <v>2227</v>
      </c>
      <c r="U4" s="3541"/>
      <c r="V4" s="3486" t="s">
        <v>2228</v>
      </c>
      <c r="W4" s="3486"/>
      <c r="X4" s="1486"/>
      <c r="Y4" s="3540" t="s">
        <v>2230</v>
      </c>
      <c r="Z4" s="3541"/>
      <c r="AA4" s="3535" t="s">
        <v>2226</v>
      </c>
      <c r="AB4" s="3499" t="s">
        <v>2227</v>
      </c>
      <c r="AC4" s="3535" t="s">
        <v>2228</v>
      </c>
    </row>
    <row r="5" spans="1:29" ht="15">
      <c r="A5" s="363"/>
      <c r="B5" s="364"/>
      <c r="C5" s="3495" t="s">
        <v>2121</v>
      </c>
      <c r="D5" s="3490"/>
      <c r="E5" s="3542" t="s">
        <v>2122</v>
      </c>
      <c r="F5" s="3502"/>
      <c r="G5" s="3495" t="s">
        <v>2123</v>
      </c>
      <c r="H5" s="3490"/>
      <c r="I5" s="3495" t="s">
        <v>2124</v>
      </c>
      <c r="J5" s="3490"/>
      <c r="K5" s="566"/>
      <c r="L5" s="1022"/>
      <c r="M5" s="1023"/>
      <c r="N5" s="1023"/>
      <c r="O5" s="1023"/>
      <c r="P5" s="3538"/>
      <c r="Q5" s="3476"/>
      <c r="R5" s="3481"/>
      <c r="S5" s="3482"/>
      <c r="T5" s="3481"/>
      <c r="U5" s="3482"/>
      <c r="V5" s="3486"/>
      <c r="W5" s="3486"/>
      <c r="X5" s="1486"/>
      <c r="Y5" s="3481"/>
      <c r="Z5" s="3482"/>
      <c r="AA5" s="3499"/>
      <c r="AB5" s="3499"/>
      <c r="AC5" s="3499"/>
    </row>
    <row r="6" spans="1:29" ht="15.75" thickBot="1">
      <c r="A6" s="365"/>
      <c r="B6" s="366"/>
      <c r="C6" s="3487" t="s">
        <v>2125</v>
      </c>
      <c r="D6" s="3488"/>
      <c r="E6" s="3496" t="s">
        <v>2125</v>
      </c>
      <c r="F6" s="3497"/>
      <c r="G6" s="3487" t="s">
        <v>2125</v>
      </c>
      <c r="H6" s="3488"/>
      <c r="I6" s="3487" t="s">
        <v>2125</v>
      </c>
      <c r="J6" s="3488"/>
      <c r="K6" s="566" t="s">
        <v>2126</v>
      </c>
      <c r="L6" s="1022"/>
      <c r="M6" s="1023"/>
      <c r="N6" s="1023"/>
      <c r="O6" s="1023"/>
      <c r="P6" s="3539"/>
      <c r="Q6" s="3478"/>
      <c r="R6" s="3481"/>
      <c r="S6" s="3482"/>
      <c r="T6" s="3483"/>
      <c r="U6" s="3484"/>
      <c r="V6" s="3486"/>
      <c r="W6" s="3486"/>
      <c r="X6" s="1486"/>
      <c r="Y6" s="3483"/>
      <c r="Z6" s="3484"/>
      <c r="AA6" s="3500"/>
      <c r="AB6" s="3500"/>
      <c r="AC6" s="3500"/>
    </row>
    <row r="7" spans="1:29" s="112" customFormat="1" ht="15.75" thickBot="1">
      <c r="A7" s="367" t="s">
        <v>2127</v>
      </c>
      <c r="B7" s="368"/>
      <c r="C7" s="369">
        <f>'数据-取费表'!B2</f>
        <v>44805</v>
      </c>
      <c r="D7" s="370">
        <v>100</v>
      </c>
      <c r="E7" s="371"/>
      <c r="F7" s="372">
        <f>SUMIF(52:52,YEAR(E7)&amp;"-"&amp;MONTH(E7),53:53)</f>
        <v>0</v>
      </c>
      <c r="G7" s="371"/>
      <c r="H7" s="370">
        <f>SUMIF(52:52,YEAR(G7)&amp;"-"&amp;MONTH(G7),53:53)</f>
        <v>0</v>
      </c>
      <c r="I7" s="371"/>
      <c r="J7" s="370">
        <f>SUMIF(52:52,YEAR(I7)&amp;"-"&amp;MONTH(I7),53:53)</f>
        <v>0</v>
      </c>
      <c r="K7" s="567"/>
      <c r="L7" s="1024"/>
      <c r="M7" s="1025"/>
      <c r="N7" s="1025"/>
      <c r="O7" s="1025"/>
      <c r="P7" s="3493" t="s">
        <v>2128</v>
      </c>
      <c r="Q7" s="3494"/>
      <c r="R7" s="707" t="s">
        <v>17</v>
      </c>
      <c r="S7" s="708">
        <f t="shared" ref="S7:S15" si="0">F7</f>
        <v>0</v>
      </c>
      <c r="T7" s="707" t="s">
        <v>17</v>
      </c>
      <c r="U7" s="708">
        <f t="shared" ref="U7:U15" si="1">H7</f>
        <v>0</v>
      </c>
      <c r="V7" s="707" t="s">
        <v>17</v>
      </c>
      <c r="W7" s="708">
        <f t="shared" ref="W7:W15" si="2">J7</f>
        <v>0</v>
      </c>
      <c r="X7" s="709"/>
      <c r="Y7" s="3493" t="s">
        <v>2128</v>
      </c>
      <c r="Z7" s="3492"/>
      <c r="AA7" s="710" t="e">
        <f>D7/F7</f>
        <v>#DIV/0!</v>
      </c>
      <c r="AB7" s="710" t="e">
        <f>D7/H7</f>
        <v>#DIV/0!</v>
      </c>
      <c r="AC7" s="710" t="e">
        <f>D7/J7</f>
        <v>#DIV/0!</v>
      </c>
    </row>
    <row r="8" spans="1:29" s="112"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4"/>
      <c r="M8" s="1025"/>
      <c r="N8" s="1025"/>
      <c r="O8" s="1025"/>
      <c r="P8" s="3493" t="s">
        <v>2131</v>
      </c>
      <c r="Q8" s="3492"/>
      <c r="R8" s="707" t="s">
        <v>17</v>
      </c>
      <c r="S8" s="708">
        <f t="shared" si="0"/>
        <v>0</v>
      </c>
      <c r="T8" s="707" t="s">
        <v>17</v>
      </c>
      <c r="U8" s="708">
        <f t="shared" si="1"/>
        <v>0</v>
      </c>
      <c r="V8" s="707" t="s">
        <v>17</v>
      </c>
      <c r="W8" s="708">
        <f t="shared" si="2"/>
        <v>0</v>
      </c>
      <c r="X8" s="709"/>
      <c r="Y8" s="3493" t="s">
        <v>2131</v>
      </c>
      <c r="Z8" s="3492"/>
      <c r="AA8" s="710" t="e">
        <f t="shared" ref="AA8:AA40" si="3">D8/F8</f>
        <v>#DIV/0!</v>
      </c>
      <c r="AB8" s="710" t="e">
        <f t="shared" ref="AB8:AB40" si="4">D8/H8</f>
        <v>#DIV/0!</v>
      </c>
      <c r="AC8" s="710" t="e">
        <f t="shared" ref="AC8:AC40" si="5">D8/J8</f>
        <v>#DIV/0!</v>
      </c>
    </row>
    <row r="9" spans="1:29" s="112" customFormat="1">
      <c r="A9" s="374" t="s">
        <v>2132</v>
      </c>
      <c r="B9" s="66" t="s">
        <v>2133</v>
      </c>
      <c r="C9" s="375"/>
      <c r="D9" s="130">
        <v>100</v>
      </c>
      <c r="E9" s="378"/>
      <c r="F9" s="130">
        <f>SUMIF(57:57,E9,58:58)-SUMIF(57:57,C9,58:58)+100</f>
        <v>100</v>
      </c>
      <c r="G9" s="376"/>
      <c r="H9" s="130">
        <f>SUMIF(57:57,G9,58:58)-SUMIF(57:57,C9,58:58)+100</f>
        <v>100</v>
      </c>
      <c r="I9" s="376"/>
      <c r="J9" s="130">
        <f>SUMIF(57:57,I9,58:58)-SUMIF(57:57,C9,58:58)+100</f>
        <v>100</v>
      </c>
      <c r="K9" s="567"/>
      <c r="L9" s="1024"/>
      <c r="M9" s="1025"/>
      <c r="N9" s="1025"/>
      <c r="O9" s="1026"/>
      <c r="P9" s="3452"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1"/>
      <c r="F10" s="131">
        <f>SUMIF(59:59,E10,60:60)-SUMIF(59:59,C10,60:60)+100</f>
        <v>100</v>
      </c>
      <c r="G10" s="382"/>
      <c r="H10" s="131">
        <f>SUMIF(59:59,G10,60:60)-SUMIF(59:59,C10,60:60)+100</f>
        <v>100</v>
      </c>
      <c r="I10" s="381"/>
      <c r="J10" s="131">
        <f>SUMIF(59:59,I10,60:60)-SUMIF(59:59,C10,60:60)+100</f>
        <v>100</v>
      </c>
      <c r="K10" s="568"/>
      <c r="L10" s="1027"/>
      <c r="M10" s="1028"/>
      <c r="N10" s="1028"/>
      <c r="O10" s="1029"/>
      <c r="P10" s="3452"/>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710">
        <f t="shared" si="5"/>
        <v>1</v>
      </c>
    </row>
    <row r="11" spans="1:29" ht="15">
      <c r="A11" s="386"/>
      <c r="B11" s="380" t="s">
        <v>2137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0"/>
      <c r="M11" s="1023"/>
      <c r="N11" s="1023"/>
      <c r="O11" s="1031"/>
      <c r="P11" s="3452"/>
      <c r="Q11" s="1474" t="str">
        <f t="shared" si="6"/>
        <v>容积率</v>
      </c>
      <c r="R11" s="707" t="s">
        <v>17</v>
      </c>
      <c r="S11" s="708" t="e">
        <f t="shared" si="0"/>
        <v>#N/A</v>
      </c>
      <c r="T11" s="707" t="s">
        <v>17</v>
      </c>
      <c r="U11" s="708" t="e">
        <f t="shared" si="1"/>
        <v>#N/A</v>
      </c>
      <c r="V11" s="707" t="s">
        <v>17</v>
      </c>
      <c r="W11" s="708" t="e">
        <f t="shared" si="2"/>
        <v>#N/A</v>
      </c>
      <c r="X11" s="709"/>
      <c r="Y11" s="3355"/>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131">
        <f>SUMIF(64:64,E12,65:65)-SUMIF(64:64,C12,65:65)+100</f>
        <v>100</v>
      </c>
      <c r="G12" s="2103"/>
      <c r="H12" s="131">
        <f>SUMIF(64:64,G12,65:65)-SUMIF(64:64,C12,65:65)+100</f>
        <v>100</v>
      </c>
      <c r="I12" s="427"/>
      <c r="J12" s="131">
        <f>SUMIF(64:64,I12,65:65)-SUMIF(64:64,C12,65:65)+100</f>
        <v>100</v>
      </c>
      <c r="K12" s="569"/>
      <c r="L12" s="1024"/>
      <c r="M12" s="1025"/>
      <c r="N12" s="1025"/>
      <c r="O12" s="1026"/>
      <c r="P12" s="3452"/>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710">
        <f>D12/J12</f>
        <v>1</v>
      </c>
    </row>
    <row r="13" spans="1:29" ht="15">
      <c r="A13" s="386"/>
      <c r="B13" s="2026">
        <v>111</v>
      </c>
      <c r="C13" s="392"/>
      <c r="D13" s="393">
        <v>100</v>
      </c>
      <c r="E13" s="392"/>
      <c r="F13" s="131">
        <f>SUMIF(66:66,E13,67:67)-SUMIF(66:66,C13,67:67)+100</f>
        <v>100</v>
      </c>
      <c r="G13" s="2103"/>
      <c r="H13" s="393">
        <f>SUMIF(66:66,G13,67:67)-SUMIF(66:66,C13,67:67)+100</f>
        <v>100</v>
      </c>
      <c r="I13" s="427"/>
      <c r="J13" s="393">
        <f>SUMIF(66:66,I13,67:67)-SUMIF(66:66,C13,67:67)+100</f>
        <v>100</v>
      </c>
      <c r="K13" s="569"/>
      <c r="L13" s="1032"/>
      <c r="M13" s="1023"/>
      <c r="N13" s="1023"/>
      <c r="O13" s="1031"/>
      <c r="P13" s="3452"/>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710">
        <f t="shared" si="5"/>
        <v>1</v>
      </c>
    </row>
    <row r="14" spans="1:29" ht="15.75" thickBot="1">
      <c r="A14" s="394"/>
      <c r="B14" s="2028">
        <v>111</v>
      </c>
      <c r="C14" s="395"/>
      <c r="D14" s="396">
        <v>100</v>
      </c>
      <c r="E14" s="395"/>
      <c r="F14" s="396">
        <f>SUMIF(68:68,E14,69:69)-SUMIF(68:68,C14,69:69)+100</f>
        <v>100</v>
      </c>
      <c r="G14" s="2103"/>
      <c r="H14" s="396">
        <f>SUMIF(68:68,G14,69:69)-SUMIF(68:68,C14,69:69)+100</f>
        <v>100</v>
      </c>
      <c r="I14" s="427"/>
      <c r="J14" s="396">
        <f>SUMIF(68:68,I14,69:69)-SUMIF(68:68,C14,69:69)+100</f>
        <v>100</v>
      </c>
      <c r="K14" s="569"/>
      <c r="L14" s="1032"/>
      <c r="M14" s="1023"/>
      <c r="N14" s="1023"/>
      <c r="O14" s="1031"/>
      <c r="P14" s="3452"/>
      <c r="Q14" s="1474">
        <f t="shared" si="6"/>
        <v>111</v>
      </c>
      <c r="R14" s="707" t="s">
        <v>17</v>
      </c>
      <c r="S14" s="708">
        <f t="shared" si="0"/>
        <v>100</v>
      </c>
      <c r="T14" s="707" t="s">
        <v>17</v>
      </c>
      <c r="U14" s="708">
        <f t="shared" si="1"/>
        <v>100</v>
      </c>
      <c r="V14" s="707" t="s">
        <v>17</v>
      </c>
      <c r="W14" s="708">
        <f t="shared" si="2"/>
        <v>100</v>
      </c>
      <c r="X14" s="709"/>
      <c r="Y14" s="3355"/>
      <c r="Z14" s="54">
        <f t="shared" si="7"/>
        <v>111</v>
      </c>
      <c r="AA14" s="710">
        <f t="shared" si="3"/>
        <v>1</v>
      </c>
      <c r="AB14" s="710">
        <f t="shared" si="4"/>
        <v>1</v>
      </c>
      <c r="AC14" s="710">
        <f t="shared" si="5"/>
        <v>1</v>
      </c>
    </row>
    <row r="15" spans="1:29" ht="57">
      <c r="A15" s="398" t="s">
        <v>2138</v>
      </c>
      <c r="B15" s="64" t="s">
        <v>2282</v>
      </c>
      <c r="C15" s="210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2"/>
      <c r="M15" s="1023"/>
      <c r="N15" s="1023"/>
      <c r="O15" s="1031"/>
      <c r="P15" s="3459" t="s">
        <v>2139</v>
      </c>
      <c r="Q15" s="1483" t="str">
        <f t="shared" si="6"/>
        <v>产业集聚程度</v>
      </c>
      <c r="R15" s="711" t="s">
        <v>17</v>
      </c>
      <c r="S15" s="712">
        <f t="shared" si="0"/>
        <v>100</v>
      </c>
      <c r="T15" s="711" t="s">
        <v>17</v>
      </c>
      <c r="U15" s="712">
        <f t="shared" si="1"/>
        <v>100</v>
      </c>
      <c r="V15" s="711" t="s">
        <v>17</v>
      </c>
      <c r="W15" s="712">
        <f t="shared" si="2"/>
        <v>100</v>
      </c>
      <c r="X15" s="1486"/>
      <c r="Y15" s="3459" t="s">
        <v>2139</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2"/>
      <c r="M16" s="1023"/>
      <c r="N16" s="1023"/>
      <c r="O16" s="1031"/>
      <c r="P16" s="3460"/>
      <c r="Q16" s="1483"/>
      <c r="R16" s="711"/>
      <c r="S16" s="712"/>
      <c r="T16" s="711"/>
      <c r="U16" s="712"/>
      <c r="V16" s="711"/>
      <c r="W16" s="712"/>
      <c r="X16" s="1486"/>
      <c r="Y16" s="3460"/>
      <c r="Z16" s="1487"/>
      <c r="AA16" s="1484">
        <v>1</v>
      </c>
      <c r="AB16" s="1484">
        <v>1</v>
      </c>
      <c r="AC16" s="1484">
        <v>1</v>
      </c>
    </row>
    <row r="17" spans="1:29" ht="85.5">
      <c r="A17" s="386"/>
      <c r="B17" s="409" t="s">
        <v>1703</v>
      </c>
      <c r="C17" s="203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2"/>
      <c r="M17" s="1023"/>
      <c r="N17" s="1023"/>
      <c r="O17" s="1031"/>
      <c r="P17" s="3460"/>
      <c r="Q17" s="1483" t="str">
        <f>B17</f>
        <v>交通便捷度</v>
      </c>
      <c r="R17" s="711" t="s">
        <v>17</v>
      </c>
      <c r="S17" s="712">
        <f>F17</f>
        <v>100</v>
      </c>
      <c r="T17" s="711" t="s">
        <v>17</v>
      </c>
      <c r="U17" s="712">
        <f>H17</f>
        <v>100</v>
      </c>
      <c r="V17" s="711" t="s">
        <v>17</v>
      </c>
      <c r="W17" s="712">
        <f>J17</f>
        <v>100</v>
      </c>
      <c r="X17" s="1486"/>
      <c r="Y17" s="3460"/>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1032"/>
      <c r="M18" s="1023"/>
      <c r="N18" s="1023"/>
      <c r="O18" s="1031"/>
      <c r="P18" s="3460"/>
      <c r="Q18" s="1483"/>
      <c r="R18" s="711"/>
      <c r="S18" s="712"/>
      <c r="T18" s="711"/>
      <c r="U18" s="712"/>
      <c r="V18" s="711"/>
      <c r="W18" s="712"/>
      <c r="X18" s="1486"/>
      <c r="Y18" s="3460"/>
      <c r="Z18" s="1487"/>
      <c r="AA18" s="1484">
        <v>1</v>
      </c>
      <c r="AB18" s="1484">
        <v>1</v>
      </c>
      <c r="AC18" s="1484">
        <v>1</v>
      </c>
    </row>
    <row r="19" spans="1:29" ht="42.75">
      <c r="A19" s="386"/>
      <c r="B19" s="409" t="s">
        <v>2267</v>
      </c>
      <c r="C19" s="203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2"/>
      <c r="M19" s="1023"/>
      <c r="N19" s="1023"/>
      <c r="O19" s="1031"/>
      <c r="P19" s="3460"/>
      <c r="Q19" s="1483" t="str">
        <f>B19</f>
        <v>公共配套设施</v>
      </c>
      <c r="R19" s="711" t="s">
        <v>17</v>
      </c>
      <c r="S19" s="712">
        <f>F19</f>
        <v>100</v>
      </c>
      <c r="T19" s="711" t="s">
        <v>17</v>
      </c>
      <c r="U19" s="712">
        <f>H19</f>
        <v>100</v>
      </c>
      <c r="V19" s="711" t="s">
        <v>17</v>
      </c>
      <c r="W19" s="712">
        <f>J19</f>
        <v>100</v>
      </c>
      <c r="X19" s="1486"/>
      <c r="Y19" s="3460"/>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1032"/>
      <c r="M20" s="1023"/>
      <c r="N20" s="1023"/>
      <c r="O20" s="1031"/>
      <c r="P20" s="3460"/>
      <c r="Q20" s="1483"/>
      <c r="R20" s="711"/>
      <c r="S20" s="712"/>
      <c r="T20" s="711"/>
      <c r="U20" s="712"/>
      <c r="V20" s="711"/>
      <c r="W20" s="712"/>
      <c r="X20" s="1486"/>
      <c r="Y20" s="3460"/>
      <c r="Z20" s="1487"/>
      <c r="AA20" s="1484">
        <v>1</v>
      </c>
      <c r="AB20" s="1484">
        <v>1</v>
      </c>
      <c r="AC20" s="1484">
        <v>1</v>
      </c>
    </row>
    <row r="21" spans="1:29" ht="28.5">
      <c r="A21" s="386"/>
      <c r="B21" s="1242" t="s">
        <v>2268</v>
      </c>
      <c r="C21" s="203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2"/>
      <c r="M21" s="1023"/>
      <c r="N21" s="1023"/>
      <c r="O21" s="1031"/>
      <c r="P21" s="3460"/>
      <c r="Q21" s="1483" t="str">
        <f>B21</f>
        <v>基础设施水平</v>
      </c>
      <c r="R21" s="711" t="s">
        <v>17</v>
      </c>
      <c r="S21" s="712">
        <f>F21</f>
        <v>100</v>
      </c>
      <c r="T21" s="711" t="s">
        <v>17</v>
      </c>
      <c r="U21" s="712">
        <f>H21</f>
        <v>100</v>
      </c>
      <c r="V21" s="711" t="s">
        <v>17</v>
      </c>
      <c r="W21" s="712">
        <f>J21</f>
        <v>100</v>
      </c>
      <c r="X21" s="1486"/>
      <c r="Y21" s="3460"/>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1032"/>
      <c r="M22" s="1023"/>
      <c r="N22" s="1023"/>
      <c r="O22" s="1031"/>
      <c r="P22" s="3460"/>
      <c r="Q22" s="1483"/>
      <c r="R22" s="711"/>
      <c r="S22" s="712"/>
      <c r="T22" s="711"/>
      <c r="U22" s="712"/>
      <c r="V22" s="711"/>
      <c r="W22" s="712"/>
      <c r="X22" s="1486"/>
      <c r="Y22" s="3460"/>
      <c r="Z22" s="1487"/>
      <c r="AA22" s="1484">
        <v>1</v>
      </c>
      <c r="AB22" s="1484">
        <v>1</v>
      </c>
      <c r="AC22" s="1484">
        <v>1</v>
      </c>
    </row>
    <row r="23" spans="1:29" ht="71.25">
      <c r="A23" s="386"/>
      <c r="B23" s="409" t="s">
        <v>2269</v>
      </c>
      <c r="C23" s="203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2"/>
      <c r="M23" s="1023"/>
      <c r="N23" s="1023"/>
      <c r="O23" s="1031"/>
      <c r="P23" s="3460"/>
      <c r="Q23" s="1483" t="str">
        <f>B23</f>
        <v>环境质量</v>
      </c>
      <c r="R23" s="711" t="s">
        <v>17</v>
      </c>
      <c r="S23" s="712">
        <f>F23</f>
        <v>100</v>
      </c>
      <c r="T23" s="711" t="s">
        <v>17</v>
      </c>
      <c r="U23" s="712">
        <f>H23</f>
        <v>100</v>
      </c>
      <c r="V23" s="711" t="s">
        <v>17</v>
      </c>
      <c r="W23" s="712">
        <f>J23</f>
        <v>100</v>
      </c>
      <c r="X23" s="1486"/>
      <c r="Y23" s="3460"/>
      <c r="Z23" s="1487" t="str">
        <f>Q23</f>
        <v>环境质量</v>
      </c>
      <c r="AA23" s="1484">
        <f t="shared" si="3"/>
        <v>1</v>
      </c>
      <c r="AB23" s="1484">
        <f t="shared" si="4"/>
        <v>1</v>
      </c>
      <c r="AC23" s="1484">
        <f t="shared" si="5"/>
        <v>1</v>
      </c>
    </row>
    <row r="24" spans="1:29" ht="15">
      <c r="A24" s="386"/>
      <c r="B24" s="1242"/>
      <c r="C24" s="405"/>
      <c r="D24" s="406"/>
      <c r="E24" s="2031"/>
      <c r="F24" s="407"/>
      <c r="G24" s="2030"/>
      <c r="H24" s="406"/>
      <c r="I24" s="2031"/>
      <c r="J24" s="406"/>
      <c r="K24" s="571"/>
      <c r="L24" s="1032"/>
      <c r="M24" s="1023"/>
      <c r="N24" s="1023"/>
      <c r="O24" s="1031"/>
      <c r="P24" s="3460"/>
      <c r="Q24" s="1483"/>
      <c r="R24" s="711"/>
      <c r="S24" s="712"/>
      <c r="T24" s="711"/>
      <c r="U24" s="712"/>
      <c r="V24" s="711"/>
      <c r="W24" s="712"/>
      <c r="X24" s="1486"/>
      <c r="Y24" s="3460"/>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2"/>
      <c r="M25" s="1023"/>
      <c r="N25" s="1023"/>
      <c r="O25" s="1031"/>
      <c r="P25" s="3460"/>
      <c r="Q25" s="1483">
        <f>B25</f>
        <v>111</v>
      </c>
      <c r="R25" s="711" t="s">
        <v>17</v>
      </c>
      <c r="S25" s="712">
        <f>F25</f>
        <v>100</v>
      </c>
      <c r="T25" s="711" t="s">
        <v>17</v>
      </c>
      <c r="U25" s="712">
        <f>H25</f>
        <v>100</v>
      </c>
      <c r="V25" s="711" t="s">
        <v>17</v>
      </c>
      <c r="W25" s="712">
        <f>J25</f>
        <v>100</v>
      </c>
      <c r="X25" s="1486"/>
      <c r="Y25" s="3460"/>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2"/>
      <c r="M26" s="1023"/>
      <c r="N26" s="1023"/>
      <c r="O26" s="1031"/>
      <c r="P26" s="3460"/>
      <c r="Q26" s="1483">
        <f t="shared" ref="Q26:Q40" si="11">B26</f>
        <v>111</v>
      </c>
      <c r="R26" s="711" t="s">
        <v>17</v>
      </c>
      <c r="S26" s="712">
        <f>F26</f>
        <v>100</v>
      </c>
      <c r="T26" s="711" t="s">
        <v>17</v>
      </c>
      <c r="U26" s="712">
        <f>H26</f>
        <v>100</v>
      </c>
      <c r="V26" s="711" t="s">
        <v>17</v>
      </c>
      <c r="W26" s="712">
        <f>J26</f>
        <v>100</v>
      </c>
      <c r="X26" s="1486"/>
      <c r="Y26" s="3460"/>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4"/>
      <c r="M27" s="1025"/>
      <c r="N27" s="1025"/>
      <c r="O27" s="1026"/>
      <c r="P27" s="3460"/>
      <c r="Q27" s="1474">
        <f t="shared" si="11"/>
        <v>111</v>
      </c>
      <c r="R27" s="707" t="s">
        <v>17</v>
      </c>
      <c r="S27" s="708">
        <f>F27</f>
        <v>100</v>
      </c>
      <c r="T27" s="707" t="s">
        <v>17</v>
      </c>
      <c r="U27" s="708">
        <f>H27</f>
        <v>100</v>
      </c>
      <c r="V27" s="707" t="s">
        <v>17</v>
      </c>
      <c r="W27" s="708">
        <f>J27</f>
        <v>100</v>
      </c>
      <c r="X27" s="709"/>
      <c r="Y27" s="3460"/>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2"/>
      <c r="M28" s="1023"/>
      <c r="N28" s="1023"/>
      <c r="O28" s="1031"/>
      <c r="P28" s="3460"/>
      <c r="Q28" s="1483">
        <f t="shared" si="11"/>
        <v>111</v>
      </c>
      <c r="R28" s="711" t="s">
        <v>17</v>
      </c>
      <c r="S28" s="712">
        <f t="shared" ref="S28:S40" si="12">F28</f>
        <v>100</v>
      </c>
      <c r="T28" s="711" t="s">
        <v>17</v>
      </c>
      <c r="U28" s="712">
        <f t="shared" ref="U28:U40" si="13">H28</f>
        <v>100</v>
      </c>
      <c r="V28" s="711" t="s">
        <v>17</v>
      </c>
      <c r="W28" s="712">
        <f t="shared" ref="W28:W40" si="14">J28</f>
        <v>100</v>
      </c>
      <c r="X28" s="1486"/>
      <c r="Y28" s="3460"/>
      <c r="Z28" s="1487">
        <f t="shared" ref="Z28:Z40" si="15">Q28</f>
        <v>111</v>
      </c>
      <c r="AA28" s="1484">
        <f t="shared" si="3"/>
        <v>1</v>
      </c>
      <c r="AB28" s="1484">
        <f t="shared" si="4"/>
        <v>1</v>
      </c>
      <c r="AC28" s="1484">
        <f t="shared" si="5"/>
        <v>1</v>
      </c>
    </row>
    <row r="29" spans="1:29" ht="28.5">
      <c r="A29" s="424" t="s">
        <v>2142</v>
      </c>
      <c r="B29" s="66" t="s">
        <v>2272</v>
      </c>
      <c r="C29" s="2100"/>
      <c r="D29" s="425">
        <v>100</v>
      </c>
      <c r="E29" s="2100"/>
      <c r="F29" s="419">
        <f>SUMIF(88:88,E29,89:89)-SUMIF(88:88,C29,89:89)+100</f>
        <v>100</v>
      </c>
      <c r="G29" s="2100"/>
      <c r="H29" s="393">
        <f>SUMIF(88:88,G29,89:89)-SUMIF(88:88,C29,89:89)+100</f>
        <v>100</v>
      </c>
      <c r="I29" s="2100"/>
      <c r="J29" s="425">
        <f>SUMIF(88:88,I29,89:89)-SUMIF(88:88,C29,89:89)+100</f>
        <v>100</v>
      </c>
      <c r="K29" s="568"/>
      <c r="L29" s="1032"/>
      <c r="M29" s="1023"/>
      <c r="N29" s="1023"/>
      <c r="O29" s="1031"/>
      <c r="P29" s="3543" t="s">
        <v>2144</v>
      </c>
      <c r="Q29" s="1483" t="str">
        <f t="shared" si="11"/>
        <v>建筑类型</v>
      </c>
      <c r="R29" s="711" t="s">
        <v>17</v>
      </c>
      <c r="S29" s="712">
        <f t="shared" si="12"/>
        <v>100</v>
      </c>
      <c r="T29" s="711" t="s">
        <v>17</v>
      </c>
      <c r="U29" s="712">
        <f t="shared" si="13"/>
        <v>100</v>
      </c>
      <c r="V29" s="711" t="s">
        <v>17</v>
      </c>
      <c r="W29" s="712">
        <f t="shared" si="14"/>
        <v>100</v>
      </c>
      <c r="X29" s="1486"/>
      <c r="Y29" s="3464" t="s">
        <v>2144</v>
      </c>
      <c r="Z29" s="1487" t="str">
        <f t="shared" si="15"/>
        <v>建筑类型</v>
      </c>
      <c r="AA29" s="1484">
        <f t="shared" si="3"/>
        <v>1</v>
      </c>
      <c r="AB29" s="1484">
        <f t="shared" si="4"/>
        <v>1</v>
      </c>
      <c r="AC29" s="1484">
        <f t="shared" si="5"/>
        <v>1</v>
      </c>
    </row>
    <row r="30" spans="1:29" s="429" customFormat="1" ht="15">
      <c r="A30" s="426"/>
      <c r="B30" s="380" t="s">
        <v>2145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0"/>
      <c r="M30" s="1033"/>
      <c r="N30" s="1033"/>
      <c r="O30" s="1034"/>
      <c r="P30" s="3464"/>
      <c r="Q30" s="713" t="str">
        <f t="shared" si="11"/>
        <v>项目建筑规模</v>
      </c>
      <c r="R30" s="714" t="s">
        <v>17</v>
      </c>
      <c r="S30" s="715" t="e">
        <f t="shared" si="12"/>
        <v>#N/A</v>
      </c>
      <c r="T30" s="714" t="s">
        <v>17</v>
      </c>
      <c r="U30" s="715" t="e">
        <f t="shared" si="13"/>
        <v>#N/A</v>
      </c>
      <c r="V30" s="714" t="s">
        <v>17</v>
      </c>
      <c r="W30" s="715" t="e">
        <f t="shared" si="14"/>
        <v>#N/A</v>
      </c>
      <c r="X30" s="716"/>
      <c r="Y30" s="3464"/>
      <c r="Z30" s="717" t="str">
        <f t="shared" si="15"/>
        <v>项目建筑规模</v>
      </c>
      <c r="AA30" s="1484" t="e">
        <f t="shared" si="3"/>
        <v>#N/A</v>
      </c>
      <c r="AB30" s="1484" t="e">
        <f t="shared" si="4"/>
        <v>#N/A</v>
      </c>
      <c r="AC30" s="1484"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2"/>
      <c r="M31" s="1023"/>
      <c r="N31" s="1023"/>
      <c r="O31" s="1031"/>
      <c r="P31" s="3464"/>
      <c r="Q31" s="1483" t="str">
        <f t="shared" si="11"/>
        <v>建筑结构</v>
      </c>
      <c r="R31" s="711" t="s">
        <v>17</v>
      </c>
      <c r="S31" s="712">
        <f t="shared" si="12"/>
        <v>100</v>
      </c>
      <c r="T31" s="711" t="s">
        <v>17</v>
      </c>
      <c r="U31" s="712">
        <f t="shared" si="13"/>
        <v>100</v>
      </c>
      <c r="V31" s="711" t="s">
        <v>17</v>
      </c>
      <c r="W31" s="712">
        <f t="shared" si="14"/>
        <v>100</v>
      </c>
      <c r="X31" s="1486"/>
      <c r="Y31" s="3464"/>
      <c r="Z31" s="1487" t="str">
        <f t="shared" si="15"/>
        <v>建筑结构</v>
      </c>
      <c r="AA31" s="1484">
        <f t="shared" si="3"/>
        <v>1</v>
      </c>
      <c r="AB31" s="1484">
        <f t="shared" si="4"/>
        <v>1</v>
      </c>
      <c r="AC31" s="1484">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2"/>
      <c r="M32" s="1023"/>
      <c r="N32" s="1023"/>
      <c r="O32" s="1031"/>
      <c r="P32" s="3464"/>
      <c r="Q32" s="1483" t="str">
        <f t="shared" si="11"/>
        <v>公共部分装修</v>
      </c>
      <c r="R32" s="711" t="s">
        <v>17</v>
      </c>
      <c r="S32" s="712">
        <f t="shared" si="12"/>
        <v>100</v>
      </c>
      <c r="T32" s="711" t="s">
        <v>17</v>
      </c>
      <c r="U32" s="712">
        <f t="shared" si="13"/>
        <v>100</v>
      </c>
      <c r="V32" s="711" t="s">
        <v>17</v>
      </c>
      <c r="W32" s="712">
        <f t="shared" si="14"/>
        <v>100</v>
      </c>
      <c r="X32" s="1486"/>
      <c r="Y32" s="3464"/>
      <c r="Z32" s="1487" t="str">
        <f t="shared" si="15"/>
        <v>公共部分装修</v>
      </c>
      <c r="AA32" s="1484">
        <f t="shared" si="3"/>
        <v>1</v>
      </c>
      <c r="AB32" s="1484">
        <f t="shared" si="4"/>
        <v>1</v>
      </c>
      <c r="AC32" s="1484">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2"/>
      <c r="M33" s="1023"/>
      <c r="N33" s="1023"/>
      <c r="O33" s="1031"/>
      <c r="P33" s="3464"/>
      <c r="Q33" s="1483" t="str">
        <f t="shared" si="11"/>
        <v>成新度</v>
      </c>
      <c r="R33" s="711" t="s">
        <v>17</v>
      </c>
      <c r="S33" s="712" t="e">
        <f t="shared" si="12"/>
        <v>#N/A</v>
      </c>
      <c r="T33" s="711" t="s">
        <v>17</v>
      </c>
      <c r="U33" s="712" t="e">
        <f t="shared" si="13"/>
        <v>#N/A</v>
      </c>
      <c r="V33" s="711" t="s">
        <v>17</v>
      </c>
      <c r="W33" s="712" t="e">
        <f t="shared" si="14"/>
        <v>#N/A</v>
      </c>
      <c r="X33" s="1486"/>
      <c r="Y33" s="3464"/>
      <c r="Z33" s="1487" t="str">
        <f t="shared" si="15"/>
        <v>成新度</v>
      </c>
      <c r="AA33" s="1484" t="e">
        <f t="shared" si="3"/>
        <v>#N/A</v>
      </c>
      <c r="AB33" s="1484" t="e">
        <f t="shared" si="4"/>
        <v>#N/A</v>
      </c>
      <c r="AC33" s="1484" t="e">
        <f t="shared" si="5"/>
        <v>#N/A</v>
      </c>
    </row>
    <row r="34" spans="1:29" s="112" customFormat="1" ht="15">
      <c r="A34" s="431"/>
      <c r="B34" s="380" t="s">
        <v>2274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4"/>
      <c r="M34" s="1025"/>
      <c r="N34" s="1025"/>
      <c r="O34" s="1026"/>
      <c r="P34" s="3464"/>
      <c r="Q34" s="1474" t="str">
        <f t="shared" si="11"/>
        <v>物业管理</v>
      </c>
      <c r="R34" s="707" t="s">
        <v>17</v>
      </c>
      <c r="S34" s="708">
        <f t="shared" si="12"/>
        <v>100</v>
      </c>
      <c r="T34" s="707" t="s">
        <v>17</v>
      </c>
      <c r="U34" s="708">
        <f t="shared" si="13"/>
        <v>100</v>
      </c>
      <c r="V34" s="707" t="s">
        <v>17</v>
      </c>
      <c r="W34" s="708">
        <f t="shared" si="14"/>
        <v>100</v>
      </c>
      <c r="X34" s="709"/>
      <c r="Y34" s="3464"/>
      <c r="Z34" s="54"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2"/>
      <c r="M35" s="1023"/>
      <c r="N35" s="1023"/>
      <c r="O35" s="1031"/>
      <c r="P35" s="3464" t="s">
        <v>2144</v>
      </c>
      <c r="Q35" s="1483" t="str">
        <f t="shared" si="11"/>
        <v>市政基础设施</v>
      </c>
      <c r="R35" s="711" t="s">
        <v>17</v>
      </c>
      <c r="S35" s="712">
        <f t="shared" si="12"/>
        <v>100</v>
      </c>
      <c r="T35" s="711" t="s">
        <v>17</v>
      </c>
      <c r="U35" s="712">
        <f t="shared" si="13"/>
        <v>100</v>
      </c>
      <c r="V35" s="711" t="s">
        <v>17</v>
      </c>
      <c r="W35" s="712">
        <f t="shared" si="14"/>
        <v>100</v>
      </c>
      <c r="X35" s="1486"/>
      <c r="Y35" s="3464" t="s">
        <v>2144</v>
      </c>
      <c r="Z35" s="1487" t="str">
        <f t="shared" si="15"/>
        <v>市政基础设施</v>
      </c>
      <c r="AA35" s="1484">
        <f t="shared" si="3"/>
        <v>1</v>
      </c>
      <c r="AB35" s="1484">
        <f t="shared" si="4"/>
        <v>1</v>
      </c>
      <c r="AC35" s="1484">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2"/>
      <c r="M36" s="1023"/>
      <c r="N36" s="1023"/>
      <c r="O36" s="1031"/>
      <c r="P36" s="3464"/>
      <c r="Q36" s="1483" t="str">
        <f t="shared" si="11"/>
        <v>内部装修</v>
      </c>
      <c r="R36" s="711" t="s">
        <v>17</v>
      </c>
      <c r="S36" s="712">
        <f t="shared" si="12"/>
        <v>100</v>
      </c>
      <c r="T36" s="711" t="s">
        <v>17</v>
      </c>
      <c r="U36" s="712">
        <f t="shared" si="13"/>
        <v>100</v>
      </c>
      <c r="V36" s="711" t="s">
        <v>17</v>
      </c>
      <c r="W36" s="712">
        <f t="shared" si="14"/>
        <v>100</v>
      </c>
      <c r="X36" s="1486"/>
      <c r="Y36" s="3464"/>
      <c r="Z36" s="1487" t="str">
        <f t="shared" si="15"/>
        <v>内部装修</v>
      </c>
      <c r="AA36" s="1484">
        <f t="shared" si="3"/>
        <v>1</v>
      </c>
      <c r="AB36" s="1484">
        <f t="shared" si="4"/>
        <v>1</v>
      </c>
      <c r="AC36" s="1484">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2"/>
      <c r="M37" s="1023"/>
      <c r="N37" s="1023"/>
      <c r="O37" s="1031"/>
      <c r="P37" s="3464"/>
      <c r="Q37" s="1483" t="str">
        <f t="shared" si="11"/>
        <v>内部装修状况</v>
      </c>
      <c r="R37" s="711" t="s">
        <v>17</v>
      </c>
      <c r="S37" s="712">
        <f t="shared" si="12"/>
        <v>100</v>
      </c>
      <c r="T37" s="711" t="s">
        <v>17</v>
      </c>
      <c r="U37" s="712">
        <f t="shared" si="13"/>
        <v>100</v>
      </c>
      <c r="V37" s="711" t="s">
        <v>17</v>
      </c>
      <c r="W37" s="712">
        <f t="shared" si="14"/>
        <v>100</v>
      </c>
      <c r="X37" s="1486"/>
      <c r="Y37" s="3464"/>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0"/>
      <c r="M38" s="1033"/>
      <c r="N38" s="1033"/>
      <c r="O38" s="1034"/>
      <c r="P38" s="3464"/>
      <c r="Q38" s="713">
        <f t="shared" si="11"/>
        <v>111</v>
      </c>
      <c r="R38" s="714" t="s">
        <v>17</v>
      </c>
      <c r="S38" s="715">
        <f t="shared" si="12"/>
        <v>100</v>
      </c>
      <c r="T38" s="714" t="s">
        <v>17</v>
      </c>
      <c r="U38" s="715">
        <f t="shared" si="13"/>
        <v>100</v>
      </c>
      <c r="V38" s="714" t="s">
        <v>17</v>
      </c>
      <c r="W38" s="715">
        <f t="shared" si="14"/>
        <v>100</v>
      </c>
      <c r="X38" s="716"/>
      <c r="Y38" s="3464"/>
      <c r="Z38" s="717">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2"/>
      <c r="M39" s="1023"/>
      <c r="N39" s="1023"/>
      <c r="O39" s="1031"/>
      <c r="P39" s="3464"/>
      <c r="Q39" s="1483">
        <f t="shared" si="11"/>
        <v>111</v>
      </c>
      <c r="R39" s="711" t="s">
        <v>17</v>
      </c>
      <c r="S39" s="712">
        <f t="shared" si="12"/>
        <v>100</v>
      </c>
      <c r="T39" s="711" t="s">
        <v>17</v>
      </c>
      <c r="U39" s="712">
        <f t="shared" si="13"/>
        <v>100</v>
      </c>
      <c r="V39" s="711" t="s">
        <v>17</v>
      </c>
      <c r="W39" s="712">
        <f t="shared" si="14"/>
        <v>100</v>
      </c>
      <c r="X39" s="1486"/>
      <c r="Y39" s="3464"/>
      <c r="Z39" s="1487">
        <f t="shared" si="15"/>
        <v>111</v>
      </c>
      <c r="AA39" s="1484">
        <f t="shared" si="3"/>
        <v>1</v>
      </c>
      <c r="AB39" s="1484">
        <f t="shared" si="4"/>
        <v>1</v>
      </c>
      <c r="AC39" s="1484">
        <f t="shared" si="5"/>
        <v>1</v>
      </c>
    </row>
    <row r="40" spans="1:29" ht="15.75" thickBot="1">
      <c r="A40" s="436"/>
      <c r="B40" s="202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2"/>
      <c r="M40" s="1023"/>
      <c r="N40" s="1023"/>
      <c r="O40" s="1031"/>
      <c r="P40" s="3465"/>
      <c r="Q40" s="1483">
        <f t="shared" si="11"/>
        <v>111</v>
      </c>
      <c r="R40" s="711" t="s">
        <v>17</v>
      </c>
      <c r="S40" s="712">
        <f t="shared" si="12"/>
        <v>100</v>
      </c>
      <c r="T40" s="711" t="s">
        <v>17</v>
      </c>
      <c r="U40" s="712">
        <f t="shared" si="13"/>
        <v>100</v>
      </c>
      <c r="V40" s="711" t="s">
        <v>17</v>
      </c>
      <c r="W40" s="712">
        <f t="shared" si="14"/>
        <v>100</v>
      </c>
      <c r="X40" s="1486"/>
      <c r="Y40" s="3465"/>
      <c r="Z40" s="1487">
        <f t="shared" si="15"/>
        <v>111</v>
      </c>
      <c r="AA40" s="1484">
        <f t="shared" si="3"/>
        <v>1</v>
      </c>
      <c r="AB40" s="1484">
        <f t="shared" si="4"/>
        <v>1</v>
      </c>
      <c r="AC40" s="1484">
        <f t="shared" si="5"/>
        <v>1</v>
      </c>
    </row>
    <row r="41" spans="1:29" ht="15">
      <c r="A41" s="437" t="s">
        <v>2156</v>
      </c>
      <c r="B41" s="438"/>
      <c r="C41" s="1265" t="s">
        <v>1</v>
      </c>
      <c r="D41" s="1266"/>
      <c r="E41" s="1267"/>
      <c r="F41" s="1268"/>
      <c r="G41" s="1269"/>
      <c r="H41" s="1270"/>
      <c r="I41" s="1267"/>
      <c r="J41" s="1270"/>
      <c r="K41" s="720"/>
      <c r="L41" s="1035"/>
      <c r="M41" s="1036"/>
      <c r="N41" s="1023"/>
      <c r="O41" s="1036"/>
      <c r="P41" s="3452" t="str">
        <f>A41</f>
        <v>成交单价（元/平方米）</v>
      </c>
      <c r="Q41" s="3452"/>
      <c r="R41" s="3453">
        <f>E41</f>
        <v>0</v>
      </c>
      <c r="S41" s="3453"/>
      <c r="T41" s="3453">
        <f>G41</f>
        <v>0</v>
      </c>
      <c r="U41" s="3453"/>
      <c r="V41" s="3453">
        <f>I41</f>
        <v>0</v>
      </c>
      <c r="W41" s="3453"/>
      <c r="X41" s="696"/>
      <c r="Y41" s="718"/>
      <c r="Z41" s="696"/>
      <c r="AA41" s="696"/>
      <c r="AB41" s="696"/>
      <c r="AC41" s="696"/>
    </row>
    <row r="42" spans="1:29" ht="15.75" thickBot="1">
      <c r="A42" s="444" t="s">
        <v>2248</v>
      </c>
      <c r="B42" s="445"/>
      <c r="C42" s="1271" t="e">
        <f>R43</f>
        <v>#DIV/0!</v>
      </c>
      <c r="D42" s="2485" t="s">
        <v>2637</v>
      </c>
      <c r="E42" s="1272" t="e">
        <f>R42</f>
        <v>#DIV/0!</v>
      </c>
      <c r="F42" s="2486"/>
      <c r="G42" s="1271" t="e">
        <f>T42</f>
        <v>#DIV/0!</v>
      </c>
      <c r="H42" s="2486"/>
      <c r="I42" s="1272" t="e">
        <f>V42</f>
        <v>#DIV/0!</v>
      </c>
      <c r="J42" s="2486"/>
      <c r="K42" s="2488">
        <f>F42+H42+J42</f>
        <v>0</v>
      </c>
      <c r="L42" s="1035"/>
      <c r="M42" s="1036"/>
      <c r="N42" s="1023"/>
      <c r="O42" s="1036"/>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6"/>
      <c r="Y42" s="696"/>
      <c r="Z42" s="696"/>
      <c r="AA42" s="696"/>
      <c r="AB42" s="696"/>
      <c r="AC42" s="696"/>
    </row>
    <row r="43" spans="1:29" ht="15.75" thickBot="1">
      <c r="A43" s="448" t="s">
        <v>2249</v>
      </c>
      <c r="B43" s="449"/>
      <c r="C43" s="1274" t="e">
        <f>R43</f>
        <v>#DIV/0!</v>
      </c>
      <c r="D43" s="1274"/>
      <c r="E43" s="1274"/>
      <c r="F43" s="1274"/>
      <c r="G43" s="1274"/>
      <c r="H43" s="1274"/>
      <c r="I43" s="1274"/>
      <c r="J43" s="1274"/>
      <c r="K43" s="721"/>
      <c r="L43" s="1035"/>
      <c r="M43" s="1036"/>
      <c r="N43" s="1036"/>
      <c r="O43" s="1036"/>
      <c r="P43" s="3532" t="str">
        <f>A43</f>
        <v>估价对象XX用房的比较价值（楼面单价，元/平方米）</v>
      </c>
      <c r="Q43" s="3533"/>
      <c r="R43" s="3534" t="e">
        <f>IF(F1="售价",ROUND(IF(D42="简单平均",AVERAGE(R42:V42),R42*F42+T42*H42+V42*J42),0),ROUND(IF(D42="简单平均",AVERAGE(R42:V42),R42*F42+T42*H42+V42*J42),1))</f>
        <v>#DIV/0!</v>
      </c>
      <c r="S43" s="3534"/>
      <c r="T43" s="3534"/>
      <c r="U43" s="3534"/>
      <c r="V43" s="3534"/>
      <c r="W43" s="3534"/>
      <c r="X43" s="696"/>
      <c r="Y43" s="696"/>
      <c r="Z43" s="696"/>
      <c r="AA43" s="696"/>
      <c r="AB43" s="696"/>
      <c r="AC43" s="696"/>
    </row>
    <row r="44" spans="1:29">
      <c r="A44" s="2900"/>
      <c r="B44" s="2900"/>
      <c r="C44" s="2900"/>
      <c r="D44" s="2900"/>
      <c r="E44" s="2900"/>
      <c r="F44" s="2900"/>
      <c r="G44" s="2904"/>
      <c r="H44" s="2900"/>
      <c r="I44" s="2900"/>
      <c r="J44" s="2900"/>
      <c r="K44" s="2905"/>
      <c r="L44" s="998"/>
      <c r="M44" s="1036"/>
      <c r="N44" s="1036"/>
      <c r="O44" s="1036"/>
    </row>
    <row r="45" spans="1:29">
      <c r="A45" s="2900"/>
      <c r="B45" s="2900"/>
      <c r="C45" s="2900"/>
      <c r="D45" s="2900"/>
      <c r="E45" s="2900"/>
      <c r="F45" s="2900"/>
      <c r="G45" s="2900"/>
      <c r="H45" s="2900"/>
      <c r="I45" s="2900"/>
      <c r="J45" s="2900"/>
      <c r="K45" s="2905"/>
      <c r="L45" s="998"/>
      <c r="M45" s="1036"/>
      <c r="N45" s="1036"/>
      <c r="O45" s="1036"/>
    </row>
    <row r="46" spans="1:29"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998"/>
      <c r="M46" s="1036"/>
      <c r="N46" s="1036"/>
      <c r="O46" s="1036"/>
    </row>
    <row r="47" spans="1:29"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998"/>
      <c r="M47" s="1036"/>
      <c r="N47" s="1036"/>
      <c r="O47" s="1036"/>
    </row>
    <row r="48" spans="1:29"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39"/>
      <c r="M48" s="1037"/>
      <c r="N48" s="1037"/>
      <c r="O48" s="1037"/>
    </row>
    <row r="49" spans="1:17" s="458" customFormat="1">
      <c r="A49" s="2903"/>
      <c r="B49" s="2906"/>
      <c r="C49" s="2907"/>
      <c r="D49" s="2903"/>
      <c r="E49" s="2903"/>
      <c r="F49" s="2903"/>
      <c r="G49" s="2903"/>
      <c r="H49" s="2903"/>
      <c r="I49" s="2903"/>
      <c r="J49" s="2903"/>
      <c r="K49" s="2908"/>
      <c r="L49" s="1039"/>
      <c r="M49" s="1037"/>
      <c r="N49" s="1037"/>
      <c r="O49" s="1037"/>
    </row>
    <row r="50" spans="1:17">
      <c r="A50" s="2900"/>
      <c r="B50" s="2906"/>
      <c r="C50" s="2907"/>
      <c r="D50" s="2900"/>
      <c r="E50" s="2900"/>
      <c r="F50" s="2900"/>
      <c r="G50" s="2900"/>
      <c r="H50" s="2900"/>
      <c r="I50" s="2900"/>
      <c r="J50" s="2900"/>
      <c r="K50" s="2905"/>
      <c r="L50" s="998"/>
      <c r="M50" s="1036"/>
      <c r="N50" s="1036"/>
      <c r="O50" s="1036"/>
    </row>
    <row r="51" spans="1:17" ht="21.75" thickBot="1">
      <c r="A51" s="700" t="s">
        <v>2253</v>
      </c>
      <c r="B51" s="696"/>
      <c r="C51" s="701"/>
      <c r="D51" s="701"/>
      <c r="E51" s="701"/>
      <c r="F51" s="702"/>
      <c r="G51" s="702"/>
      <c r="H51" s="701"/>
      <c r="I51" s="701"/>
      <c r="J51" s="701"/>
      <c r="K51" s="1050"/>
      <c r="L51" s="1051"/>
      <c r="M51" s="1049"/>
      <c r="N51" s="1049"/>
      <c r="O51" s="1049"/>
      <c r="P51" s="459"/>
      <c r="Q51" s="460"/>
    </row>
    <row r="52" spans="1:17" s="464" customFormat="1" ht="15">
      <c r="A52" s="461" t="s">
        <v>2127</v>
      </c>
      <c r="B52" s="462"/>
      <c r="C52" s="1295" t="str">
        <f>YEAR(C7)&amp;"-"&amp;MONTH(C7)</f>
        <v>2022-9</v>
      </c>
      <c r="D52" s="1296">
        <f>EDATE(C52,-1)</f>
        <v>44774</v>
      </c>
      <c r="E52" s="1296">
        <f t="shared" ref="E52:O52" si="16">EDATE(D52,-1)</f>
        <v>44743</v>
      </c>
      <c r="F52" s="1296">
        <f t="shared" si="16"/>
        <v>44713</v>
      </c>
      <c r="G52" s="1296">
        <f t="shared" si="16"/>
        <v>44682</v>
      </c>
      <c r="H52" s="1296">
        <f t="shared" si="16"/>
        <v>44652</v>
      </c>
      <c r="I52" s="1296">
        <f t="shared" si="16"/>
        <v>44621</v>
      </c>
      <c r="J52" s="1296">
        <f t="shared" si="16"/>
        <v>44593</v>
      </c>
      <c r="K52" s="1296">
        <f t="shared" si="16"/>
        <v>44562</v>
      </c>
      <c r="L52" s="1296">
        <f t="shared" si="16"/>
        <v>44531</v>
      </c>
      <c r="M52" s="1296">
        <f t="shared" si="16"/>
        <v>44501</v>
      </c>
      <c r="N52" s="1296">
        <f t="shared" si="16"/>
        <v>44470</v>
      </c>
      <c r="O52" s="1296">
        <f t="shared" si="16"/>
        <v>44440</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2164</v>
      </c>
      <c r="B54" s="472"/>
      <c r="C54" s="473"/>
      <c r="D54" s="474"/>
      <c r="E54" s="474"/>
      <c r="F54" s="474"/>
      <c r="G54" s="474"/>
      <c r="H54" s="474"/>
      <c r="I54" s="474"/>
      <c r="J54" s="474"/>
      <c r="K54" s="474"/>
      <c r="L54" s="474"/>
      <c r="M54" s="475"/>
      <c r="N54" s="2945"/>
      <c r="O54" s="2946"/>
      <c r="P54" s="460"/>
      <c r="Q54" s="460"/>
    </row>
    <row r="55" spans="1:17" s="112" customFormat="1" ht="15">
      <c r="A55" s="477" t="s">
        <v>2129</v>
      </c>
      <c r="B55" s="466"/>
      <c r="C55" s="478" t="s">
        <v>2231</v>
      </c>
      <c r="D55" s="479"/>
      <c r="E55" s="479"/>
      <c r="F55" s="479"/>
      <c r="G55" s="479"/>
      <c r="H55" s="479"/>
      <c r="I55" s="479"/>
      <c r="J55" s="479"/>
      <c r="K55" s="479"/>
      <c r="L55" s="480"/>
      <c r="M55" s="481"/>
      <c r="N55" s="1041"/>
      <c r="O55" s="1041"/>
      <c r="P55" s="482"/>
      <c r="Q55" s="460"/>
    </row>
    <row r="56" spans="1:17" s="112" customFormat="1" ht="15.75" thickBot="1">
      <c r="A56" s="477"/>
      <c r="B56" s="466"/>
      <c r="C56" s="594">
        <v>100</v>
      </c>
      <c r="D56" s="468"/>
      <c r="E56" s="468"/>
      <c r="F56" s="468"/>
      <c r="G56" s="468"/>
      <c r="H56" s="468"/>
      <c r="I56" s="468"/>
      <c r="J56" s="468"/>
      <c r="K56" s="468"/>
      <c r="L56" s="468"/>
      <c r="M56" s="470"/>
      <c r="N56" s="1041"/>
      <c r="O56" s="1041"/>
      <c r="P56" s="460"/>
      <c r="Q56" s="460"/>
    </row>
    <row r="57" spans="1:17">
      <c r="A57" s="483" t="s">
        <v>2167</v>
      </c>
      <c r="B57" s="484" t="s">
        <v>2133</v>
      </c>
      <c r="C57" s="485">
        <f>C9</f>
        <v>0</v>
      </c>
      <c r="D57" s="486"/>
      <c r="E57" s="486"/>
      <c r="F57" s="486"/>
      <c r="G57" s="486"/>
      <c r="H57" s="486"/>
      <c r="I57" s="486"/>
      <c r="J57" s="486"/>
      <c r="K57" s="487"/>
      <c r="L57" s="488"/>
      <c r="M57" s="489"/>
      <c r="N57" s="1042"/>
      <c r="O57" s="1042"/>
      <c r="P57" s="44"/>
      <c r="Q57" s="460"/>
    </row>
    <row r="58" spans="1:17" ht="15.75" thickBot="1">
      <c r="A58" s="490"/>
      <c r="B58" s="491"/>
      <c r="C58" s="492">
        <v>100</v>
      </c>
      <c r="D58" s="492"/>
      <c r="E58" s="492"/>
      <c r="F58" s="492"/>
      <c r="G58" s="492"/>
      <c r="H58" s="492"/>
      <c r="I58" s="492"/>
      <c r="J58" s="492"/>
      <c r="K58" s="492"/>
      <c r="L58" s="492"/>
      <c r="M58" s="493"/>
      <c r="N58" s="1043"/>
      <c r="O58" s="1043"/>
      <c r="P58" s="44"/>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2"/>
      <c r="O59" s="104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3"/>
      <c r="O60" s="1043"/>
      <c r="P60" s="44"/>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3"/>
      <c r="O61" s="1043"/>
      <c r="P61" s="44"/>
      <c r="Q61" s="460"/>
    </row>
    <row r="62" spans="1:17" ht="15">
      <c r="A62" s="490"/>
      <c r="B62" s="504"/>
      <c r="C62" s="505"/>
      <c r="D62" s="505"/>
      <c r="E62" s="505"/>
      <c r="F62" s="505"/>
      <c r="G62" s="505"/>
      <c r="H62" s="505"/>
      <c r="I62" s="505"/>
      <c r="J62" s="505"/>
      <c r="K62" s="506"/>
      <c r="L62" s="507"/>
      <c r="M62" s="508"/>
      <c r="N62" s="1042"/>
      <c r="O62" s="104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3"/>
      <c r="O63" s="1043"/>
      <c r="P63" s="44"/>
      <c r="Q63" s="460"/>
    </row>
    <row r="64" spans="1:17" s="429" customFormat="1" ht="15.75" thickTop="1">
      <c r="A64" s="509"/>
      <c r="B64" s="494">
        <f>B12</f>
        <v>111</v>
      </c>
      <c r="C64" s="510"/>
      <c r="D64" s="510"/>
      <c r="E64" s="510"/>
      <c r="F64" s="510"/>
      <c r="G64" s="510"/>
      <c r="H64" s="511"/>
      <c r="I64" s="511"/>
      <c r="J64" s="511"/>
      <c r="K64" s="511"/>
      <c r="L64" s="512"/>
      <c r="M64" s="513"/>
      <c r="N64" s="1044"/>
      <c r="O64" s="1044"/>
      <c r="P64" s="514"/>
      <c r="Q64" s="515"/>
    </row>
    <row r="65" spans="1:17" s="429" customFormat="1" ht="15.75" thickBot="1">
      <c r="A65" s="509"/>
      <c r="B65" s="499"/>
      <c r="C65" s="516"/>
      <c r="D65" s="492"/>
      <c r="E65" s="492"/>
      <c r="F65" s="492"/>
      <c r="G65" s="492"/>
      <c r="H65" s="492"/>
      <c r="I65" s="492"/>
      <c r="J65" s="492"/>
      <c r="K65" s="492"/>
      <c r="L65" s="492"/>
      <c r="M65" s="493"/>
      <c r="N65" s="1043"/>
      <c r="O65" s="1043"/>
      <c r="P65" s="514"/>
      <c r="Q65" s="515"/>
    </row>
    <row r="66" spans="1:17" s="429" customFormat="1" ht="15.75" thickTop="1">
      <c r="A66" s="509"/>
      <c r="B66" s="494">
        <f>B13</f>
        <v>111</v>
      </c>
      <c r="C66" s="510"/>
      <c r="D66" s="510"/>
      <c r="E66" s="510"/>
      <c r="F66" s="510"/>
      <c r="G66" s="510"/>
      <c r="H66" s="511"/>
      <c r="I66" s="511"/>
      <c r="J66" s="511"/>
      <c r="K66" s="511"/>
      <c r="L66" s="512"/>
      <c r="M66" s="513"/>
      <c r="N66" s="1044"/>
      <c r="O66" s="1044"/>
      <c r="P66" s="428"/>
      <c r="Q66" s="517"/>
    </row>
    <row r="67" spans="1:17" s="429" customFormat="1" ht="15.75" thickBot="1">
      <c r="A67" s="509"/>
      <c r="B67" s="499"/>
      <c r="C67" s="516"/>
      <c r="D67" s="492"/>
      <c r="E67" s="492"/>
      <c r="F67" s="492"/>
      <c r="G67" s="516"/>
      <c r="H67" s="518"/>
      <c r="I67" s="518"/>
      <c r="J67" s="518"/>
      <c r="K67" s="518"/>
      <c r="L67" s="518"/>
      <c r="M67" s="519"/>
      <c r="N67" s="1044"/>
      <c r="O67" s="1044"/>
      <c r="P67" s="514"/>
      <c r="Q67" s="515"/>
    </row>
    <row r="68" spans="1:17" s="429" customFormat="1" ht="15.75" thickTop="1">
      <c r="A68" s="509"/>
      <c r="B68" s="502">
        <f>B14</f>
        <v>111</v>
      </c>
      <c r="C68" s="479"/>
      <c r="D68" s="479"/>
      <c r="E68" s="479"/>
      <c r="F68" s="479"/>
      <c r="G68" s="479"/>
      <c r="H68" s="520"/>
      <c r="I68" s="520"/>
      <c r="J68" s="520"/>
      <c r="K68" s="520"/>
      <c r="L68" s="521"/>
      <c r="M68" s="522"/>
      <c r="N68" s="1044"/>
      <c r="O68" s="1044"/>
      <c r="P68" s="523"/>
      <c r="Q68" s="515"/>
    </row>
    <row r="69" spans="1:17" s="429" customFormat="1" ht="15.75" thickBot="1">
      <c r="A69" s="524"/>
      <c r="B69" s="525"/>
      <c r="C69" s="526"/>
      <c r="D69" s="526"/>
      <c r="E69" s="526"/>
      <c r="F69" s="526"/>
      <c r="G69" s="526"/>
      <c r="H69" s="527"/>
      <c r="I69" s="527"/>
      <c r="J69" s="527"/>
      <c r="K69" s="527"/>
      <c r="L69" s="527"/>
      <c r="M69" s="528"/>
      <c r="N69" s="1044"/>
      <c r="O69" s="1044"/>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2"/>
      <c r="O70" s="104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3"/>
      <c r="O71" s="1043"/>
      <c r="P71" s="44"/>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2"/>
      <c r="O72" s="104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3"/>
      <c r="O73" s="1043"/>
      <c r="P73" s="44"/>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2"/>
      <c r="O74" s="104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3"/>
      <c r="O75" s="1043"/>
      <c r="P75" s="44"/>
      <c r="Q75" s="460"/>
    </row>
    <row r="76" spans="1:17" ht="15.75" thickTop="1">
      <c r="A76" s="490"/>
      <c r="B76" s="502" t="s">
        <v>2268</v>
      </c>
      <c r="C76" s="615" t="s">
        <v>2254</v>
      </c>
      <c r="D76" s="615" t="s">
        <v>2255</v>
      </c>
      <c r="E76" s="615" t="s">
        <v>2256</v>
      </c>
      <c r="F76" s="615" t="s">
        <v>2257</v>
      </c>
      <c r="G76" s="615" t="s">
        <v>2258</v>
      </c>
      <c r="H76" s="495"/>
      <c r="I76" s="495"/>
      <c r="J76" s="495"/>
      <c r="K76" s="495"/>
      <c r="L76" s="495"/>
      <c r="M76" s="1240"/>
      <c r="N76" s="1043"/>
      <c r="O76" s="104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3"/>
      <c r="O77" s="1043"/>
      <c r="P77" s="44"/>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2"/>
      <c r="O78" s="104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3"/>
      <c r="O79" s="1043"/>
      <c r="P79" s="44"/>
      <c r="Q79" s="460"/>
    </row>
    <row r="80" spans="1:17" s="112" customFormat="1" ht="15.75" thickTop="1">
      <c r="A80" s="535"/>
      <c r="B80" s="494">
        <f>B25</f>
        <v>111</v>
      </c>
      <c r="C80" s="510"/>
      <c r="D80" s="510"/>
      <c r="E80" s="510"/>
      <c r="F80" s="510"/>
      <c r="G80" s="510"/>
      <c r="H80" s="510"/>
      <c r="I80" s="510"/>
      <c r="J80" s="510"/>
      <c r="K80" s="510"/>
      <c r="L80" s="536"/>
      <c r="M80" s="537"/>
      <c r="N80" s="1041"/>
      <c r="O80" s="1041"/>
      <c r="P80" s="44"/>
      <c r="Q80" s="460"/>
    </row>
    <row r="81" spans="1:17" s="112" customFormat="1" ht="15.75" thickBot="1">
      <c r="A81" s="535"/>
      <c r="B81" s="499"/>
      <c r="C81" s="516"/>
      <c r="D81" s="492"/>
      <c r="E81" s="492"/>
      <c r="F81" s="492"/>
      <c r="G81" s="492"/>
      <c r="H81" s="492"/>
      <c r="I81" s="492"/>
      <c r="J81" s="492"/>
      <c r="K81" s="492"/>
      <c r="L81" s="492"/>
      <c r="M81" s="493"/>
      <c r="N81" s="1043"/>
      <c r="O81" s="1043"/>
      <c r="P81" s="44"/>
      <c r="Q81" s="460"/>
    </row>
    <row r="82" spans="1:17" s="112" customFormat="1" ht="15.75" thickTop="1">
      <c r="A82" s="535"/>
      <c r="B82" s="494">
        <f>B26</f>
        <v>111</v>
      </c>
      <c r="C82" s="510"/>
      <c r="D82" s="510"/>
      <c r="E82" s="510"/>
      <c r="F82" s="510"/>
      <c r="G82" s="510"/>
      <c r="H82" s="510"/>
      <c r="I82" s="510"/>
      <c r="J82" s="510"/>
      <c r="K82" s="510"/>
      <c r="L82" s="536"/>
      <c r="M82" s="537"/>
      <c r="N82" s="1041"/>
      <c r="O82" s="1041"/>
      <c r="P82" s="44"/>
      <c r="Q82" s="460"/>
    </row>
    <row r="83" spans="1:17" s="112" customFormat="1" ht="15.75" thickBot="1">
      <c r="A83" s="535"/>
      <c r="B83" s="499"/>
      <c r="C83" s="516"/>
      <c r="D83" s="492"/>
      <c r="E83" s="492"/>
      <c r="F83" s="492"/>
      <c r="G83" s="492"/>
      <c r="H83" s="492"/>
      <c r="I83" s="492"/>
      <c r="J83" s="492"/>
      <c r="K83" s="492"/>
      <c r="L83" s="492"/>
      <c r="M83" s="493"/>
      <c r="N83" s="1043"/>
      <c r="O83" s="1043"/>
      <c r="P83" s="44"/>
      <c r="Q83" s="460"/>
    </row>
    <row r="84" spans="1:17" s="429" customFormat="1" ht="15.75" thickTop="1">
      <c r="A84" s="509"/>
      <c r="B84" s="494">
        <f>B27</f>
        <v>111</v>
      </c>
      <c r="C84" s="510"/>
      <c r="D84" s="510"/>
      <c r="E84" s="510"/>
      <c r="F84" s="510"/>
      <c r="G84" s="510"/>
      <c r="H84" s="510"/>
      <c r="I84" s="510"/>
      <c r="J84" s="510"/>
      <c r="K84" s="510"/>
      <c r="L84" s="536"/>
      <c r="M84" s="537"/>
      <c r="N84" s="1044"/>
      <c r="O84" s="1044"/>
      <c r="P84" s="514"/>
      <c r="Q84" s="515"/>
    </row>
    <row r="85" spans="1:17" s="429" customFormat="1" ht="15.75" thickBot="1">
      <c r="A85" s="509"/>
      <c r="B85" s="499"/>
      <c r="C85" s="516"/>
      <c r="D85" s="492"/>
      <c r="E85" s="492"/>
      <c r="F85" s="492"/>
      <c r="G85" s="492"/>
      <c r="H85" s="492"/>
      <c r="I85" s="492"/>
      <c r="J85" s="492"/>
      <c r="K85" s="492"/>
      <c r="L85" s="492"/>
      <c r="M85" s="493"/>
      <c r="N85" s="1044"/>
      <c r="O85" s="1044"/>
      <c r="P85" s="514"/>
      <c r="Q85" s="515"/>
    </row>
    <row r="86" spans="1:17" ht="15.75" thickTop="1">
      <c r="A86" s="490"/>
      <c r="B86" s="502">
        <f>B28</f>
        <v>111</v>
      </c>
      <c r="C86" s="479"/>
      <c r="D86" s="479"/>
      <c r="E86" s="479"/>
      <c r="F86" s="479"/>
      <c r="G86" s="543"/>
      <c r="H86" s="543"/>
      <c r="I86" s="543"/>
      <c r="J86" s="543"/>
      <c r="K86" s="544"/>
      <c r="L86" s="545"/>
      <c r="M86" s="546"/>
      <c r="N86" s="1042"/>
      <c r="O86" s="1042"/>
      <c r="P86" s="44"/>
      <c r="Q86" s="460"/>
    </row>
    <row r="87" spans="1:17" ht="15.75" thickBot="1">
      <c r="A87" s="2061"/>
      <c r="B87" s="525"/>
      <c r="C87" s="526"/>
      <c r="D87" s="526"/>
      <c r="E87" s="526"/>
      <c r="F87" s="526"/>
      <c r="G87" s="547"/>
      <c r="H87" s="547"/>
      <c r="I87" s="547"/>
      <c r="J87" s="547"/>
      <c r="K87" s="547"/>
      <c r="L87" s="547"/>
      <c r="M87" s="548"/>
      <c r="N87" s="1043"/>
      <c r="O87" s="1043"/>
      <c r="P87" s="44"/>
      <c r="Q87" s="460"/>
    </row>
    <row r="88" spans="1:17">
      <c r="A88" s="483" t="s">
        <v>2142</v>
      </c>
      <c r="B88" s="484" t="s">
        <v>2191</v>
      </c>
      <c r="C88" s="486"/>
      <c r="D88" s="486"/>
      <c r="E88" s="486"/>
      <c r="F88" s="486"/>
      <c r="G88" s="486"/>
      <c r="H88" s="486"/>
      <c r="I88" s="486"/>
      <c r="J88" s="486"/>
      <c r="K88" s="487"/>
      <c r="L88" s="488"/>
      <c r="M88" s="489"/>
      <c r="N88" s="1042"/>
      <c r="O88" s="104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3"/>
      <c r="O89" s="1043"/>
      <c r="P89" s="44"/>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1"/>
      <c r="O90" s="1041"/>
      <c r="P90" s="44"/>
      <c r="Q90" s="460"/>
    </row>
    <row r="91" spans="1:17" s="429" customFormat="1">
      <c r="A91" s="549"/>
      <c r="B91" s="550"/>
      <c r="C91" s="551"/>
      <c r="D91" s="551"/>
      <c r="E91" s="551"/>
      <c r="F91" s="551"/>
      <c r="G91" s="551"/>
      <c r="H91" s="551"/>
      <c r="I91" s="551"/>
      <c r="J91" s="552"/>
      <c r="K91" s="552"/>
      <c r="L91" s="553"/>
      <c r="M91" s="554"/>
      <c r="N91" s="1044"/>
      <c r="O91" s="1044"/>
      <c r="P91" s="514"/>
      <c r="Q91" s="515"/>
    </row>
    <row r="92" spans="1:17" s="429" customFormat="1" ht="15.75" thickBot="1">
      <c r="A92" s="509"/>
      <c r="B92" s="499"/>
      <c r="C92" s="516"/>
      <c r="D92" s="492"/>
      <c r="E92" s="492"/>
      <c r="F92" s="492"/>
      <c r="G92" s="492"/>
      <c r="H92" s="492"/>
      <c r="I92" s="492"/>
      <c r="J92" s="492"/>
      <c r="K92" s="492"/>
      <c r="L92" s="492"/>
      <c r="M92" s="493"/>
      <c r="N92" s="1043"/>
      <c r="O92" s="1043"/>
      <c r="P92" s="514"/>
      <c r="Q92" s="515"/>
    </row>
    <row r="93" spans="1:17" ht="15" thickTop="1">
      <c r="A93" s="555"/>
      <c r="B93" s="494" t="s">
        <v>2193</v>
      </c>
      <c r="C93" s="510"/>
      <c r="D93" s="510"/>
      <c r="E93" s="539"/>
      <c r="F93" s="539"/>
      <c r="G93" s="539"/>
      <c r="H93" s="539"/>
      <c r="I93" s="539"/>
      <c r="J93" s="539"/>
      <c r="K93" s="540"/>
      <c r="L93" s="541"/>
      <c r="M93" s="542"/>
      <c r="N93" s="1042"/>
      <c r="O93" s="104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3"/>
      <c r="O94" s="1043"/>
      <c r="P94" s="44"/>
      <c r="Q94" s="460"/>
    </row>
    <row r="95" spans="1:17" ht="15" thickTop="1">
      <c r="A95" s="555"/>
      <c r="B95" s="494" t="s">
        <v>2195</v>
      </c>
      <c r="C95" s="510"/>
      <c r="D95" s="510"/>
      <c r="E95" s="510"/>
      <c r="F95" s="539"/>
      <c r="G95" s="539"/>
      <c r="H95" s="539"/>
      <c r="I95" s="539"/>
      <c r="J95" s="539"/>
      <c r="K95" s="540"/>
      <c r="L95" s="541"/>
      <c r="M95" s="542"/>
      <c r="N95" s="1042"/>
      <c r="O95" s="104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3"/>
      <c r="O96" s="1043"/>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2"/>
      <c r="O97" s="1042"/>
      <c r="P97" s="44"/>
      <c r="Q97" s="460"/>
    </row>
    <row r="98" spans="1:17">
      <c r="A98" s="555"/>
      <c r="B98" s="502"/>
      <c r="C98" s="559">
        <v>0.5</v>
      </c>
      <c r="D98" s="559">
        <v>0.6</v>
      </c>
      <c r="E98" s="559">
        <v>0.7</v>
      </c>
      <c r="F98" s="559">
        <v>0.8</v>
      </c>
      <c r="G98" s="559">
        <v>0.9</v>
      </c>
      <c r="H98" s="559">
        <v>1.0001</v>
      </c>
      <c r="I98" s="578"/>
      <c r="J98" s="578"/>
      <c r="K98" s="579"/>
      <c r="L98" s="580"/>
      <c r="M98" s="581"/>
      <c r="N98" s="1042"/>
      <c r="O98" s="104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3"/>
      <c r="O99" s="1043"/>
      <c r="P99" s="44"/>
      <c r="Q99" s="460"/>
    </row>
    <row r="100" spans="1:17" s="429" customFormat="1" ht="15" thickTop="1">
      <c r="A100" s="549"/>
      <c r="B100" s="494" t="s">
        <v>2196</v>
      </c>
      <c r="C100" s="510"/>
      <c r="D100" s="510"/>
      <c r="E100" s="510"/>
      <c r="F100" s="510"/>
      <c r="G100" s="510"/>
      <c r="H100" s="539"/>
      <c r="I100" s="539"/>
      <c r="J100" s="539"/>
      <c r="K100" s="540"/>
      <c r="L100" s="541"/>
      <c r="M100" s="542"/>
      <c r="N100" s="1044"/>
      <c r="O100" s="104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4"/>
      <c r="O101" s="1044"/>
      <c r="P101" s="514"/>
      <c r="Q101" s="515"/>
    </row>
    <row r="102" spans="1:17" ht="15" thickTop="1">
      <c r="A102" s="555"/>
      <c r="B102" s="494" t="s">
        <v>2197</v>
      </c>
      <c r="C102" s="510"/>
      <c r="D102" s="510"/>
      <c r="E102" s="510"/>
      <c r="F102" s="510"/>
      <c r="G102" s="510"/>
      <c r="H102" s="539"/>
      <c r="I102" s="539"/>
      <c r="J102" s="539"/>
      <c r="K102" s="540"/>
      <c r="L102" s="541"/>
      <c r="M102" s="542"/>
      <c r="N102" s="1042"/>
      <c r="O102" s="104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3"/>
      <c r="O103" s="1043"/>
      <c r="P103" s="44"/>
      <c r="Q103" s="460"/>
    </row>
    <row r="104" spans="1:17" ht="15" thickTop="1">
      <c r="A104" s="555"/>
      <c r="B104" s="494" t="s">
        <v>2199</v>
      </c>
      <c r="C104" s="510"/>
      <c r="D104" s="510"/>
      <c r="E104" s="510"/>
      <c r="F104" s="510"/>
      <c r="G104" s="510"/>
      <c r="H104" s="539"/>
      <c r="I104" s="539"/>
      <c r="J104" s="539"/>
      <c r="K104" s="540"/>
      <c r="L104" s="541"/>
      <c r="M104" s="542"/>
      <c r="N104" s="1042"/>
      <c r="O104" s="104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3"/>
      <c r="O105" s="1043"/>
      <c r="P105" s="44"/>
      <c r="Q105" s="460"/>
    </row>
    <row r="106" spans="1:17" ht="15" thickTop="1">
      <c r="A106" s="555"/>
      <c r="B106" s="591" t="s">
        <v>2285</v>
      </c>
      <c r="C106" s="534" t="s">
        <v>2176</v>
      </c>
      <c r="D106" s="534" t="s">
        <v>2177</v>
      </c>
      <c r="E106" s="534" t="s">
        <v>2178</v>
      </c>
      <c r="F106" s="534" t="s">
        <v>2179</v>
      </c>
      <c r="G106" s="534" t="s">
        <v>2180</v>
      </c>
      <c r="H106" s="495"/>
      <c r="I106" s="495"/>
      <c r="J106" s="495"/>
      <c r="K106" s="496"/>
      <c r="L106" s="497"/>
      <c r="M106" s="498"/>
      <c r="N106" s="1043"/>
      <c r="O106" s="104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3"/>
      <c r="O107" s="1043"/>
      <c r="P107" s="44"/>
      <c r="Q107" s="460"/>
    </row>
    <row r="108" spans="1:17" s="429" customFormat="1" ht="15" thickTop="1">
      <c r="A108" s="549"/>
      <c r="B108" s="494">
        <f>B38</f>
        <v>111</v>
      </c>
      <c r="C108" s="510"/>
      <c r="D108" s="510"/>
      <c r="E108" s="510"/>
      <c r="F108" s="510"/>
      <c r="G108" s="510"/>
      <c r="H108" s="511"/>
      <c r="I108" s="511"/>
      <c r="J108" s="511"/>
      <c r="K108" s="511"/>
      <c r="L108" s="512"/>
      <c r="M108" s="513"/>
      <c r="N108" s="1044"/>
      <c r="O108" s="1044"/>
      <c r="P108" s="514"/>
      <c r="Q108" s="515"/>
    </row>
    <row r="109" spans="1:17" s="429" customFormat="1" ht="15.75" thickBot="1">
      <c r="A109" s="509"/>
      <c r="B109" s="491"/>
      <c r="C109" s="516"/>
      <c r="D109" s="492"/>
      <c r="E109" s="492"/>
      <c r="F109" s="492"/>
      <c r="G109" s="516"/>
      <c r="H109" s="518"/>
      <c r="I109" s="518"/>
      <c r="J109" s="518"/>
      <c r="K109" s="518"/>
      <c r="L109" s="518"/>
      <c r="M109" s="519"/>
      <c r="N109" s="1044"/>
      <c r="O109" s="1044"/>
      <c r="P109" s="514"/>
      <c r="Q109" s="515"/>
    </row>
    <row r="110" spans="1:17" ht="15" thickTop="1">
      <c r="A110" s="555"/>
      <c r="B110" s="494">
        <f>B39</f>
        <v>111</v>
      </c>
      <c r="C110" s="510"/>
      <c r="D110" s="510"/>
      <c r="E110" s="510"/>
      <c r="F110" s="510"/>
      <c r="G110" s="510"/>
      <c r="H110" s="511"/>
      <c r="I110" s="511"/>
      <c r="J110" s="511"/>
      <c r="K110" s="511"/>
      <c r="L110" s="512"/>
      <c r="M110" s="513"/>
      <c r="N110" s="1042"/>
      <c r="O110" s="1042"/>
      <c r="P110" s="44"/>
      <c r="Q110" s="460"/>
    </row>
    <row r="111" spans="1:17" ht="15.75" thickBot="1">
      <c r="A111" s="490"/>
      <c r="B111" s="499"/>
      <c r="C111" s="516"/>
      <c r="D111" s="492"/>
      <c r="E111" s="492"/>
      <c r="F111" s="492"/>
      <c r="G111" s="516"/>
      <c r="H111" s="518"/>
      <c r="I111" s="518"/>
      <c r="J111" s="518"/>
      <c r="K111" s="518"/>
      <c r="L111" s="518"/>
      <c r="M111" s="519"/>
      <c r="N111" s="1043"/>
      <c r="O111" s="1043"/>
      <c r="P111" s="44"/>
      <c r="Q111" s="460"/>
    </row>
    <row r="112" spans="1:17" ht="15" thickTop="1">
      <c r="A112" s="555"/>
      <c r="B112" s="502">
        <f>B40</f>
        <v>111</v>
      </c>
      <c r="C112" s="479"/>
      <c r="D112" s="479"/>
      <c r="E112" s="479"/>
      <c r="F112" s="479"/>
      <c r="G112" s="543"/>
      <c r="H112" s="543"/>
      <c r="I112" s="543"/>
      <c r="J112" s="543"/>
      <c r="K112" s="479"/>
      <c r="L112" s="480"/>
      <c r="M112" s="546"/>
      <c r="N112" s="1042"/>
      <c r="O112" s="1042"/>
      <c r="P112" s="44"/>
      <c r="Q112" s="460"/>
    </row>
    <row r="113" spans="1:17" ht="15.75" thickBot="1">
      <c r="A113" s="2061"/>
      <c r="B113" s="525"/>
      <c r="C113" s="526"/>
      <c r="D113" s="526"/>
      <c r="E113" s="526"/>
      <c r="F113" s="526"/>
      <c r="G113" s="547"/>
      <c r="H113" s="547"/>
      <c r="I113" s="547"/>
      <c r="J113" s="547"/>
      <c r="K113" s="547"/>
      <c r="L113" s="547"/>
      <c r="M113" s="548"/>
      <c r="N113" s="1043"/>
      <c r="O113" s="1043"/>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43"/>
      <c r="F1" s="2012"/>
      <c r="G1" s="1344" t="s">
        <v>2222</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1906</v>
      </c>
      <c r="B2" s="1275" t="e">
        <f ca="1">IF(C2="——",IF(B37="元/平方米",ROUND(C39*D3/10000,0),ROUND(F3*C39/10000,0)),IF(B37="元/平方米",ROUND(C39*D3/10000,0),ROUND(F3*C39/10000,0))-D2)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1276"/>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7"/>
      <c r="H3" s="1017"/>
      <c r="I3" s="1017"/>
      <c r="J3" s="1017"/>
      <c r="K3" s="1019"/>
      <c r="L3" s="2909"/>
      <c r="M3" s="2910"/>
      <c r="N3" s="2910"/>
      <c r="O3" s="2910"/>
      <c r="P3" s="1276"/>
      <c r="Q3" s="705"/>
      <c r="R3" s="705"/>
      <c r="S3" s="705"/>
      <c r="T3" s="705"/>
      <c r="U3" s="705"/>
      <c r="V3" s="705"/>
      <c r="W3" s="705"/>
      <c r="X3" s="705"/>
      <c r="Y3" s="705"/>
      <c r="Z3" s="705"/>
      <c r="AA3" s="705"/>
      <c r="AB3" s="722"/>
      <c r="AC3" s="719"/>
    </row>
    <row r="4" spans="1:29" ht="15">
      <c r="A4" s="360" t="s">
        <v>2224</v>
      </c>
      <c r="B4" s="361"/>
      <c r="C4" s="3469" t="s">
        <v>2225</v>
      </c>
      <c r="D4" s="3470"/>
      <c r="E4" s="3471" t="s">
        <v>2226</v>
      </c>
      <c r="F4" s="3472"/>
      <c r="G4" s="3469" t="s">
        <v>2227</v>
      </c>
      <c r="H4" s="3470"/>
      <c r="I4" s="3469" t="s">
        <v>2228</v>
      </c>
      <c r="J4" s="3470"/>
      <c r="K4" s="566" t="s">
        <v>2229</v>
      </c>
      <c r="L4" s="2890"/>
      <c r="M4" s="2891"/>
      <c r="N4" s="2891"/>
      <c r="O4" s="2891"/>
      <c r="P4" s="3536" t="s">
        <v>2230</v>
      </c>
      <c r="Q4" s="3537"/>
      <c r="R4" s="3540" t="s">
        <v>2226</v>
      </c>
      <c r="S4" s="3541"/>
      <c r="T4" s="3540" t="s">
        <v>2227</v>
      </c>
      <c r="U4" s="3541"/>
      <c r="V4" s="3486" t="s">
        <v>2228</v>
      </c>
      <c r="W4" s="3486"/>
      <c r="X4" s="1486"/>
      <c r="Y4" s="3540" t="s">
        <v>2230</v>
      </c>
      <c r="Z4" s="3541"/>
      <c r="AA4" s="3535" t="s">
        <v>2226</v>
      </c>
      <c r="AB4" s="3499" t="s">
        <v>2227</v>
      </c>
      <c r="AC4" s="3535" t="s">
        <v>2228</v>
      </c>
    </row>
    <row r="5" spans="1:29" ht="15">
      <c r="A5" s="363"/>
      <c r="B5" s="364"/>
      <c r="C5" s="3495" t="s">
        <v>2121</v>
      </c>
      <c r="D5" s="3490"/>
      <c r="E5" s="3542" t="s">
        <v>2122</v>
      </c>
      <c r="F5" s="3502"/>
      <c r="G5" s="3495" t="s">
        <v>2123</v>
      </c>
      <c r="H5" s="3490"/>
      <c r="I5" s="3495" t="s">
        <v>2124</v>
      </c>
      <c r="J5" s="3490"/>
      <c r="K5" s="566"/>
      <c r="L5" s="2890"/>
      <c r="M5" s="2891"/>
      <c r="N5" s="2891"/>
      <c r="O5" s="2891"/>
      <c r="P5" s="3538"/>
      <c r="Q5" s="3476"/>
      <c r="R5" s="3481"/>
      <c r="S5" s="3482"/>
      <c r="T5" s="3481"/>
      <c r="U5" s="3482"/>
      <c r="V5" s="3486"/>
      <c r="W5" s="3486"/>
      <c r="X5" s="1486"/>
      <c r="Y5" s="3481"/>
      <c r="Z5" s="3482"/>
      <c r="AA5" s="3499"/>
      <c r="AB5" s="3499"/>
      <c r="AC5" s="3499"/>
    </row>
    <row r="6" spans="1:29" ht="15.75" thickBot="1">
      <c r="A6" s="365"/>
      <c r="B6" s="366"/>
      <c r="C6" s="3487" t="s">
        <v>2125</v>
      </c>
      <c r="D6" s="3488"/>
      <c r="E6" s="3496" t="s">
        <v>2125</v>
      </c>
      <c r="F6" s="3497"/>
      <c r="G6" s="3487" t="s">
        <v>2125</v>
      </c>
      <c r="H6" s="3488"/>
      <c r="I6" s="3487" t="s">
        <v>2125</v>
      </c>
      <c r="J6" s="3488"/>
      <c r="K6" s="566" t="s">
        <v>2126</v>
      </c>
      <c r="L6" s="2890"/>
      <c r="M6" s="2891"/>
      <c r="N6" s="2891"/>
      <c r="O6" s="2891"/>
      <c r="P6" s="3539"/>
      <c r="Q6" s="3478"/>
      <c r="R6" s="3481"/>
      <c r="S6" s="3482"/>
      <c r="T6" s="3483"/>
      <c r="U6" s="3484"/>
      <c r="V6" s="3486"/>
      <c r="W6" s="3486"/>
      <c r="X6" s="1486"/>
      <c r="Y6" s="3483"/>
      <c r="Z6" s="3484"/>
      <c r="AA6" s="3500"/>
      <c r="AB6" s="3500"/>
      <c r="AC6" s="3500"/>
    </row>
    <row r="7" spans="1:29" s="112" customFormat="1" ht="15.75" thickBot="1">
      <c r="A7" s="367" t="s">
        <v>2127</v>
      </c>
      <c r="B7" s="368"/>
      <c r="C7" s="369">
        <f>'数据-取费表'!B2</f>
        <v>44805</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93" t="s">
        <v>2128</v>
      </c>
      <c r="Q7" s="3494"/>
      <c r="R7" s="707" t="s">
        <v>17</v>
      </c>
      <c r="S7" s="708">
        <f t="shared" ref="S7:S14" si="0">F7</f>
        <v>0</v>
      </c>
      <c r="T7" s="707" t="s">
        <v>17</v>
      </c>
      <c r="U7" s="708">
        <f t="shared" ref="U7:U14" si="1">H7</f>
        <v>0</v>
      </c>
      <c r="V7" s="707" t="s">
        <v>17</v>
      </c>
      <c r="W7" s="708">
        <f t="shared" ref="W7:W14" si="2">J7</f>
        <v>0</v>
      </c>
      <c r="X7" s="709"/>
      <c r="Y7" s="3493" t="s">
        <v>2128</v>
      </c>
      <c r="Z7" s="3492"/>
      <c r="AA7" s="710" t="e">
        <f>D7/F7</f>
        <v>#DIV/0!</v>
      </c>
      <c r="AB7" s="710" t="e">
        <f>D7/H7</f>
        <v>#DIV/0!</v>
      </c>
      <c r="AC7" s="710" t="e">
        <f>D7/J7</f>
        <v>#DIV/0!</v>
      </c>
    </row>
    <row r="8" spans="1:29" s="112"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93" t="s">
        <v>2131</v>
      </c>
      <c r="Q8" s="3492"/>
      <c r="R8" s="707" t="s">
        <v>17</v>
      </c>
      <c r="S8" s="708">
        <f t="shared" si="0"/>
        <v>0</v>
      </c>
      <c r="T8" s="707" t="s">
        <v>17</v>
      </c>
      <c r="U8" s="708">
        <f t="shared" si="1"/>
        <v>0</v>
      </c>
      <c r="V8" s="707" t="s">
        <v>17</v>
      </c>
      <c r="W8" s="708">
        <f t="shared" si="2"/>
        <v>0</v>
      </c>
      <c r="X8" s="709"/>
      <c r="Y8" s="3493" t="s">
        <v>2131</v>
      </c>
      <c r="Z8" s="3492"/>
      <c r="AA8" s="710" t="e">
        <f t="shared" ref="AA8:AA36" si="3">D8/F8</f>
        <v>#DIV/0!</v>
      </c>
      <c r="AB8" s="710" t="e">
        <f t="shared" ref="AB8:AB36" si="4">D8/H8</f>
        <v>#DIV/0!</v>
      </c>
      <c r="AC8" s="710" t="e">
        <f t="shared" ref="AC8:AC36" si="5">D8/J8</f>
        <v>#DIV/0!</v>
      </c>
    </row>
    <row r="9" spans="1:29" s="112" customFormat="1">
      <c r="A9" s="63" t="s">
        <v>2132</v>
      </c>
      <c r="B9" s="595" t="s">
        <v>2133</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452" t="s">
        <v>2134</v>
      </c>
      <c r="Q9" s="1474" t="str">
        <f t="shared" ref="Q9:Q14" si="6">B9</f>
        <v>用途</v>
      </c>
      <c r="R9" s="707" t="s">
        <v>17</v>
      </c>
      <c r="S9" s="708">
        <f t="shared" si="0"/>
        <v>100</v>
      </c>
      <c r="T9" s="707" t="s">
        <v>17</v>
      </c>
      <c r="U9" s="708">
        <f t="shared" si="1"/>
        <v>100</v>
      </c>
      <c r="V9" s="707" t="s">
        <v>17</v>
      </c>
      <c r="W9" s="708">
        <f t="shared" si="2"/>
        <v>100</v>
      </c>
      <c r="X9" s="709"/>
      <c r="Y9" s="3355" t="s">
        <v>2135</v>
      </c>
      <c r="Z9" s="54" t="str">
        <f t="shared" ref="Z9:Z14" si="7">Q9</f>
        <v>用途</v>
      </c>
      <c r="AA9" s="710">
        <f t="shared" si="3"/>
        <v>1</v>
      </c>
      <c r="AB9" s="710">
        <f t="shared" si="4"/>
        <v>1</v>
      </c>
      <c r="AC9" s="710">
        <f t="shared" si="5"/>
        <v>1</v>
      </c>
    </row>
    <row r="10" spans="1:29" s="385" customFormat="1" ht="27">
      <c r="A10" s="596"/>
      <c r="B10" s="597" t="s">
        <v>2136</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452"/>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710">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452"/>
      <c r="Q11" s="1474">
        <f t="shared" si="6"/>
        <v>111</v>
      </c>
      <c r="R11" s="707" t="s">
        <v>17</v>
      </c>
      <c r="S11" s="708">
        <f t="shared" si="0"/>
        <v>100</v>
      </c>
      <c r="T11" s="707" t="s">
        <v>17</v>
      </c>
      <c r="U11" s="708">
        <f t="shared" si="1"/>
        <v>100</v>
      </c>
      <c r="V11" s="707" t="s">
        <v>17</v>
      </c>
      <c r="W11" s="708">
        <f t="shared" si="2"/>
        <v>100</v>
      </c>
      <c r="X11" s="709"/>
      <c r="Y11" s="3355"/>
      <c r="Z11" s="54">
        <f t="shared" si="7"/>
        <v>111</v>
      </c>
      <c r="AA11" s="710">
        <f t="shared" si="3"/>
        <v>1</v>
      </c>
      <c r="AB11" s="710">
        <f t="shared" si="4"/>
        <v>1</v>
      </c>
      <c r="AC11" s="710">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452"/>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710">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452"/>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710">
        <f t="shared" si="5"/>
        <v>1</v>
      </c>
    </row>
    <row r="14" spans="1:29" ht="85.5">
      <c r="A14" s="360" t="s">
        <v>2138</v>
      </c>
      <c r="B14" s="584" t="s">
        <v>2288</v>
      </c>
      <c r="C14" s="210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459" t="s">
        <v>2139</v>
      </c>
      <c r="Q14" s="1483" t="str">
        <f t="shared" si="6"/>
        <v>交通便捷度</v>
      </c>
      <c r="R14" s="711" t="s">
        <v>17</v>
      </c>
      <c r="S14" s="712">
        <f t="shared" si="0"/>
        <v>100</v>
      </c>
      <c r="T14" s="711" t="s">
        <v>17</v>
      </c>
      <c r="U14" s="712">
        <f t="shared" si="1"/>
        <v>100</v>
      </c>
      <c r="V14" s="711" t="s">
        <v>17</v>
      </c>
      <c r="W14" s="712">
        <f t="shared" si="2"/>
        <v>100</v>
      </c>
      <c r="X14" s="1486"/>
      <c r="Y14" s="3459" t="s">
        <v>2139</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7"/>
      <c r="M15" s="2891"/>
      <c r="N15" s="2891"/>
      <c r="O15" s="2891"/>
      <c r="P15" s="3460"/>
      <c r="Q15" s="1483"/>
      <c r="R15" s="711"/>
      <c r="S15" s="712"/>
      <c r="T15" s="711"/>
      <c r="U15" s="712"/>
      <c r="V15" s="711"/>
      <c r="W15" s="712"/>
      <c r="X15" s="1486"/>
      <c r="Y15" s="3460"/>
      <c r="Z15" s="1487"/>
      <c r="AA15" s="1484">
        <v>1</v>
      </c>
      <c r="AB15" s="1484">
        <v>1</v>
      </c>
      <c r="AC15" s="1484">
        <v>1</v>
      </c>
    </row>
    <row r="16" spans="1:29" ht="42.75">
      <c r="A16" s="363"/>
      <c r="B16" s="586" t="s">
        <v>2267</v>
      </c>
      <c r="C16" s="203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460"/>
      <c r="Q16" s="1483" t="str">
        <f>B16</f>
        <v>公共配套设施</v>
      </c>
      <c r="R16" s="711" t="s">
        <v>17</v>
      </c>
      <c r="S16" s="712">
        <f>F16</f>
        <v>100</v>
      </c>
      <c r="T16" s="711" t="s">
        <v>17</v>
      </c>
      <c r="U16" s="712">
        <f>H16</f>
        <v>100</v>
      </c>
      <c r="V16" s="711" t="s">
        <v>17</v>
      </c>
      <c r="W16" s="712">
        <f>J16</f>
        <v>100</v>
      </c>
      <c r="X16" s="1486"/>
      <c r="Y16" s="3460"/>
      <c r="Z16" s="1487" t="str">
        <f>Q16</f>
        <v>公共配套设施</v>
      </c>
      <c r="AA16" s="1484">
        <f t="shared" si="3"/>
        <v>1</v>
      </c>
      <c r="AB16" s="1484">
        <f t="shared" si="4"/>
        <v>1</v>
      </c>
      <c r="AC16" s="1484">
        <f t="shared" si="5"/>
        <v>1</v>
      </c>
    </row>
    <row r="17" spans="1:29" ht="15">
      <c r="A17" s="363"/>
      <c r="B17" s="587"/>
      <c r="C17" s="2034"/>
      <c r="D17" s="406"/>
      <c r="E17" s="405"/>
      <c r="F17" s="407"/>
      <c r="G17" s="405"/>
      <c r="H17" s="406"/>
      <c r="I17" s="405"/>
      <c r="J17" s="406"/>
      <c r="K17" s="571"/>
      <c r="L17" s="2897"/>
      <c r="M17" s="2891"/>
      <c r="N17" s="2891"/>
      <c r="O17" s="2891"/>
      <c r="P17" s="3460"/>
      <c r="Q17" s="1483"/>
      <c r="R17" s="711"/>
      <c r="S17" s="712"/>
      <c r="T17" s="711"/>
      <c r="U17" s="712"/>
      <c r="V17" s="711"/>
      <c r="W17" s="712"/>
      <c r="X17" s="1486"/>
      <c r="Y17" s="3460"/>
      <c r="Z17" s="1487"/>
      <c r="AA17" s="1484">
        <v>1</v>
      </c>
      <c r="AB17" s="1484">
        <v>1</v>
      </c>
      <c r="AC17" s="1484">
        <v>1</v>
      </c>
    </row>
    <row r="18" spans="1:29" ht="28.5">
      <c r="A18" s="363"/>
      <c r="B18" s="588" t="s">
        <v>2268</v>
      </c>
      <c r="C18" s="203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460"/>
      <c r="Q18" s="1483" t="str">
        <f>B18</f>
        <v>基础设施水平</v>
      </c>
      <c r="R18" s="711" t="s">
        <v>17</v>
      </c>
      <c r="S18" s="712">
        <f>F18</f>
        <v>100</v>
      </c>
      <c r="T18" s="711" t="s">
        <v>17</v>
      </c>
      <c r="U18" s="712">
        <f>H18</f>
        <v>100</v>
      </c>
      <c r="V18" s="711" t="s">
        <v>17</v>
      </c>
      <c r="W18" s="712">
        <f>J18</f>
        <v>100</v>
      </c>
      <c r="X18" s="1486"/>
      <c r="Y18" s="3460"/>
      <c r="Z18" s="1487" t="str">
        <f>Q18</f>
        <v>基础设施水平</v>
      </c>
      <c r="AA18" s="1484">
        <f t="shared" ref="AA18" si="8">D18/F18</f>
        <v>1</v>
      </c>
      <c r="AB18" s="1484">
        <f t="shared" ref="AB18" si="9">D18/H18</f>
        <v>1</v>
      </c>
      <c r="AC18" s="1484">
        <f t="shared" ref="AC18" si="10">D18/J18</f>
        <v>1</v>
      </c>
    </row>
    <row r="19" spans="1:29" ht="15">
      <c r="A19" s="363"/>
      <c r="B19" s="588"/>
      <c r="C19" s="2034"/>
      <c r="D19" s="408"/>
      <c r="E19" s="2034"/>
      <c r="F19" s="411"/>
      <c r="G19" s="2034"/>
      <c r="H19" s="406"/>
      <c r="I19" s="405"/>
      <c r="J19" s="406"/>
      <c r="K19" s="1241"/>
      <c r="L19" s="2897"/>
      <c r="M19" s="2891"/>
      <c r="N19" s="2891"/>
      <c r="O19" s="2891"/>
      <c r="P19" s="3460"/>
      <c r="Q19" s="1483"/>
      <c r="R19" s="711"/>
      <c r="S19" s="712"/>
      <c r="T19" s="711"/>
      <c r="U19" s="712"/>
      <c r="V19" s="711"/>
      <c r="W19" s="712"/>
      <c r="X19" s="1486"/>
      <c r="Y19" s="3460"/>
      <c r="Z19" s="1487"/>
      <c r="AA19" s="1484">
        <v>1</v>
      </c>
      <c r="AB19" s="1484">
        <v>1</v>
      </c>
      <c r="AC19" s="1484">
        <v>1</v>
      </c>
    </row>
    <row r="20" spans="1:29" ht="57">
      <c r="A20" s="363"/>
      <c r="B20" s="586" t="s">
        <v>2289</v>
      </c>
      <c r="C20" s="203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460"/>
      <c r="Q20" s="1483" t="str">
        <f>B20</f>
        <v>自然及人文环境</v>
      </c>
      <c r="R20" s="711" t="s">
        <v>17</v>
      </c>
      <c r="S20" s="712">
        <f>F20</f>
        <v>100</v>
      </c>
      <c r="T20" s="711" t="s">
        <v>17</v>
      </c>
      <c r="U20" s="712">
        <f>H20</f>
        <v>100</v>
      </c>
      <c r="V20" s="711" t="s">
        <v>17</v>
      </c>
      <c r="W20" s="712">
        <f>J20</f>
        <v>100</v>
      </c>
      <c r="X20" s="1486"/>
      <c r="Y20" s="3460"/>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7"/>
      <c r="M21" s="2891"/>
      <c r="N21" s="2891"/>
      <c r="O21" s="2891"/>
      <c r="P21" s="3460"/>
      <c r="Q21" s="1483"/>
      <c r="R21" s="711"/>
      <c r="S21" s="712"/>
      <c r="T21" s="711"/>
      <c r="U21" s="712"/>
      <c r="V21" s="711"/>
      <c r="W21" s="712"/>
      <c r="X21" s="1486"/>
      <c r="Y21" s="3460"/>
      <c r="Z21" s="1487"/>
      <c r="AA21" s="1484">
        <v>1</v>
      </c>
      <c r="AB21" s="1484">
        <v>1</v>
      </c>
      <c r="AC21" s="1484">
        <v>1</v>
      </c>
    </row>
    <row r="22" spans="1:29" ht="15">
      <c r="A22" s="363"/>
      <c r="B22" s="586" t="s">
        <v>2290</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460"/>
      <c r="Q22" s="1483" t="str">
        <f>B22</f>
        <v>楼层</v>
      </c>
      <c r="R22" s="711" t="s">
        <v>17</v>
      </c>
      <c r="S22" s="712">
        <f>F22</f>
        <v>100</v>
      </c>
      <c r="T22" s="711" t="s">
        <v>17</v>
      </c>
      <c r="U22" s="712">
        <f>H22</f>
        <v>100</v>
      </c>
      <c r="V22" s="711" t="s">
        <v>17</v>
      </c>
      <c r="W22" s="712">
        <f>J22</f>
        <v>100</v>
      </c>
      <c r="X22" s="1486"/>
      <c r="Y22" s="3460"/>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460"/>
      <c r="Q23" s="1483">
        <f>B23</f>
        <v>111</v>
      </c>
      <c r="R23" s="711" t="s">
        <v>17</v>
      </c>
      <c r="S23" s="712">
        <f>F23</f>
        <v>100</v>
      </c>
      <c r="T23" s="711" t="s">
        <v>17</v>
      </c>
      <c r="U23" s="712">
        <f>H23</f>
        <v>100</v>
      </c>
      <c r="V23" s="711" t="s">
        <v>17</v>
      </c>
      <c r="W23" s="712">
        <f>J23</f>
        <v>100</v>
      </c>
      <c r="X23" s="1486"/>
      <c r="Y23" s="3460"/>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460"/>
      <c r="Q24" s="1483">
        <f t="shared" ref="Q24:Q36" si="11">B24</f>
        <v>111</v>
      </c>
      <c r="R24" s="711" t="s">
        <v>17</v>
      </c>
      <c r="S24" s="712">
        <f>F24</f>
        <v>100</v>
      </c>
      <c r="T24" s="711" t="s">
        <v>17</v>
      </c>
      <c r="U24" s="712">
        <f>H24</f>
        <v>100</v>
      </c>
      <c r="V24" s="711" t="s">
        <v>17</v>
      </c>
      <c r="W24" s="712">
        <f>J24</f>
        <v>100</v>
      </c>
      <c r="X24" s="1486"/>
      <c r="Y24" s="3460"/>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460"/>
      <c r="Q25" s="1474">
        <f t="shared" si="11"/>
        <v>111</v>
      </c>
      <c r="R25" s="707" t="s">
        <v>17</v>
      </c>
      <c r="S25" s="708">
        <f>F25</f>
        <v>100</v>
      </c>
      <c r="T25" s="707" t="s">
        <v>17</v>
      </c>
      <c r="U25" s="708">
        <f>H25</f>
        <v>100</v>
      </c>
      <c r="V25" s="707" t="s">
        <v>17</v>
      </c>
      <c r="W25" s="708">
        <f>J25</f>
        <v>100</v>
      </c>
      <c r="X25" s="709"/>
      <c r="Y25" s="3460"/>
      <c r="Z25" s="54">
        <f>Q25</f>
        <v>111</v>
      </c>
      <c r="AA25" s="1484">
        <f>D25/F25</f>
        <v>1</v>
      </c>
      <c r="AB25" s="1484">
        <f>D25/H25</f>
        <v>1</v>
      </c>
      <c r="AC25" s="1484">
        <f>D25/J25</f>
        <v>1</v>
      </c>
    </row>
    <row r="26" spans="1:29" ht="28.5">
      <c r="A26" s="607" t="s">
        <v>2142</v>
      </c>
      <c r="B26" s="65" t="s">
        <v>2291</v>
      </c>
      <c r="C26" s="2105">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43" t="s">
        <v>2144</v>
      </c>
      <c r="Q26" s="1483" t="str">
        <f t="shared" si="11"/>
        <v>配套类型</v>
      </c>
      <c r="R26" s="711" t="s">
        <v>17</v>
      </c>
      <c r="S26" s="712">
        <f t="shared" ref="S26:S36" si="12">F26</f>
        <v>100</v>
      </c>
      <c r="T26" s="711" t="s">
        <v>17</v>
      </c>
      <c r="U26" s="712">
        <f t="shared" ref="U26:U36" si="13">H26</f>
        <v>100</v>
      </c>
      <c r="V26" s="711" t="s">
        <v>17</v>
      </c>
      <c r="W26" s="712">
        <f t="shared" ref="W26:W36" si="14">J26</f>
        <v>100</v>
      </c>
      <c r="X26" s="1486"/>
      <c r="Y26" s="3464" t="s">
        <v>2144</v>
      </c>
      <c r="Z26" s="1487" t="str">
        <f t="shared" ref="Z26:Z36" si="15">Q26</f>
        <v>配套类型</v>
      </c>
      <c r="AA26" s="1484">
        <f t="shared" si="3"/>
        <v>1</v>
      </c>
      <c r="AB26" s="1484">
        <f t="shared" si="4"/>
        <v>1</v>
      </c>
      <c r="AC26" s="1484">
        <f t="shared" si="5"/>
        <v>1</v>
      </c>
    </row>
    <row r="27" spans="1:29" s="429" customFormat="1" ht="15">
      <c r="A27" s="608"/>
      <c r="B27" s="609" t="s">
        <v>2292</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464"/>
      <c r="Q27" s="713" t="str">
        <f t="shared" si="11"/>
        <v>项目停车位配比</v>
      </c>
      <c r="R27" s="714" t="s">
        <v>17</v>
      </c>
      <c r="S27" s="715">
        <f t="shared" si="12"/>
        <v>100</v>
      </c>
      <c r="T27" s="714" t="s">
        <v>17</v>
      </c>
      <c r="U27" s="715">
        <f t="shared" si="13"/>
        <v>100</v>
      </c>
      <c r="V27" s="714" t="s">
        <v>17</v>
      </c>
      <c r="W27" s="715">
        <f t="shared" si="14"/>
        <v>100</v>
      </c>
      <c r="X27" s="716"/>
      <c r="Y27" s="3464"/>
      <c r="Z27" s="717" t="str">
        <f t="shared" si="15"/>
        <v>项目停车位配比</v>
      </c>
      <c r="AA27" s="1484">
        <f t="shared" si="3"/>
        <v>1</v>
      </c>
      <c r="AB27" s="1484">
        <f t="shared" si="4"/>
        <v>1</v>
      </c>
      <c r="AC27" s="1484">
        <f t="shared" si="5"/>
        <v>1</v>
      </c>
    </row>
    <row r="28" spans="1:29" ht="15">
      <c r="A28" s="611"/>
      <c r="B28" s="609" t="s">
        <v>2293</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464"/>
      <c r="Q28" s="1483" t="str">
        <f t="shared" si="11"/>
        <v>公共部分装修</v>
      </c>
      <c r="R28" s="711" t="s">
        <v>17</v>
      </c>
      <c r="S28" s="712">
        <f t="shared" si="12"/>
        <v>100</v>
      </c>
      <c r="T28" s="711" t="s">
        <v>17</v>
      </c>
      <c r="U28" s="712">
        <f t="shared" si="13"/>
        <v>100</v>
      </c>
      <c r="V28" s="711" t="s">
        <v>17</v>
      </c>
      <c r="W28" s="712">
        <f t="shared" si="14"/>
        <v>100</v>
      </c>
      <c r="X28" s="1486"/>
      <c r="Y28" s="3464"/>
      <c r="Z28" s="1487" t="str">
        <f t="shared" si="15"/>
        <v>公共部分装修</v>
      </c>
      <c r="AA28" s="1484">
        <f t="shared" si="3"/>
        <v>1</v>
      </c>
      <c r="AB28" s="1484">
        <f t="shared" si="4"/>
        <v>1</v>
      </c>
      <c r="AC28" s="1484">
        <f t="shared" si="5"/>
        <v>1</v>
      </c>
    </row>
    <row r="29" spans="1:29" ht="15">
      <c r="A29" s="611"/>
      <c r="B29" s="609"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464"/>
      <c r="Q29" s="1483" t="str">
        <f t="shared" si="11"/>
        <v>成新率</v>
      </c>
      <c r="R29" s="711" t="s">
        <v>17</v>
      </c>
      <c r="S29" s="712" t="e">
        <f t="shared" si="12"/>
        <v>#N/A</v>
      </c>
      <c r="T29" s="711" t="s">
        <v>17</v>
      </c>
      <c r="U29" s="712" t="e">
        <f t="shared" si="13"/>
        <v>#N/A</v>
      </c>
      <c r="V29" s="711" t="s">
        <v>17</v>
      </c>
      <c r="W29" s="712" t="e">
        <f t="shared" si="14"/>
        <v>#N/A</v>
      </c>
      <c r="X29" s="1486"/>
      <c r="Y29" s="3464"/>
      <c r="Z29" s="1487" t="str">
        <f t="shared" si="15"/>
        <v>成新率</v>
      </c>
      <c r="AA29" s="1484" t="e">
        <f t="shared" si="3"/>
        <v>#N/A</v>
      </c>
      <c r="AB29" s="1484" t="e">
        <f t="shared" si="4"/>
        <v>#N/A</v>
      </c>
      <c r="AC29" s="1484" t="e">
        <f t="shared" si="5"/>
        <v>#N/A</v>
      </c>
    </row>
    <row r="30" spans="1:29" ht="15">
      <c r="A30" s="611"/>
      <c r="B30" s="609" t="s">
        <v>2295</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464"/>
      <c r="Q30" s="1483" t="str">
        <f t="shared" si="11"/>
        <v>物业等级</v>
      </c>
      <c r="R30" s="711" t="s">
        <v>17</v>
      </c>
      <c r="S30" s="712">
        <f t="shared" si="12"/>
        <v>100</v>
      </c>
      <c r="T30" s="711" t="s">
        <v>17</v>
      </c>
      <c r="U30" s="712">
        <f t="shared" si="13"/>
        <v>100</v>
      </c>
      <c r="V30" s="711" t="s">
        <v>17</v>
      </c>
      <c r="W30" s="712">
        <f t="shared" si="14"/>
        <v>100</v>
      </c>
      <c r="X30" s="1486"/>
      <c r="Y30" s="3464"/>
      <c r="Z30" s="1487" t="str">
        <f t="shared" si="15"/>
        <v>物业等级</v>
      </c>
      <c r="AA30" s="1484">
        <f t="shared" si="3"/>
        <v>1</v>
      </c>
      <c r="AB30" s="1484">
        <f t="shared" si="4"/>
        <v>1</v>
      </c>
      <c r="AC30" s="1484">
        <f t="shared" si="5"/>
        <v>1</v>
      </c>
    </row>
    <row r="31" spans="1:29" s="112" customFormat="1" ht="15">
      <c r="A31" s="613"/>
      <c r="B31" s="609" t="s">
        <v>2296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464"/>
      <c r="Q31" s="1474" t="str">
        <f t="shared" si="11"/>
        <v>停车位面积</v>
      </c>
      <c r="R31" s="707" t="s">
        <v>17</v>
      </c>
      <c r="S31" s="708" t="e">
        <f t="shared" si="12"/>
        <v>#N/A</v>
      </c>
      <c r="T31" s="707" t="s">
        <v>17</v>
      </c>
      <c r="U31" s="708" t="e">
        <f t="shared" si="13"/>
        <v>#N/A</v>
      </c>
      <c r="V31" s="707" t="s">
        <v>17</v>
      </c>
      <c r="W31" s="708" t="e">
        <f t="shared" si="14"/>
        <v>#N/A</v>
      </c>
      <c r="X31" s="709"/>
      <c r="Y31" s="3464"/>
      <c r="Z31" s="54" t="str">
        <f t="shared" si="15"/>
        <v>停车位面积</v>
      </c>
      <c r="AA31" s="710" t="e">
        <f t="shared" si="3"/>
        <v>#N/A</v>
      </c>
      <c r="AB31" s="710" t="e">
        <f t="shared" si="4"/>
        <v>#N/A</v>
      </c>
      <c r="AC31" s="710" t="e">
        <f t="shared" si="5"/>
        <v>#N/A</v>
      </c>
    </row>
    <row r="32" spans="1:29" ht="15">
      <c r="A32" s="611"/>
      <c r="B32" s="609" t="s">
        <v>2297</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464" t="s">
        <v>2144</v>
      </c>
      <c r="Q32" s="1483" t="str">
        <f t="shared" si="11"/>
        <v>车位类型</v>
      </c>
      <c r="R32" s="711" t="s">
        <v>17</v>
      </c>
      <c r="S32" s="712">
        <f t="shared" si="12"/>
        <v>100</v>
      </c>
      <c r="T32" s="711" t="s">
        <v>17</v>
      </c>
      <c r="U32" s="712">
        <f t="shared" si="13"/>
        <v>100</v>
      </c>
      <c r="V32" s="711" t="s">
        <v>17</v>
      </c>
      <c r="W32" s="712">
        <f t="shared" si="14"/>
        <v>100</v>
      </c>
      <c r="X32" s="1486"/>
      <c r="Y32" s="3464" t="s">
        <v>2144</v>
      </c>
      <c r="Z32" s="1487" t="str">
        <f t="shared" si="15"/>
        <v>车位类型</v>
      </c>
      <c r="AA32" s="1484">
        <f t="shared" si="3"/>
        <v>1</v>
      </c>
      <c r="AB32" s="1484">
        <f t="shared" si="4"/>
        <v>1</v>
      </c>
      <c r="AC32" s="1484">
        <f t="shared" si="5"/>
        <v>1</v>
      </c>
    </row>
    <row r="33" spans="1:29" ht="15">
      <c r="A33" s="611"/>
      <c r="B33" s="609" t="s">
        <v>2298</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464"/>
      <c r="Q33" s="1483" t="str">
        <f t="shared" si="11"/>
        <v>是否直接入户</v>
      </c>
      <c r="R33" s="711" t="s">
        <v>17</v>
      </c>
      <c r="S33" s="712">
        <f t="shared" si="12"/>
        <v>100</v>
      </c>
      <c r="T33" s="711" t="s">
        <v>17</v>
      </c>
      <c r="U33" s="712">
        <f t="shared" si="13"/>
        <v>100</v>
      </c>
      <c r="V33" s="711" t="s">
        <v>17</v>
      </c>
      <c r="W33" s="712">
        <f t="shared" si="14"/>
        <v>100</v>
      </c>
      <c r="X33" s="1486"/>
      <c r="Y33" s="3464"/>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464"/>
      <c r="Q34" s="1483">
        <f t="shared" si="11"/>
        <v>111</v>
      </c>
      <c r="R34" s="711" t="s">
        <v>17</v>
      </c>
      <c r="S34" s="712">
        <f t="shared" si="12"/>
        <v>100</v>
      </c>
      <c r="T34" s="711" t="s">
        <v>17</v>
      </c>
      <c r="U34" s="712">
        <f t="shared" si="13"/>
        <v>100</v>
      </c>
      <c r="V34" s="711" t="s">
        <v>17</v>
      </c>
      <c r="W34" s="712">
        <f t="shared" si="14"/>
        <v>100</v>
      </c>
      <c r="X34" s="1486"/>
      <c r="Y34" s="3464"/>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464"/>
      <c r="Q35" s="713">
        <f t="shared" si="11"/>
        <v>111</v>
      </c>
      <c r="R35" s="714" t="s">
        <v>17</v>
      </c>
      <c r="S35" s="715">
        <f t="shared" si="12"/>
        <v>100</v>
      </c>
      <c r="T35" s="714" t="s">
        <v>17</v>
      </c>
      <c r="U35" s="715">
        <f t="shared" si="13"/>
        <v>100</v>
      </c>
      <c r="V35" s="714" t="s">
        <v>17</v>
      </c>
      <c r="W35" s="715">
        <f t="shared" si="14"/>
        <v>100</v>
      </c>
      <c r="X35" s="716"/>
      <c r="Y35" s="3464"/>
      <c r="Z35" s="717">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464"/>
      <c r="Q36" s="1483">
        <f t="shared" si="11"/>
        <v>111</v>
      </c>
      <c r="R36" s="711" t="s">
        <v>17</v>
      </c>
      <c r="S36" s="712">
        <f t="shared" si="12"/>
        <v>100</v>
      </c>
      <c r="T36" s="711" t="s">
        <v>17</v>
      </c>
      <c r="U36" s="712">
        <f t="shared" si="13"/>
        <v>100</v>
      </c>
      <c r="V36" s="711" t="s">
        <v>17</v>
      </c>
      <c r="W36" s="712">
        <f t="shared" si="14"/>
        <v>100</v>
      </c>
      <c r="X36" s="1486"/>
      <c r="Y36" s="3464"/>
      <c r="Z36" s="1487">
        <f t="shared" si="15"/>
        <v>111</v>
      </c>
      <c r="AA36" s="1484">
        <f t="shared" si="3"/>
        <v>1</v>
      </c>
      <c r="AB36" s="1484">
        <f t="shared" si="4"/>
        <v>1</v>
      </c>
      <c r="AC36" s="1484">
        <f t="shared" si="5"/>
        <v>1</v>
      </c>
    </row>
    <row r="37" spans="1:29" ht="15">
      <c r="A37" s="437" t="s">
        <v>2299</v>
      </c>
      <c r="B37" s="2106" t="s">
        <v>2300</v>
      </c>
      <c r="C37" s="1265" t="s">
        <v>1</v>
      </c>
      <c r="D37" s="1266"/>
      <c r="E37" s="1267"/>
      <c r="F37" s="1268"/>
      <c r="G37" s="1269"/>
      <c r="H37" s="1270"/>
      <c r="I37" s="1267"/>
      <c r="J37" s="1270"/>
      <c r="K37" s="575"/>
      <c r="L37" s="2899"/>
      <c r="M37" s="2900"/>
      <c r="N37" s="2891"/>
      <c r="O37" s="2900"/>
      <c r="P37" s="3452" t="str">
        <f>A37</f>
        <v>成交单价</v>
      </c>
      <c r="Q37" s="3452"/>
      <c r="R37" s="3453">
        <f>E37</f>
        <v>0</v>
      </c>
      <c r="S37" s="3453"/>
      <c r="T37" s="3453">
        <f>G37</f>
        <v>0</v>
      </c>
      <c r="U37" s="3453"/>
      <c r="V37" s="3453">
        <f>I37</f>
        <v>0</v>
      </c>
      <c r="W37" s="3453"/>
      <c r="X37" s="696"/>
      <c r="Y37" s="718"/>
      <c r="Z37" s="696"/>
      <c r="AA37" s="696"/>
      <c r="AB37" s="696"/>
      <c r="AC37" s="696"/>
    </row>
    <row r="38" spans="1:29" ht="15.75" thickBot="1">
      <c r="A38" s="444" t="s">
        <v>2301</v>
      </c>
      <c r="B38" s="445" t="str">
        <f>B37</f>
        <v>元/车位</v>
      </c>
      <c r="C38" s="1271" t="e">
        <f>R39</f>
        <v>#DIV/0!</v>
      </c>
      <c r="D38" s="2485" t="s">
        <v>2637</v>
      </c>
      <c r="E38" s="1272" t="e">
        <f>R38</f>
        <v>#DIV/0!</v>
      </c>
      <c r="F38" s="2486"/>
      <c r="G38" s="1271" t="e">
        <f>T38</f>
        <v>#DIV/0!</v>
      </c>
      <c r="H38" s="2486"/>
      <c r="I38" s="1272" t="e">
        <f>V38</f>
        <v>#DIV/0!</v>
      </c>
      <c r="J38" s="2486"/>
      <c r="K38" s="2488">
        <f>F38+H38+J38</f>
        <v>0</v>
      </c>
      <c r="L38" s="2899"/>
      <c r="M38" s="2900"/>
      <c r="N38" s="2900"/>
      <c r="O38" s="2900"/>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6"/>
      <c r="Y38" s="696"/>
      <c r="Z38" s="696"/>
      <c r="AA38" s="696"/>
      <c r="AB38" s="696"/>
      <c r="AC38" s="696"/>
    </row>
    <row r="39" spans="1:29" ht="15.75" thickBot="1">
      <c r="A39" s="448" t="s">
        <v>2302</v>
      </c>
      <c r="B39" s="449"/>
      <c r="C39" s="1274" t="e">
        <f>R39</f>
        <v>#DIV/0!</v>
      </c>
      <c r="D39" s="1274"/>
      <c r="E39" s="1274"/>
      <c r="F39" s="1274"/>
      <c r="G39" s="1274"/>
      <c r="H39" s="1274"/>
      <c r="I39" s="1274"/>
      <c r="J39" s="1274"/>
      <c r="K39" s="576"/>
      <c r="L39" s="2899"/>
      <c r="M39" s="2900"/>
      <c r="N39" s="2900"/>
      <c r="O39" s="2900"/>
      <c r="P39" s="3532" t="str">
        <f>A39</f>
        <v>估价对象XX用房的比较价值（楼面单价，元/平方米）</v>
      </c>
      <c r="Q39" s="3533"/>
      <c r="R39" s="3544" t="e">
        <f>IF(F1="售价",ROUND(IF(D38="简单平均",AVERAGE(R38:W38),R38*F38+T38*H38+V38*J38),0),ROUND(IF(D38="简单平均",AVERAGE(R38:V38),R38*F38+T38*H38+V38*J38),1))</f>
        <v>#DIV/0!</v>
      </c>
      <c r="S39" s="3544"/>
      <c r="T39" s="3544"/>
      <c r="U39" s="3544"/>
      <c r="V39" s="3544"/>
      <c r="W39" s="3544"/>
      <c r="X39" s="696"/>
      <c r="Y39" s="696"/>
      <c r="Z39" s="696"/>
      <c r="AA39" s="696"/>
      <c r="AB39" s="696"/>
      <c r="AC39" s="696"/>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7" t="s">
        <v>2306</v>
      </c>
      <c r="B47" s="1036"/>
      <c r="C47" s="1049"/>
      <c r="D47" s="1049"/>
      <c r="E47" s="1049"/>
      <c r="F47" s="1278"/>
      <c r="G47" s="1278"/>
      <c r="H47" s="1049"/>
      <c r="I47" s="1049"/>
      <c r="J47" s="1049"/>
      <c r="K47" s="1050"/>
      <c r="L47" s="1051"/>
      <c r="M47" s="1049"/>
      <c r="N47" s="2944"/>
      <c r="O47" s="2944"/>
      <c r="P47" s="2933"/>
      <c r="Q47" s="2914"/>
      <c r="R47" s="2900"/>
      <c r="S47" s="2900"/>
      <c r="T47" s="2900"/>
      <c r="U47" s="2900"/>
      <c r="V47" s="2900"/>
      <c r="W47" s="2900"/>
      <c r="X47" s="2900"/>
      <c r="Y47" s="2900"/>
      <c r="Z47" s="2900"/>
      <c r="AA47" s="2900"/>
      <c r="AB47" s="2900"/>
      <c r="AC47" s="2900"/>
    </row>
    <row r="48" spans="1:29" s="464" customFormat="1" ht="15">
      <c r="A48" s="461" t="s">
        <v>2307</v>
      </c>
      <c r="B48" s="462"/>
      <c r="C48" s="1295" t="str">
        <f>YEAR(C7)&amp;"-"&amp;MONTH(C7)</f>
        <v>2022-9</v>
      </c>
      <c r="D48" s="1296">
        <f>EDATE(C48,-1)</f>
        <v>44774</v>
      </c>
      <c r="E48" s="1296">
        <f t="shared" ref="E48:O48" si="16">EDATE(D48,-1)</f>
        <v>44743</v>
      </c>
      <c r="F48" s="1296">
        <f t="shared" si="16"/>
        <v>44713</v>
      </c>
      <c r="G48" s="1296">
        <f t="shared" si="16"/>
        <v>44682</v>
      </c>
      <c r="H48" s="1296">
        <f t="shared" si="16"/>
        <v>44652</v>
      </c>
      <c r="I48" s="1296">
        <f t="shared" si="16"/>
        <v>44621</v>
      </c>
      <c r="J48" s="1296">
        <f t="shared" si="16"/>
        <v>44593</v>
      </c>
      <c r="K48" s="1296">
        <f t="shared" si="16"/>
        <v>44562</v>
      </c>
      <c r="L48" s="1296">
        <f t="shared" si="16"/>
        <v>44531</v>
      </c>
      <c r="M48" s="1296">
        <f t="shared" si="16"/>
        <v>44501</v>
      </c>
      <c r="N48" s="1296">
        <f t="shared" si="16"/>
        <v>44470</v>
      </c>
      <c r="O48" s="1296">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88">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2164</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2129</v>
      </c>
      <c r="B51" s="466"/>
      <c r="C51" s="478" t="s">
        <v>2231</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2167</v>
      </c>
      <c r="B53" s="484" t="s">
        <v>2133</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2182</v>
      </c>
      <c r="C65" s="534" t="s">
        <v>2176</v>
      </c>
      <c r="D65" s="534" t="s">
        <v>2177</v>
      </c>
      <c r="E65" s="534" t="s">
        <v>2178</v>
      </c>
      <c r="F65" s="534" t="s">
        <v>2179</v>
      </c>
      <c r="G65" s="534" t="s">
        <v>2180</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2268</v>
      </c>
      <c r="C67" s="615" t="s">
        <v>2254</v>
      </c>
      <c r="D67" s="615" t="s">
        <v>2255</v>
      </c>
      <c r="E67" s="615" t="s">
        <v>2256</v>
      </c>
      <c r="F67" s="615" t="s">
        <v>2257</v>
      </c>
      <c r="G67" s="615" t="s">
        <v>2258</v>
      </c>
      <c r="H67" s="495"/>
      <c r="I67" s="495"/>
      <c r="J67" s="495"/>
      <c r="K67" s="495"/>
      <c r="L67" s="495"/>
      <c r="M67" s="1240"/>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2188</v>
      </c>
      <c r="C69" s="534" t="s">
        <v>2176</v>
      </c>
      <c r="D69" s="534" t="s">
        <v>2177</v>
      </c>
      <c r="E69" s="534" t="s">
        <v>2178</v>
      </c>
      <c r="F69" s="534" t="s">
        <v>2179</v>
      </c>
      <c r="G69" s="534" t="s">
        <v>2180</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2308</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2142</v>
      </c>
      <c r="B79" s="484" t="s">
        <v>2309</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2310</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2195</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2312</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2314</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2315</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IF(C2="——",ROUND(C37*D3/10000,0),ROUND(C37*D3/10000,0)-D2)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69" t="s">
        <v>2225</v>
      </c>
      <c r="D4" s="3470"/>
      <c r="E4" s="3471" t="s">
        <v>2226</v>
      </c>
      <c r="F4" s="3472"/>
      <c r="G4" s="3469" t="s">
        <v>2227</v>
      </c>
      <c r="H4" s="3470"/>
      <c r="I4" s="3469" t="s">
        <v>2228</v>
      </c>
      <c r="J4" s="3470"/>
      <c r="K4" s="566" t="s">
        <v>2229</v>
      </c>
      <c r="L4" s="2890"/>
      <c r="M4" s="2891"/>
      <c r="N4" s="2891"/>
      <c r="O4" s="2891"/>
      <c r="P4" s="3536" t="s">
        <v>2230</v>
      </c>
      <c r="Q4" s="3537"/>
      <c r="R4" s="3540" t="s">
        <v>2226</v>
      </c>
      <c r="S4" s="3541"/>
      <c r="T4" s="3540" t="s">
        <v>2227</v>
      </c>
      <c r="U4" s="3541"/>
      <c r="V4" s="3486" t="s">
        <v>2228</v>
      </c>
      <c r="W4" s="3486"/>
      <c r="X4" s="1486"/>
      <c r="Y4" s="3540" t="s">
        <v>2230</v>
      </c>
      <c r="Z4" s="3541"/>
      <c r="AA4" s="3535" t="s">
        <v>2226</v>
      </c>
      <c r="AB4" s="3499" t="s">
        <v>2227</v>
      </c>
      <c r="AC4" s="3535" t="s">
        <v>2228</v>
      </c>
    </row>
    <row r="5" spans="1:29" ht="15">
      <c r="A5" s="363"/>
      <c r="B5" s="364"/>
      <c r="C5" s="3495" t="s">
        <v>2121</v>
      </c>
      <c r="D5" s="3490"/>
      <c r="E5" s="3542" t="s">
        <v>2122</v>
      </c>
      <c r="F5" s="3502"/>
      <c r="G5" s="3495" t="s">
        <v>2123</v>
      </c>
      <c r="H5" s="3490"/>
      <c r="I5" s="3495" t="s">
        <v>2124</v>
      </c>
      <c r="J5" s="3490"/>
      <c r="K5" s="566"/>
      <c r="L5" s="2890"/>
      <c r="M5" s="2891"/>
      <c r="N5" s="2891"/>
      <c r="O5" s="2891"/>
      <c r="P5" s="3538"/>
      <c r="Q5" s="3476"/>
      <c r="R5" s="3481"/>
      <c r="S5" s="3482"/>
      <c r="T5" s="3481"/>
      <c r="U5" s="3482"/>
      <c r="V5" s="3486"/>
      <c r="W5" s="3486"/>
      <c r="X5" s="1486"/>
      <c r="Y5" s="3481"/>
      <c r="Z5" s="3482"/>
      <c r="AA5" s="3499"/>
      <c r="AB5" s="3499"/>
      <c r="AC5" s="3499"/>
    </row>
    <row r="6" spans="1:29" ht="15.75" thickBot="1">
      <c r="A6" s="365"/>
      <c r="B6" s="366"/>
      <c r="C6" s="3487" t="s">
        <v>2125</v>
      </c>
      <c r="D6" s="3488"/>
      <c r="E6" s="3496" t="s">
        <v>2125</v>
      </c>
      <c r="F6" s="3497"/>
      <c r="G6" s="3487" t="s">
        <v>2125</v>
      </c>
      <c r="H6" s="3488"/>
      <c r="I6" s="3487" t="s">
        <v>2125</v>
      </c>
      <c r="J6" s="3488"/>
      <c r="K6" s="566" t="s">
        <v>2126</v>
      </c>
      <c r="L6" s="2890"/>
      <c r="M6" s="2891"/>
      <c r="N6" s="2891"/>
      <c r="O6" s="2891"/>
      <c r="P6" s="3539"/>
      <c r="Q6" s="3478"/>
      <c r="R6" s="3481"/>
      <c r="S6" s="3482"/>
      <c r="T6" s="3483"/>
      <c r="U6" s="3484"/>
      <c r="V6" s="3486"/>
      <c r="W6" s="3486"/>
      <c r="X6" s="1486"/>
      <c r="Y6" s="3483"/>
      <c r="Z6" s="3484"/>
      <c r="AA6" s="3500"/>
      <c r="AB6" s="3500"/>
      <c r="AC6" s="3500"/>
    </row>
    <row r="7" spans="1:29" s="112" customFormat="1" ht="15.75" thickBot="1">
      <c r="A7" s="367" t="s">
        <v>2127</v>
      </c>
      <c r="B7" s="368"/>
      <c r="C7" s="369">
        <f>'数据-取费表'!B2</f>
        <v>44805</v>
      </c>
      <c r="D7" s="370">
        <v>100</v>
      </c>
      <c r="E7" s="371"/>
      <c r="F7" s="372">
        <f>SUMIF(46:46,YEAR(E7)&amp;"-"&amp;MONTH(E7),47:47)</f>
        <v>0</v>
      </c>
      <c r="G7" s="2107"/>
      <c r="H7" s="370">
        <f>SUMIF(46:46,YEAR(G7)&amp;"-"&amp;MONTH(G7),47:47)</f>
        <v>0</v>
      </c>
      <c r="I7" s="371"/>
      <c r="J7" s="370">
        <f>SUMIF(46:46,YEAR(I7)&amp;"-"&amp;MONTH(I7),47:47)</f>
        <v>0</v>
      </c>
      <c r="K7" s="567"/>
      <c r="L7" s="2892"/>
      <c r="M7" s="2893"/>
      <c r="N7" s="2893"/>
      <c r="O7" s="2893"/>
      <c r="P7" s="3493" t="s">
        <v>2128</v>
      </c>
      <c r="Q7" s="3494"/>
      <c r="R7" s="707" t="s">
        <v>17</v>
      </c>
      <c r="S7" s="708">
        <f t="shared" ref="S7:S14" si="0">F7</f>
        <v>0</v>
      </c>
      <c r="T7" s="707" t="s">
        <v>17</v>
      </c>
      <c r="U7" s="708">
        <f t="shared" ref="U7:U14" si="1">H7</f>
        <v>0</v>
      </c>
      <c r="V7" s="707" t="s">
        <v>17</v>
      </c>
      <c r="W7" s="708">
        <f t="shared" ref="W7:W14" si="2">J7</f>
        <v>0</v>
      </c>
      <c r="X7" s="709"/>
      <c r="Y7" s="3493" t="s">
        <v>2128</v>
      </c>
      <c r="Z7" s="3492"/>
      <c r="AA7" s="710" t="e">
        <f>D7/F7</f>
        <v>#DIV/0!</v>
      </c>
      <c r="AB7" s="710" t="e">
        <f>D7/H7</f>
        <v>#DIV/0!</v>
      </c>
      <c r="AC7" s="710" t="e">
        <f>D7/J7</f>
        <v>#DIV/0!</v>
      </c>
    </row>
    <row r="8" spans="1:29" s="112"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93" t="s">
        <v>2131</v>
      </c>
      <c r="Q8" s="3492"/>
      <c r="R8" s="707" t="s">
        <v>17</v>
      </c>
      <c r="S8" s="708">
        <f t="shared" si="0"/>
        <v>0</v>
      </c>
      <c r="T8" s="707" t="s">
        <v>17</v>
      </c>
      <c r="U8" s="708">
        <f t="shared" si="1"/>
        <v>0</v>
      </c>
      <c r="V8" s="707" t="s">
        <v>17</v>
      </c>
      <c r="W8" s="708">
        <f t="shared" si="2"/>
        <v>0</v>
      </c>
      <c r="X8" s="709"/>
      <c r="Y8" s="3493" t="s">
        <v>2131</v>
      </c>
      <c r="Z8" s="3492"/>
      <c r="AA8" s="710" t="e">
        <f t="shared" ref="AA8:AA34" si="3">D8/F8</f>
        <v>#DIV/0!</v>
      </c>
      <c r="AB8" s="710" t="e">
        <f t="shared" ref="AB8:AB34" si="4">D8/H8</f>
        <v>#DIV/0!</v>
      </c>
      <c r="AC8" s="710" t="e">
        <f t="shared" ref="AC8:AC34" si="5">D8/J8</f>
        <v>#DIV/0!</v>
      </c>
    </row>
    <row r="9" spans="1:29" s="112" customFormat="1">
      <c r="A9" s="374" t="s">
        <v>2132</v>
      </c>
      <c r="B9" s="66" t="s">
        <v>2133</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452" t="s">
        <v>2134</v>
      </c>
      <c r="Q9" s="1474" t="str">
        <f t="shared" ref="Q9:Q14" si="6">B9</f>
        <v>用途</v>
      </c>
      <c r="R9" s="707" t="s">
        <v>17</v>
      </c>
      <c r="S9" s="708">
        <f t="shared" si="0"/>
        <v>100</v>
      </c>
      <c r="T9" s="707" t="s">
        <v>17</v>
      </c>
      <c r="U9" s="708">
        <f t="shared" si="1"/>
        <v>100</v>
      </c>
      <c r="V9" s="707" t="s">
        <v>17</v>
      </c>
      <c r="W9" s="708">
        <f t="shared" si="2"/>
        <v>100</v>
      </c>
      <c r="X9" s="709"/>
      <c r="Y9" s="3355" t="s">
        <v>2135</v>
      </c>
      <c r="Z9" s="54" t="str">
        <f t="shared" ref="Z9:Z14" si="7">Q9</f>
        <v>用途</v>
      </c>
      <c r="AA9" s="710">
        <f t="shared" si="3"/>
        <v>1</v>
      </c>
      <c r="AB9" s="710">
        <f t="shared" si="4"/>
        <v>1</v>
      </c>
      <c r="AC9" s="710">
        <f t="shared" si="5"/>
        <v>1</v>
      </c>
    </row>
    <row r="10" spans="1:29" s="385" customFormat="1" ht="27">
      <c r="A10" s="379"/>
      <c r="B10" s="380" t="s">
        <v>2136</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452"/>
      <c r="Q10" s="1474" t="str">
        <f t="shared" si="6"/>
        <v>土地使用年限（年）</v>
      </c>
      <c r="R10" s="707" t="s">
        <v>17</v>
      </c>
      <c r="S10" s="708">
        <f t="shared" si="0"/>
        <v>100</v>
      </c>
      <c r="T10" s="707" t="s">
        <v>17</v>
      </c>
      <c r="U10" s="708">
        <f t="shared" si="1"/>
        <v>100</v>
      </c>
      <c r="V10" s="707" t="s">
        <v>17</v>
      </c>
      <c r="W10" s="708">
        <f t="shared" si="2"/>
        <v>100</v>
      </c>
      <c r="X10" s="709"/>
      <c r="Y10" s="3355"/>
      <c r="Z10" s="54" t="str">
        <f t="shared" si="7"/>
        <v>土地使用年限（年）</v>
      </c>
      <c r="AA10" s="710">
        <f t="shared" si="3"/>
        <v>1</v>
      </c>
      <c r="AB10" s="710">
        <f t="shared" si="4"/>
        <v>1</v>
      </c>
      <c r="AC10" s="710">
        <f t="shared" si="5"/>
        <v>1</v>
      </c>
    </row>
    <row r="11" spans="1:29" ht="15">
      <c r="A11" s="386"/>
      <c r="B11" s="2026">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452"/>
      <c r="Q11" s="1474">
        <f t="shared" si="6"/>
        <v>111</v>
      </c>
      <c r="R11" s="707" t="s">
        <v>17</v>
      </c>
      <c r="S11" s="708">
        <f t="shared" si="0"/>
        <v>100</v>
      </c>
      <c r="T11" s="707" t="s">
        <v>17</v>
      </c>
      <c r="U11" s="708">
        <f t="shared" si="1"/>
        <v>100</v>
      </c>
      <c r="V11" s="707" t="s">
        <v>17</v>
      </c>
      <c r="W11" s="708">
        <f t="shared" si="2"/>
        <v>100</v>
      </c>
      <c r="X11" s="709"/>
      <c r="Y11" s="3355"/>
      <c r="Z11" s="54">
        <f t="shared" si="7"/>
        <v>111</v>
      </c>
      <c r="AA11" s="710">
        <f t="shared" si="3"/>
        <v>1</v>
      </c>
      <c r="AB11" s="710">
        <f t="shared" si="4"/>
        <v>1</v>
      </c>
      <c r="AC11" s="710">
        <f t="shared" si="5"/>
        <v>1</v>
      </c>
    </row>
    <row r="12" spans="1:29" s="112" customFormat="1" ht="15">
      <c r="A12" s="389"/>
      <c r="B12" s="2026">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452"/>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710">
        <f>D12/J12</f>
        <v>1</v>
      </c>
    </row>
    <row r="13" spans="1:29" ht="15.75" thickBot="1">
      <c r="A13" s="386"/>
      <c r="B13" s="2026">
        <v>111</v>
      </c>
      <c r="C13" s="392"/>
      <c r="D13" s="393">
        <v>100</v>
      </c>
      <c r="E13" s="427"/>
      <c r="F13" s="383">
        <f>SUMIF(59:59,E13,60:60)-SUMIF(59:59,C13,60:60)+100</f>
        <v>100</v>
      </c>
      <c r="G13" s="2108"/>
      <c r="H13" s="396">
        <f>SUMIF(59:59,G13,60:60)-SUMIF(59:59,C13,60:60)+100</f>
        <v>100</v>
      </c>
      <c r="I13" s="427"/>
      <c r="J13" s="393">
        <f>SUMIF(59:59,I13,60:60)-SUMIF(59:59,C13,60:60)+100</f>
        <v>100</v>
      </c>
      <c r="K13" s="569"/>
      <c r="L13" s="2897"/>
      <c r="M13" s="2891"/>
      <c r="N13" s="2891"/>
      <c r="O13" s="2949"/>
      <c r="P13" s="3452"/>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710">
        <f t="shared" si="5"/>
        <v>1</v>
      </c>
    </row>
    <row r="14" spans="1:29" ht="85.5">
      <c r="A14" s="398" t="s">
        <v>2138</v>
      </c>
      <c r="B14" s="64" t="s">
        <v>2288</v>
      </c>
      <c r="C14" s="210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459" t="s">
        <v>2139</v>
      </c>
      <c r="Q14" s="1483" t="str">
        <f t="shared" si="6"/>
        <v>交通便捷度</v>
      </c>
      <c r="R14" s="711" t="s">
        <v>17</v>
      </c>
      <c r="S14" s="712">
        <f t="shared" si="0"/>
        <v>100</v>
      </c>
      <c r="T14" s="711" t="s">
        <v>17</v>
      </c>
      <c r="U14" s="712">
        <f t="shared" si="1"/>
        <v>100</v>
      </c>
      <c r="V14" s="711" t="s">
        <v>17</v>
      </c>
      <c r="W14" s="712">
        <f t="shared" si="2"/>
        <v>100</v>
      </c>
      <c r="X14" s="1486"/>
      <c r="Y14" s="3459" t="s">
        <v>2139</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7"/>
      <c r="M15" s="2891"/>
      <c r="N15" s="2891"/>
      <c r="O15" s="2949"/>
      <c r="P15" s="3460"/>
      <c r="Q15" s="1483"/>
      <c r="R15" s="711"/>
      <c r="S15" s="712"/>
      <c r="T15" s="711"/>
      <c r="U15" s="712"/>
      <c r="V15" s="711"/>
      <c r="W15" s="712"/>
      <c r="X15" s="1486"/>
      <c r="Y15" s="3460"/>
      <c r="Z15" s="1487"/>
      <c r="AA15" s="1484">
        <v>1</v>
      </c>
      <c r="AB15" s="1484">
        <v>1</v>
      </c>
      <c r="AC15" s="1484">
        <v>1</v>
      </c>
    </row>
    <row r="16" spans="1:29" ht="42.75">
      <c r="A16" s="386"/>
      <c r="B16" s="409" t="s">
        <v>2267</v>
      </c>
      <c r="C16" s="203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460"/>
      <c r="Q16" s="1483" t="str">
        <f>B16</f>
        <v>公共配套设施</v>
      </c>
      <c r="R16" s="711" t="s">
        <v>17</v>
      </c>
      <c r="S16" s="712">
        <f>F16</f>
        <v>100</v>
      </c>
      <c r="T16" s="711" t="s">
        <v>17</v>
      </c>
      <c r="U16" s="712">
        <f>H16</f>
        <v>100</v>
      </c>
      <c r="V16" s="711" t="s">
        <v>17</v>
      </c>
      <c r="W16" s="712">
        <f>J16</f>
        <v>100</v>
      </c>
      <c r="X16" s="1486"/>
      <c r="Y16" s="3460"/>
      <c r="Z16" s="1487" t="str">
        <f>Q16</f>
        <v>公共配套设施</v>
      </c>
      <c r="AA16" s="1484">
        <f t="shared" si="3"/>
        <v>1</v>
      </c>
      <c r="AB16" s="1484">
        <f t="shared" si="4"/>
        <v>1</v>
      </c>
      <c r="AC16" s="1484">
        <f t="shared" si="5"/>
        <v>1</v>
      </c>
    </row>
    <row r="17" spans="1:29" ht="15">
      <c r="A17" s="386"/>
      <c r="B17" s="414"/>
      <c r="C17" s="2034"/>
      <c r="D17" s="406"/>
      <c r="E17" s="405"/>
      <c r="F17" s="407"/>
      <c r="G17" s="405"/>
      <c r="H17" s="406"/>
      <c r="I17" s="405"/>
      <c r="J17" s="406"/>
      <c r="K17" s="571"/>
      <c r="L17" s="2897"/>
      <c r="M17" s="2891"/>
      <c r="N17" s="2891"/>
      <c r="O17" s="2949"/>
      <c r="P17" s="3460"/>
      <c r="Q17" s="1483"/>
      <c r="R17" s="711"/>
      <c r="S17" s="712"/>
      <c r="T17" s="711"/>
      <c r="U17" s="712"/>
      <c r="V17" s="711"/>
      <c r="W17" s="712"/>
      <c r="X17" s="1486"/>
      <c r="Y17" s="3460"/>
      <c r="Z17" s="1487"/>
      <c r="AA17" s="1484">
        <v>1</v>
      </c>
      <c r="AB17" s="1484">
        <v>1</v>
      </c>
      <c r="AC17" s="1484">
        <v>1</v>
      </c>
    </row>
    <row r="18" spans="1:29" ht="28.5">
      <c r="A18" s="386"/>
      <c r="B18" s="1242" t="s">
        <v>2268</v>
      </c>
      <c r="C18" s="203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460"/>
      <c r="Q18" s="1483" t="str">
        <f>B18</f>
        <v>基础设施水平</v>
      </c>
      <c r="R18" s="711" t="s">
        <v>17</v>
      </c>
      <c r="S18" s="712">
        <f>F18</f>
        <v>100</v>
      </c>
      <c r="T18" s="711" t="s">
        <v>17</v>
      </c>
      <c r="U18" s="712">
        <f>H18</f>
        <v>100</v>
      </c>
      <c r="V18" s="711" t="s">
        <v>17</v>
      </c>
      <c r="W18" s="712">
        <f>J18</f>
        <v>100</v>
      </c>
      <c r="X18" s="1486"/>
      <c r="Y18" s="3460"/>
      <c r="Z18" s="1487" t="str">
        <f>Q18</f>
        <v>基础设施水平</v>
      </c>
      <c r="AA18" s="1484">
        <f t="shared" ref="AA18" si="8">D18/F18</f>
        <v>1</v>
      </c>
      <c r="AB18" s="1484">
        <f t="shared" ref="AB18" si="9">D18/H18</f>
        <v>1</v>
      </c>
      <c r="AC18" s="1484">
        <f t="shared" ref="AC18" si="10">D18/J18</f>
        <v>1</v>
      </c>
    </row>
    <row r="19" spans="1:29" ht="15">
      <c r="A19" s="386"/>
      <c r="B19" s="1242"/>
      <c r="C19" s="2034"/>
      <c r="D19" s="408"/>
      <c r="E19" s="2034"/>
      <c r="F19" s="411"/>
      <c r="G19" s="2034"/>
      <c r="H19" s="406"/>
      <c r="I19" s="405"/>
      <c r="J19" s="406"/>
      <c r="K19" s="1241"/>
      <c r="L19" s="2897"/>
      <c r="M19" s="2891"/>
      <c r="N19" s="2891"/>
      <c r="O19" s="2949"/>
      <c r="P19" s="3460"/>
      <c r="Q19" s="1483"/>
      <c r="R19" s="711"/>
      <c r="S19" s="712"/>
      <c r="T19" s="711"/>
      <c r="U19" s="712"/>
      <c r="V19" s="711"/>
      <c r="W19" s="712"/>
      <c r="X19" s="1486"/>
      <c r="Y19" s="3460"/>
      <c r="Z19" s="1487"/>
      <c r="AA19" s="1484">
        <v>1</v>
      </c>
      <c r="AB19" s="1484">
        <v>1</v>
      </c>
      <c r="AC19" s="1484">
        <v>1</v>
      </c>
    </row>
    <row r="20" spans="1:29" ht="57">
      <c r="A20" s="386"/>
      <c r="B20" s="409" t="s">
        <v>2289</v>
      </c>
      <c r="C20" s="203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460"/>
      <c r="Q20" s="1483" t="str">
        <f>B20</f>
        <v>自然及人文环境</v>
      </c>
      <c r="R20" s="711" t="s">
        <v>17</v>
      </c>
      <c r="S20" s="712">
        <f>F20</f>
        <v>100</v>
      </c>
      <c r="T20" s="711" t="s">
        <v>17</v>
      </c>
      <c r="U20" s="712">
        <f>H20</f>
        <v>100</v>
      </c>
      <c r="V20" s="711" t="s">
        <v>17</v>
      </c>
      <c r="W20" s="712">
        <f>J20</f>
        <v>100</v>
      </c>
      <c r="X20" s="1486"/>
      <c r="Y20" s="3460"/>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7"/>
      <c r="M21" s="2891"/>
      <c r="N21" s="2891"/>
      <c r="O21" s="2949"/>
      <c r="P21" s="3460"/>
      <c r="Q21" s="1483"/>
      <c r="R21" s="711"/>
      <c r="S21" s="712"/>
      <c r="T21" s="711"/>
      <c r="U21" s="712"/>
      <c r="V21" s="711"/>
      <c r="W21" s="712"/>
      <c r="X21" s="1486"/>
      <c r="Y21" s="3460"/>
      <c r="Z21" s="1487"/>
      <c r="AA21" s="1484">
        <v>1</v>
      </c>
      <c r="AB21" s="1484">
        <v>1</v>
      </c>
      <c r="AC21" s="1484">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460"/>
      <c r="Q22" s="1483" t="str">
        <f>B22</f>
        <v>楼层</v>
      </c>
      <c r="R22" s="711" t="s">
        <v>17</v>
      </c>
      <c r="S22" s="712">
        <f>F22</f>
        <v>100</v>
      </c>
      <c r="T22" s="711" t="s">
        <v>17</v>
      </c>
      <c r="U22" s="712">
        <f>H22</f>
        <v>100</v>
      </c>
      <c r="V22" s="711" t="s">
        <v>17</v>
      </c>
      <c r="W22" s="712">
        <f>J22</f>
        <v>100</v>
      </c>
      <c r="X22" s="1486"/>
      <c r="Y22" s="3460"/>
      <c r="Z22" s="1487" t="str">
        <f>Q22</f>
        <v>楼层</v>
      </c>
      <c r="AA22" s="1484">
        <f t="shared" si="3"/>
        <v>1</v>
      </c>
      <c r="AB22" s="1484">
        <f t="shared" si="4"/>
        <v>1</v>
      </c>
      <c r="AC22" s="1484">
        <f t="shared" si="5"/>
        <v>1</v>
      </c>
    </row>
    <row r="23" spans="1:29" ht="15">
      <c r="A23" s="363"/>
      <c r="B23" s="2026">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460"/>
      <c r="Q23" s="1483">
        <f>B23</f>
        <v>111</v>
      </c>
      <c r="R23" s="711" t="s">
        <v>17</v>
      </c>
      <c r="S23" s="712">
        <f>F23</f>
        <v>100</v>
      </c>
      <c r="T23" s="711" t="s">
        <v>17</v>
      </c>
      <c r="U23" s="712">
        <f>H23</f>
        <v>100</v>
      </c>
      <c r="V23" s="711" t="s">
        <v>17</v>
      </c>
      <c r="W23" s="712">
        <f>J23</f>
        <v>100</v>
      </c>
      <c r="X23" s="1486"/>
      <c r="Y23" s="3460"/>
      <c r="Z23" s="1487">
        <f>Q23</f>
        <v>111</v>
      </c>
      <c r="AA23" s="1484">
        <f t="shared" si="3"/>
        <v>1</v>
      </c>
      <c r="AB23" s="1484">
        <f t="shared" si="4"/>
        <v>1</v>
      </c>
      <c r="AC23" s="1484">
        <f t="shared" si="5"/>
        <v>1</v>
      </c>
    </row>
    <row r="24" spans="1:29" ht="15">
      <c r="A24" s="386"/>
      <c r="B24" s="2026">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460"/>
      <c r="Q24" s="1483">
        <f t="shared" ref="Q24:Q34" si="11">B24</f>
        <v>111</v>
      </c>
      <c r="R24" s="711" t="s">
        <v>17</v>
      </c>
      <c r="S24" s="712">
        <f>F24</f>
        <v>100</v>
      </c>
      <c r="T24" s="711" t="s">
        <v>17</v>
      </c>
      <c r="U24" s="712">
        <f>H24</f>
        <v>100</v>
      </c>
      <c r="V24" s="711" t="s">
        <v>17</v>
      </c>
      <c r="W24" s="712">
        <f>J24</f>
        <v>100</v>
      </c>
      <c r="X24" s="1486"/>
      <c r="Y24" s="3460"/>
      <c r="Z24" s="1487">
        <f>Q24</f>
        <v>111</v>
      </c>
      <c r="AA24" s="1484">
        <f t="shared" si="3"/>
        <v>1</v>
      </c>
      <c r="AB24" s="1484">
        <f t="shared" si="4"/>
        <v>1</v>
      </c>
      <c r="AC24" s="1484">
        <f t="shared" si="5"/>
        <v>1</v>
      </c>
    </row>
    <row r="25" spans="1:29" s="112" customFormat="1" ht="15.75" thickBot="1">
      <c r="A25" s="389"/>
      <c r="B25" s="2026">
        <v>111</v>
      </c>
      <c r="C25" s="2109"/>
      <c r="D25" s="620">
        <v>100</v>
      </c>
      <c r="E25" s="2109"/>
      <c r="F25" s="621">
        <f>SUMIF(75:75,E25,76:76)-SUMIF(75:75,C25,76:76)+100</f>
        <v>100</v>
      </c>
      <c r="G25" s="2109"/>
      <c r="H25" s="620">
        <f>SUMIF(75:75,G25,76:76)-SUMIF(75:75,C25,76:76)+100</f>
        <v>100</v>
      </c>
      <c r="I25" s="2109"/>
      <c r="J25" s="620">
        <f>SUMIF(75:75,I25,76:76)-SUMIF(75:75,C25,76:76)+100</f>
        <v>100</v>
      </c>
      <c r="K25" s="569"/>
      <c r="L25" s="2892"/>
      <c r="M25" s="2893"/>
      <c r="N25" s="2893"/>
      <c r="O25" s="2947"/>
      <c r="P25" s="3460"/>
      <c r="Q25" s="1474">
        <f t="shared" si="11"/>
        <v>111</v>
      </c>
      <c r="R25" s="707" t="s">
        <v>17</v>
      </c>
      <c r="S25" s="708">
        <f>F25</f>
        <v>100</v>
      </c>
      <c r="T25" s="707" t="s">
        <v>17</v>
      </c>
      <c r="U25" s="708">
        <f>H25</f>
        <v>100</v>
      </c>
      <c r="V25" s="707" t="s">
        <v>17</v>
      </c>
      <c r="W25" s="708">
        <f>J25</f>
        <v>100</v>
      </c>
      <c r="X25" s="709"/>
      <c r="Y25" s="3460"/>
      <c r="Z25" s="54">
        <f>Q25</f>
        <v>111</v>
      </c>
      <c r="AA25" s="1484">
        <f>D25/F25</f>
        <v>1</v>
      </c>
      <c r="AB25" s="1484">
        <f>D25/H25</f>
        <v>1</v>
      </c>
      <c r="AC25" s="1484">
        <f>D25/J25</f>
        <v>1</v>
      </c>
    </row>
    <row r="26" spans="1:29" ht="28.5">
      <c r="A26" s="424" t="s">
        <v>2142</v>
      </c>
      <c r="B26" s="66" t="s">
        <v>2293</v>
      </c>
      <c r="C26" s="2100"/>
      <c r="D26" s="425">
        <v>100</v>
      </c>
      <c r="E26" s="2100"/>
      <c r="F26" s="622">
        <f>SUMIF(77:77,E26,78:78)-SUMIF(77:77,C26,78:78)+100</f>
        <v>100</v>
      </c>
      <c r="G26" s="2100"/>
      <c r="H26" s="425">
        <f>SUMIF(77:77,G26,78:78)-SUMIF(77:77,C26,78:78)+100</f>
        <v>100</v>
      </c>
      <c r="I26" s="2100"/>
      <c r="J26" s="425">
        <f>SUMIF(77:77,I26,78:78)-SUMIF(77:77,C26,78:78)+100</f>
        <v>100</v>
      </c>
      <c r="K26" s="568"/>
      <c r="L26" s="2897"/>
      <c r="M26" s="2891"/>
      <c r="N26" s="2891"/>
      <c r="O26" s="2949"/>
      <c r="P26" s="3543" t="s">
        <v>2144</v>
      </c>
      <c r="Q26" s="1483" t="str">
        <f t="shared" si="11"/>
        <v>公共部分装修</v>
      </c>
      <c r="R26" s="711" t="s">
        <v>17</v>
      </c>
      <c r="S26" s="712">
        <f t="shared" ref="S26:S34" si="12">F26</f>
        <v>100</v>
      </c>
      <c r="T26" s="711" t="s">
        <v>17</v>
      </c>
      <c r="U26" s="712">
        <f t="shared" ref="U26:U34" si="13">H26</f>
        <v>100</v>
      </c>
      <c r="V26" s="711" t="s">
        <v>17</v>
      </c>
      <c r="W26" s="712">
        <f t="shared" ref="W26:W34" si="14">J26</f>
        <v>100</v>
      </c>
      <c r="X26" s="1486"/>
      <c r="Y26" s="3464" t="s">
        <v>2144</v>
      </c>
      <c r="Z26" s="1487" t="str">
        <f t="shared" ref="Z26:Z34" si="15">Q26</f>
        <v>公共部分装修</v>
      </c>
      <c r="AA26" s="1484">
        <f t="shared" si="3"/>
        <v>1</v>
      </c>
      <c r="AB26" s="1484">
        <f t="shared" si="4"/>
        <v>1</v>
      </c>
      <c r="AC26" s="1484">
        <f t="shared" si="5"/>
        <v>1</v>
      </c>
    </row>
    <row r="27" spans="1:29" s="429" customFormat="1" ht="15">
      <c r="A27" s="426"/>
      <c r="B27" s="380" t="s">
        <v>2294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464"/>
      <c r="Q27" s="713" t="str">
        <f t="shared" si="11"/>
        <v>成新率</v>
      </c>
      <c r="R27" s="714" t="s">
        <v>17</v>
      </c>
      <c r="S27" s="715" t="e">
        <f t="shared" si="12"/>
        <v>#N/A</v>
      </c>
      <c r="T27" s="714" t="s">
        <v>17</v>
      </c>
      <c r="U27" s="715" t="e">
        <f t="shared" si="13"/>
        <v>#N/A</v>
      </c>
      <c r="V27" s="714" t="s">
        <v>17</v>
      </c>
      <c r="W27" s="715" t="e">
        <f t="shared" si="14"/>
        <v>#N/A</v>
      </c>
      <c r="X27" s="716"/>
      <c r="Y27" s="3464"/>
      <c r="Z27" s="717" t="str">
        <f t="shared" si="15"/>
        <v>成新率</v>
      </c>
      <c r="AA27" s="1484" t="e">
        <f t="shared" si="3"/>
        <v>#N/A</v>
      </c>
      <c r="AB27" s="1484" t="e">
        <f t="shared" si="4"/>
        <v>#N/A</v>
      </c>
      <c r="AC27" s="1484"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464"/>
      <c r="Q28" s="1483" t="str">
        <f t="shared" si="11"/>
        <v>物业等级</v>
      </c>
      <c r="R28" s="711" t="s">
        <v>17</v>
      </c>
      <c r="S28" s="712">
        <f t="shared" si="12"/>
        <v>100</v>
      </c>
      <c r="T28" s="711" t="s">
        <v>17</v>
      </c>
      <c r="U28" s="712">
        <f t="shared" si="13"/>
        <v>100</v>
      </c>
      <c r="V28" s="711" t="s">
        <v>17</v>
      </c>
      <c r="W28" s="712">
        <f t="shared" si="14"/>
        <v>100</v>
      </c>
      <c r="X28" s="1486"/>
      <c r="Y28" s="3464"/>
      <c r="Z28" s="1487" t="str">
        <f t="shared" si="15"/>
        <v>物业等级</v>
      </c>
      <c r="AA28" s="1484">
        <f t="shared" si="3"/>
        <v>1</v>
      </c>
      <c r="AB28" s="1484">
        <f t="shared" si="4"/>
        <v>1</v>
      </c>
      <c r="AC28" s="1484">
        <f t="shared" si="5"/>
        <v>1</v>
      </c>
    </row>
    <row r="29" spans="1:29" ht="15">
      <c r="A29" s="430"/>
      <c r="B29" s="380" t="s">
        <v>2316</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464"/>
      <c r="Q29" s="1483" t="str">
        <f t="shared" si="11"/>
        <v>有无电梯</v>
      </c>
      <c r="R29" s="711" t="s">
        <v>17</v>
      </c>
      <c r="S29" s="712">
        <f t="shared" si="12"/>
        <v>100</v>
      </c>
      <c r="T29" s="711" t="s">
        <v>17</v>
      </c>
      <c r="U29" s="712">
        <f t="shared" si="13"/>
        <v>100</v>
      </c>
      <c r="V29" s="711" t="s">
        <v>17</v>
      </c>
      <c r="W29" s="712">
        <f t="shared" si="14"/>
        <v>100</v>
      </c>
      <c r="X29" s="1486"/>
      <c r="Y29" s="3464"/>
      <c r="Z29" s="1487" t="str">
        <f t="shared" si="15"/>
        <v>有无电梯</v>
      </c>
      <c r="AA29" s="1484">
        <f t="shared" si="3"/>
        <v>1</v>
      </c>
      <c r="AB29" s="1484">
        <f t="shared" si="4"/>
        <v>1</v>
      </c>
      <c r="AC29" s="1484">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464"/>
      <c r="Q30" s="1483" t="str">
        <f t="shared" si="11"/>
        <v>建筑面积</v>
      </c>
      <c r="R30" s="711" t="s">
        <v>17</v>
      </c>
      <c r="S30" s="712" t="e">
        <f t="shared" si="12"/>
        <v>#N/A</v>
      </c>
      <c r="T30" s="711" t="s">
        <v>17</v>
      </c>
      <c r="U30" s="712" t="e">
        <f t="shared" si="13"/>
        <v>#N/A</v>
      </c>
      <c r="V30" s="711" t="s">
        <v>17</v>
      </c>
      <c r="W30" s="712" t="e">
        <f t="shared" si="14"/>
        <v>#N/A</v>
      </c>
      <c r="X30" s="1486"/>
      <c r="Y30" s="3464"/>
      <c r="Z30" s="1487" t="str">
        <f t="shared" si="15"/>
        <v>建筑面积</v>
      </c>
      <c r="AA30" s="1484" t="e">
        <f t="shared" si="3"/>
        <v>#N/A</v>
      </c>
      <c r="AB30" s="1484" t="e">
        <f t="shared" si="4"/>
        <v>#N/A</v>
      </c>
      <c r="AC30" s="1484" t="e">
        <f t="shared" si="5"/>
        <v>#N/A</v>
      </c>
    </row>
    <row r="31" spans="1:29" s="112" customFormat="1" ht="15">
      <c r="A31" s="431"/>
      <c r="B31" s="380" t="s">
        <v>2318</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464"/>
      <c r="Q31" s="1474" t="str">
        <f t="shared" si="11"/>
        <v>是否封闭</v>
      </c>
      <c r="R31" s="707" t="s">
        <v>17</v>
      </c>
      <c r="S31" s="708">
        <f t="shared" si="12"/>
        <v>100</v>
      </c>
      <c r="T31" s="707" t="s">
        <v>17</v>
      </c>
      <c r="U31" s="708">
        <f t="shared" si="13"/>
        <v>100</v>
      </c>
      <c r="V31" s="707" t="s">
        <v>17</v>
      </c>
      <c r="W31" s="708">
        <f t="shared" si="14"/>
        <v>100</v>
      </c>
      <c r="X31" s="709"/>
      <c r="Y31" s="3464"/>
      <c r="Z31" s="54" t="str">
        <f t="shared" si="15"/>
        <v>是否封闭</v>
      </c>
      <c r="AA31" s="710">
        <f t="shared" si="3"/>
        <v>1</v>
      </c>
      <c r="AB31" s="710">
        <f t="shared" si="4"/>
        <v>1</v>
      </c>
      <c r="AC31" s="710">
        <f t="shared" si="5"/>
        <v>1</v>
      </c>
    </row>
    <row r="32" spans="1:29" ht="15">
      <c r="A32" s="430"/>
      <c r="B32" s="2026">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464" t="s">
        <v>2144</v>
      </c>
      <c r="Q32" s="1483">
        <f t="shared" si="11"/>
        <v>111</v>
      </c>
      <c r="R32" s="711" t="s">
        <v>17</v>
      </c>
      <c r="S32" s="712">
        <f t="shared" si="12"/>
        <v>100</v>
      </c>
      <c r="T32" s="711" t="s">
        <v>17</v>
      </c>
      <c r="U32" s="712">
        <f t="shared" si="13"/>
        <v>100</v>
      </c>
      <c r="V32" s="711" t="s">
        <v>17</v>
      </c>
      <c r="W32" s="712">
        <f t="shared" si="14"/>
        <v>100</v>
      </c>
      <c r="X32" s="1486"/>
      <c r="Y32" s="3464" t="s">
        <v>2144</v>
      </c>
      <c r="Z32" s="1487">
        <f t="shared" si="15"/>
        <v>111</v>
      </c>
      <c r="AA32" s="1484">
        <f t="shared" si="3"/>
        <v>1</v>
      </c>
      <c r="AB32" s="1484">
        <f t="shared" si="4"/>
        <v>1</v>
      </c>
      <c r="AC32" s="1484">
        <f t="shared" si="5"/>
        <v>1</v>
      </c>
    </row>
    <row r="33" spans="1:30" ht="15">
      <c r="A33" s="430"/>
      <c r="B33" s="2026">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464"/>
      <c r="Q33" s="1483">
        <f t="shared" si="11"/>
        <v>111</v>
      </c>
      <c r="R33" s="711" t="s">
        <v>17</v>
      </c>
      <c r="S33" s="712">
        <f t="shared" si="12"/>
        <v>100</v>
      </c>
      <c r="T33" s="711" t="s">
        <v>17</v>
      </c>
      <c r="U33" s="712">
        <f t="shared" si="13"/>
        <v>100</v>
      </c>
      <c r="V33" s="711" t="s">
        <v>17</v>
      </c>
      <c r="W33" s="712">
        <f t="shared" si="14"/>
        <v>100</v>
      </c>
      <c r="X33" s="1486"/>
      <c r="Y33" s="3464"/>
      <c r="Z33" s="1487">
        <f t="shared" si="15"/>
        <v>111</v>
      </c>
      <c r="AA33" s="1484">
        <f t="shared" si="3"/>
        <v>1</v>
      </c>
      <c r="AB33" s="1484">
        <f t="shared" si="4"/>
        <v>1</v>
      </c>
      <c r="AC33" s="1484">
        <f t="shared" si="5"/>
        <v>1</v>
      </c>
    </row>
    <row r="34" spans="1:30" ht="15.75" thickBot="1">
      <c r="A34" s="436"/>
      <c r="B34" s="2028">
        <v>111</v>
      </c>
      <c r="C34" s="395"/>
      <c r="D34" s="396">
        <v>100</v>
      </c>
      <c r="E34" s="2108"/>
      <c r="F34" s="397">
        <f>SUMIF(95:95,E34,96:96)-SUMIF(95:95,C34,96:96)+100</f>
        <v>100</v>
      </c>
      <c r="G34" s="2108"/>
      <c r="H34" s="396">
        <f>SUMIF(95:95,G34,96:96)-SUMIF(95:95,C34,96:96)+100</f>
        <v>100</v>
      </c>
      <c r="I34" s="2108"/>
      <c r="J34" s="396">
        <f>SUMIF(95:95,I34,96:96)-SUMIF(95:95,C34,96:96)+100</f>
        <v>100</v>
      </c>
      <c r="K34" s="569"/>
      <c r="L34" s="2897"/>
      <c r="M34" s="2891"/>
      <c r="N34" s="2891"/>
      <c r="O34" s="2949"/>
      <c r="P34" s="3464"/>
      <c r="Q34" s="1483">
        <f t="shared" si="11"/>
        <v>111</v>
      </c>
      <c r="R34" s="711" t="s">
        <v>17</v>
      </c>
      <c r="S34" s="712">
        <f t="shared" si="12"/>
        <v>100</v>
      </c>
      <c r="T34" s="711" t="s">
        <v>17</v>
      </c>
      <c r="U34" s="712">
        <f t="shared" si="13"/>
        <v>100</v>
      </c>
      <c r="V34" s="711" t="s">
        <v>17</v>
      </c>
      <c r="W34" s="712">
        <f t="shared" si="14"/>
        <v>100</v>
      </c>
      <c r="X34" s="1486"/>
      <c r="Y34" s="3464"/>
      <c r="Z34" s="1487">
        <f t="shared" si="15"/>
        <v>111</v>
      </c>
      <c r="AA34" s="1484">
        <f t="shared" si="3"/>
        <v>1</v>
      </c>
      <c r="AB34" s="1484">
        <f t="shared" si="4"/>
        <v>1</v>
      </c>
      <c r="AC34" s="1484">
        <f t="shared" si="5"/>
        <v>1</v>
      </c>
    </row>
    <row r="35" spans="1:30" ht="15">
      <c r="A35" s="437" t="s">
        <v>2156</v>
      </c>
      <c r="B35" s="438"/>
      <c r="C35" s="1265" t="s">
        <v>1</v>
      </c>
      <c r="D35" s="1266"/>
      <c r="E35" s="1267"/>
      <c r="F35" s="1268"/>
      <c r="G35" s="1269"/>
      <c r="H35" s="1270"/>
      <c r="I35" s="1267"/>
      <c r="J35" s="1270"/>
      <c r="K35" s="720"/>
      <c r="L35" s="2899"/>
      <c r="M35" s="2900"/>
      <c r="N35" s="2891"/>
      <c r="O35" s="2900"/>
      <c r="P35" s="3452" t="str">
        <f>A35</f>
        <v>成交单价（元/平方米）</v>
      </c>
      <c r="Q35" s="3452"/>
      <c r="R35" s="3453">
        <f>E35</f>
        <v>0</v>
      </c>
      <c r="S35" s="3453"/>
      <c r="T35" s="3453">
        <f>G35</f>
        <v>0</v>
      </c>
      <c r="U35" s="3453"/>
      <c r="V35" s="3453">
        <f>I35</f>
        <v>0</v>
      </c>
      <c r="W35" s="3453"/>
      <c r="X35" s="696"/>
      <c r="Y35" s="718"/>
      <c r="Z35" s="696"/>
      <c r="AA35" s="696"/>
      <c r="AB35" s="696"/>
      <c r="AC35" s="696"/>
    </row>
    <row r="36" spans="1:30" ht="15.75" thickBot="1">
      <c r="A36" s="444" t="s">
        <v>2248</v>
      </c>
      <c r="B36" s="445"/>
      <c r="C36" s="1271" t="e">
        <f>R37</f>
        <v>#DIV/0!</v>
      </c>
      <c r="D36" s="2485" t="s">
        <v>2637</v>
      </c>
      <c r="E36" s="1272" t="e">
        <f>R36</f>
        <v>#DIV/0!</v>
      </c>
      <c r="F36" s="2486"/>
      <c r="G36" s="1271" t="e">
        <f>T36</f>
        <v>#DIV/0!</v>
      </c>
      <c r="H36" s="2486"/>
      <c r="I36" s="1272" t="e">
        <f>V36</f>
        <v>#DIV/0!</v>
      </c>
      <c r="J36" s="2486"/>
      <c r="K36" s="2488">
        <f>F36+H36+J36</f>
        <v>0</v>
      </c>
      <c r="L36" s="2899"/>
      <c r="M36" s="2900"/>
      <c r="N36" s="2891"/>
      <c r="O36" s="2900"/>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6"/>
      <c r="Y36" s="696"/>
      <c r="Z36" s="696"/>
      <c r="AA36" s="696"/>
      <c r="AB36" s="696"/>
      <c r="AC36" s="696"/>
    </row>
    <row r="37" spans="1:30" ht="15.75" thickBot="1">
      <c r="A37" s="448" t="s">
        <v>2249</v>
      </c>
      <c r="B37" s="449"/>
      <c r="C37" s="1274" t="e">
        <f>R37</f>
        <v>#DIV/0!</v>
      </c>
      <c r="D37" s="1274"/>
      <c r="E37" s="1274"/>
      <c r="F37" s="1274"/>
      <c r="G37" s="1274"/>
      <c r="H37" s="1274"/>
      <c r="I37" s="1274"/>
      <c r="J37" s="1274"/>
      <c r="K37" s="721"/>
      <c r="L37" s="2899"/>
      <c r="M37" s="2900"/>
      <c r="N37" s="2900"/>
      <c r="O37" s="2900"/>
      <c r="P37" s="3532" t="str">
        <f>A37</f>
        <v>估价对象XX用房的比较价值（楼面单价，元/平方米）</v>
      </c>
      <c r="Q37" s="3533"/>
      <c r="R37" s="3544" t="e">
        <f>IF(F1="售价",ROUND(IF(D36="简单平均",AVERAGE(R36:W36),R36*F36+T36*H36+V36*J36),0),ROUND(IF(D36="简单平均",AVERAGE(R36:V36),R36*F36+T36*H36+V36*J36),1))</f>
        <v>#DIV/0!</v>
      </c>
      <c r="S37" s="3544"/>
      <c r="T37" s="3544"/>
      <c r="U37" s="3544"/>
      <c r="V37" s="3544"/>
      <c r="W37" s="3544"/>
      <c r="X37" s="696"/>
      <c r="Y37" s="696"/>
      <c r="Z37" s="696"/>
      <c r="AA37" s="696"/>
      <c r="AB37" s="696"/>
      <c r="AC37" s="696"/>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0" t="s">
        <v>2253</v>
      </c>
      <c r="B45" s="696"/>
      <c r="C45" s="701"/>
      <c r="D45" s="701"/>
      <c r="E45" s="701"/>
      <c r="F45" s="702"/>
      <c r="G45" s="702"/>
      <c r="H45" s="701"/>
      <c r="I45" s="701"/>
      <c r="J45" s="701"/>
      <c r="K45" s="703"/>
      <c r="L45" s="704"/>
      <c r="M45" s="701"/>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2127</v>
      </c>
      <c r="B46" s="462"/>
      <c r="C46" s="1295" t="str">
        <f>YEAR(C7)&amp;"-"&amp;MONTH(C7)</f>
        <v>2022-9</v>
      </c>
      <c r="D46" s="1296">
        <f>EDATE(C46,-1)</f>
        <v>44774</v>
      </c>
      <c r="E46" s="1296">
        <f t="shared" ref="E46:O46" si="16">EDATE(D46,-1)</f>
        <v>44743</v>
      </c>
      <c r="F46" s="1296">
        <f t="shared" si="16"/>
        <v>44713</v>
      </c>
      <c r="G46" s="1296">
        <f t="shared" si="16"/>
        <v>44682</v>
      </c>
      <c r="H46" s="1296">
        <f t="shared" si="16"/>
        <v>44652</v>
      </c>
      <c r="I46" s="1296">
        <f t="shared" si="16"/>
        <v>44621</v>
      </c>
      <c r="J46" s="1296">
        <f t="shared" si="16"/>
        <v>44593</v>
      </c>
      <c r="K46" s="1296">
        <f t="shared" si="16"/>
        <v>44562</v>
      </c>
      <c r="L46" s="1296">
        <f t="shared" si="16"/>
        <v>44531</v>
      </c>
      <c r="M46" s="1296">
        <f t="shared" si="16"/>
        <v>44501</v>
      </c>
      <c r="N46" s="1296">
        <f t="shared" si="16"/>
        <v>44470</v>
      </c>
      <c r="O46" s="1296">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4">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2164</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2129</v>
      </c>
      <c r="B49" s="466"/>
      <c r="C49" s="478" t="s">
        <v>2231</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2167</v>
      </c>
      <c r="B51" s="484" t="s">
        <v>2133</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2319</v>
      </c>
      <c r="C63" s="534" t="s">
        <v>2176</v>
      </c>
      <c r="D63" s="534" t="s">
        <v>2177</v>
      </c>
      <c r="E63" s="534" t="s">
        <v>2178</v>
      </c>
      <c r="F63" s="534" t="s">
        <v>2179</v>
      </c>
      <c r="G63" s="534" t="s">
        <v>2180</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2268</v>
      </c>
      <c r="C65" s="615" t="s">
        <v>2254</v>
      </c>
      <c r="D65" s="615" t="s">
        <v>2255</v>
      </c>
      <c r="E65" s="615" t="s">
        <v>2256</v>
      </c>
      <c r="F65" s="615" t="s">
        <v>2257</v>
      </c>
      <c r="G65" s="615" t="s">
        <v>2258</v>
      </c>
      <c r="H65" s="495"/>
      <c r="I65" s="495"/>
      <c r="J65" s="495"/>
      <c r="K65" s="495"/>
      <c r="L65" s="495"/>
      <c r="M65" s="1240"/>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2188</v>
      </c>
      <c r="C67" s="534" t="s">
        <v>2176</v>
      </c>
      <c r="D67" s="534" t="s">
        <v>2177</v>
      </c>
      <c r="E67" s="534" t="s">
        <v>2178</v>
      </c>
      <c r="F67" s="534" t="s">
        <v>2179</v>
      </c>
      <c r="G67" s="534" t="s">
        <v>2180</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2308</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2142</v>
      </c>
      <c r="B77" s="484" t="s">
        <v>2195</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2312</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2320</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2322</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5"/>
      <c r="B98" s="1045"/>
      <c r="C98" s="1045"/>
      <c r="D98" s="1045"/>
      <c r="E98" s="1045"/>
      <c r="F98" s="1045"/>
      <c r="G98" s="1045"/>
      <c r="H98" s="1045"/>
      <c r="I98" s="1045"/>
      <c r="J98" s="1045"/>
      <c r="K98" s="1046"/>
      <c r="L98" s="1047"/>
      <c r="M98" s="1045"/>
      <c r="N98" s="2900"/>
      <c r="O98" s="2900"/>
      <c r="P98" s="2900"/>
      <c r="Q98" s="2900"/>
      <c r="R98" s="2900"/>
      <c r="S98" s="2900"/>
      <c r="T98" s="2900"/>
      <c r="U98" s="2900"/>
      <c r="V98" s="2900"/>
      <c r="W98" s="2900"/>
      <c r="X98" s="2900"/>
      <c r="Y98" s="2900"/>
      <c r="Z98" s="2900"/>
      <c r="AA98" s="2900"/>
      <c r="AB98" s="2900"/>
      <c r="AC98" s="2900"/>
      <c r="AD98" s="2900"/>
    </row>
    <row r="99" spans="1:30">
      <c r="A99" s="1045"/>
      <c r="B99" s="1045"/>
      <c r="C99" s="1045"/>
      <c r="D99" s="1045"/>
      <c r="E99" s="1045"/>
      <c r="F99" s="1045"/>
      <c r="G99" s="1045"/>
      <c r="H99" s="1045"/>
      <c r="I99" s="1045"/>
      <c r="J99" s="1045"/>
      <c r="K99" s="1046"/>
      <c r="L99" s="1047"/>
      <c r="M99" s="1045"/>
      <c r="N99" s="2900"/>
      <c r="O99" s="2900"/>
      <c r="P99" s="2900"/>
      <c r="Q99" s="2900"/>
      <c r="R99" s="2900"/>
      <c r="S99" s="2900"/>
      <c r="T99" s="2900"/>
      <c r="U99" s="2900"/>
      <c r="V99" s="2900"/>
      <c r="W99" s="2900"/>
      <c r="X99" s="2900"/>
      <c r="Y99" s="2900"/>
      <c r="Z99" s="2900"/>
      <c r="AA99" s="2900"/>
      <c r="AB99" s="2900"/>
      <c r="AC99" s="2900"/>
      <c r="AD99" s="2900"/>
    </row>
    <row r="100" spans="1:30">
      <c r="A100" s="1045"/>
      <c r="B100" s="1045"/>
      <c r="C100" s="1045"/>
      <c r="D100" s="1045"/>
      <c r="E100" s="1045"/>
      <c r="F100" s="1045"/>
      <c r="G100" s="1045"/>
      <c r="H100" s="1045"/>
      <c r="I100" s="1045"/>
      <c r="J100" s="1045"/>
      <c r="K100" s="1046"/>
      <c r="L100" s="1047"/>
      <c r="M100" s="1045"/>
      <c r="N100" s="2900"/>
      <c r="O100" s="2900"/>
      <c r="P100" s="2900"/>
      <c r="Q100" s="2900"/>
      <c r="R100" s="2900"/>
      <c r="S100" s="2900"/>
      <c r="T100" s="2900"/>
      <c r="U100" s="2900"/>
      <c r="V100" s="2900"/>
      <c r="W100" s="2900"/>
      <c r="X100" s="2900"/>
      <c r="Y100" s="2900"/>
      <c r="Z100" s="2900"/>
      <c r="AA100" s="2900"/>
      <c r="AB100" s="2900"/>
      <c r="AC100" s="2900"/>
      <c r="AD100" s="2900"/>
    </row>
    <row r="101" spans="1:30">
      <c r="A101" s="1045"/>
      <c r="B101" s="1045"/>
      <c r="C101" s="1045"/>
      <c r="D101" s="1045"/>
      <c r="E101" s="1045"/>
      <c r="F101" s="1045"/>
      <c r="G101" s="1045"/>
      <c r="H101" s="1045"/>
      <c r="I101" s="1045"/>
      <c r="J101" s="1045"/>
      <c r="K101" s="1046"/>
      <c r="L101" s="1047"/>
      <c r="M101" s="1045"/>
      <c r="N101" s="2900"/>
      <c r="O101" s="2900"/>
      <c r="P101" s="2900"/>
      <c r="Q101" s="2900"/>
      <c r="R101" s="2900"/>
      <c r="S101" s="2900"/>
      <c r="T101" s="2900"/>
      <c r="U101" s="2900"/>
      <c r="V101" s="2900"/>
      <c r="W101" s="2900"/>
      <c r="X101" s="2900"/>
      <c r="Y101" s="2900"/>
      <c r="Z101" s="2900"/>
      <c r="AA101" s="2900"/>
      <c r="AB101" s="2900"/>
      <c r="AC101" s="2900"/>
      <c r="AD101" s="2900"/>
    </row>
    <row r="102" spans="1:30">
      <c r="A102" s="1045"/>
      <c r="B102" s="1045"/>
      <c r="C102" s="1045"/>
      <c r="D102" s="1045"/>
      <c r="E102" s="1045"/>
      <c r="F102" s="1045"/>
      <c r="G102" s="1045"/>
      <c r="H102" s="1045"/>
      <c r="I102" s="1045"/>
      <c r="J102" s="1045"/>
      <c r="K102" s="1046"/>
      <c r="L102" s="1047"/>
      <c r="M102" s="1045"/>
      <c r="N102" s="2900"/>
      <c r="O102" s="2900"/>
      <c r="P102" s="2900"/>
      <c r="Q102" s="2900"/>
      <c r="R102" s="2900"/>
      <c r="S102" s="2900"/>
      <c r="T102" s="2900"/>
      <c r="U102" s="2900"/>
      <c r="V102" s="2900"/>
      <c r="W102" s="2900"/>
      <c r="X102" s="2900"/>
      <c r="Y102" s="2900"/>
      <c r="Z102" s="2900"/>
      <c r="AA102" s="2900"/>
      <c r="AB102" s="2900"/>
      <c r="AC102" s="2900"/>
      <c r="AD102" s="2900"/>
    </row>
    <row r="103" spans="1:30">
      <c r="A103" s="1045"/>
      <c r="B103" s="1045"/>
      <c r="C103" s="1045"/>
      <c r="D103" s="1045"/>
      <c r="E103" s="1045"/>
      <c r="F103" s="1045"/>
      <c r="G103" s="1045"/>
      <c r="H103" s="1045"/>
      <c r="I103" s="1045"/>
      <c r="J103" s="1045"/>
      <c r="K103" s="1046"/>
      <c r="L103" s="1047"/>
      <c r="M103" s="1045"/>
      <c r="N103" s="1045"/>
      <c r="O103" s="1045"/>
      <c r="P103" s="2900"/>
      <c r="Q103" s="2900"/>
      <c r="R103" s="2900"/>
      <c r="S103" s="2900"/>
      <c r="T103" s="2900"/>
      <c r="U103" s="2900"/>
      <c r="V103" s="2900"/>
      <c r="W103" s="2900"/>
      <c r="X103" s="2900"/>
      <c r="Y103" s="2900"/>
      <c r="Z103" s="2900"/>
      <c r="AA103" s="2900"/>
      <c r="AB103" s="2900"/>
      <c r="AC103" s="2900"/>
      <c r="AD103" s="2900"/>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6" t="e">
        <f>F65</f>
        <v>#DIV/0!</v>
      </c>
      <c r="C2" s="1016"/>
      <c r="D2" s="1016"/>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30" ht="15">
      <c r="A4" s="360" t="s">
        <v>2224</v>
      </c>
      <c r="B4" s="361"/>
      <c r="C4" s="3469" t="s">
        <v>2225</v>
      </c>
      <c r="D4" s="3470"/>
      <c r="E4" s="3471" t="s">
        <v>2226</v>
      </c>
      <c r="F4" s="3472"/>
      <c r="G4" s="3469" t="s">
        <v>2227</v>
      </c>
      <c r="H4" s="3470"/>
      <c r="I4" s="3469" t="s">
        <v>2228</v>
      </c>
      <c r="J4" s="3470"/>
      <c r="K4" s="566" t="s">
        <v>2229</v>
      </c>
      <c r="L4" s="2890"/>
      <c r="M4" s="2891"/>
      <c r="N4" s="2891"/>
      <c r="O4" s="2891"/>
      <c r="P4" s="3536" t="s">
        <v>2230</v>
      </c>
      <c r="Q4" s="3537"/>
      <c r="R4" s="3540" t="s">
        <v>2226</v>
      </c>
      <c r="S4" s="3541"/>
      <c r="T4" s="3540" t="s">
        <v>2227</v>
      </c>
      <c r="U4" s="3541"/>
      <c r="V4" s="3486" t="s">
        <v>2228</v>
      </c>
      <c r="W4" s="3486"/>
      <c r="X4" s="1486"/>
      <c r="Y4" s="3540" t="s">
        <v>2230</v>
      </c>
      <c r="Z4" s="3541"/>
      <c r="AA4" s="3535" t="s">
        <v>2226</v>
      </c>
      <c r="AB4" s="3499" t="s">
        <v>2227</v>
      </c>
      <c r="AC4" s="3535" t="s">
        <v>2228</v>
      </c>
    </row>
    <row r="5" spans="1:30" ht="15">
      <c r="A5" s="363"/>
      <c r="B5" s="364"/>
      <c r="C5" s="3495" t="s">
        <v>2121</v>
      </c>
      <c r="D5" s="3490"/>
      <c r="E5" s="3542" t="s">
        <v>2122</v>
      </c>
      <c r="F5" s="3502"/>
      <c r="G5" s="3495" t="s">
        <v>2123</v>
      </c>
      <c r="H5" s="3490"/>
      <c r="I5" s="3495" t="s">
        <v>2124</v>
      </c>
      <c r="J5" s="3490"/>
      <c r="K5" s="566"/>
      <c r="L5" s="2890"/>
      <c r="M5" s="2891"/>
      <c r="N5" s="2891"/>
      <c r="O5" s="2891"/>
      <c r="P5" s="3538"/>
      <c r="Q5" s="3476"/>
      <c r="R5" s="3481"/>
      <c r="S5" s="3482"/>
      <c r="T5" s="3481"/>
      <c r="U5" s="3482"/>
      <c r="V5" s="3486"/>
      <c r="W5" s="3486"/>
      <c r="X5" s="1486"/>
      <c r="Y5" s="3481"/>
      <c r="Z5" s="3482"/>
      <c r="AA5" s="3499"/>
      <c r="AB5" s="3499"/>
      <c r="AC5" s="3499"/>
    </row>
    <row r="6" spans="1:30" ht="15.75" thickBot="1">
      <c r="A6" s="365"/>
      <c r="B6" s="366"/>
      <c r="C6" s="3487" t="s">
        <v>2125</v>
      </c>
      <c r="D6" s="3488"/>
      <c r="E6" s="3496" t="s">
        <v>2125</v>
      </c>
      <c r="F6" s="3497"/>
      <c r="G6" s="3487" t="s">
        <v>2125</v>
      </c>
      <c r="H6" s="3488"/>
      <c r="I6" s="3487" t="s">
        <v>2125</v>
      </c>
      <c r="J6" s="3488"/>
      <c r="K6" s="566" t="s">
        <v>2126</v>
      </c>
      <c r="L6" s="2890"/>
      <c r="M6" s="2891"/>
      <c r="N6" s="2891"/>
      <c r="O6" s="2891"/>
      <c r="P6" s="3539"/>
      <c r="Q6" s="3478"/>
      <c r="R6" s="3481"/>
      <c r="S6" s="3482"/>
      <c r="T6" s="3483"/>
      <c r="U6" s="3484"/>
      <c r="V6" s="3486"/>
      <c r="W6" s="3486"/>
      <c r="X6" s="1486"/>
      <c r="Y6" s="3483"/>
      <c r="Z6" s="3484"/>
      <c r="AA6" s="3500"/>
      <c r="AB6" s="3500"/>
      <c r="AC6" s="3500"/>
    </row>
    <row r="7" spans="1:30" s="112" customFormat="1" ht="15.75" thickBot="1">
      <c r="A7" s="367" t="s">
        <v>2127</v>
      </c>
      <c r="B7" s="368"/>
      <c r="C7" s="369">
        <f>'数据-取费表'!B2</f>
        <v>44805</v>
      </c>
      <c r="D7" s="370">
        <v>100</v>
      </c>
      <c r="E7" s="371"/>
      <c r="F7" s="372">
        <f>SUMIF(69:69,YEAR(E7)&amp;"-"&amp;INT((MONTH(E7)+2)/3),70:70)</f>
        <v>0</v>
      </c>
      <c r="G7" s="2107"/>
      <c r="H7" s="370">
        <f>SUMIF(69:69,YEAR(G7)&amp;"-"&amp;INT((MONTH(G7)+2)/3),70:70)</f>
        <v>0</v>
      </c>
      <c r="I7" s="2107"/>
      <c r="J7" s="370">
        <f>SUMIF(69:69,YEAR(I7)&amp;"-"&amp;INT((MONTH(I7)+2)/3),70:70)</f>
        <v>0</v>
      </c>
      <c r="K7" s="567"/>
      <c r="L7" s="2892"/>
      <c r="M7" s="2893"/>
      <c r="N7" s="2893"/>
      <c r="O7" s="2893"/>
      <c r="P7" s="3493" t="s">
        <v>2128</v>
      </c>
      <c r="Q7" s="3494"/>
      <c r="R7" s="707" t="s">
        <v>17</v>
      </c>
      <c r="S7" s="708">
        <f t="shared" ref="S7:S15" si="0">F7</f>
        <v>0</v>
      </c>
      <c r="T7" s="707" t="s">
        <v>17</v>
      </c>
      <c r="U7" s="708">
        <f t="shared" ref="U7:U15" si="1">H7</f>
        <v>0</v>
      </c>
      <c r="V7" s="707" t="s">
        <v>17</v>
      </c>
      <c r="W7" s="708">
        <f t="shared" ref="W7:W15" si="2">J7</f>
        <v>0</v>
      </c>
      <c r="X7" s="709"/>
      <c r="Y7" s="3493" t="s">
        <v>2128</v>
      </c>
      <c r="Z7" s="3492"/>
      <c r="AA7" s="710" t="e">
        <f>D7/F7</f>
        <v>#DIV/0!</v>
      </c>
      <c r="AB7" s="710" t="e">
        <f>D7/H7</f>
        <v>#DIV/0!</v>
      </c>
      <c r="AC7" s="710" t="e">
        <f>D7/J7</f>
        <v>#DIV/0!</v>
      </c>
    </row>
    <row r="8" spans="1:30" s="112"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92"/>
      <c r="M8" s="2893"/>
      <c r="N8" s="2893"/>
      <c r="O8" s="2893"/>
      <c r="P8" s="3493" t="s">
        <v>2131</v>
      </c>
      <c r="Q8" s="3492"/>
      <c r="R8" s="707" t="s">
        <v>17</v>
      </c>
      <c r="S8" s="708">
        <f t="shared" si="0"/>
        <v>0</v>
      </c>
      <c r="T8" s="707" t="s">
        <v>17</v>
      </c>
      <c r="U8" s="708">
        <f t="shared" si="1"/>
        <v>0</v>
      </c>
      <c r="V8" s="707" t="s">
        <v>17</v>
      </c>
      <c r="W8" s="708">
        <f t="shared" si="2"/>
        <v>0</v>
      </c>
      <c r="X8" s="709"/>
      <c r="Y8" s="3493" t="s">
        <v>2131</v>
      </c>
      <c r="Z8" s="3492"/>
      <c r="AA8" s="710" t="e">
        <f t="shared" ref="AA8:AA45" si="3">D8/F8</f>
        <v>#DIV/0!</v>
      </c>
      <c r="AB8" s="710" t="e">
        <f t="shared" ref="AB8:AB45" si="4">D8/H8</f>
        <v>#DIV/0!</v>
      </c>
      <c r="AC8" s="710" t="e">
        <f t="shared" ref="AC8:AC45" si="5">D8/J8</f>
        <v>#DIV/0!</v>
      </c>
    </row>
    <row r="9" spans="1:30" s="112" customFormat="1">
      <c r="A9" s="374" t="s">
        <v>2132</v>
      </c>
      <c r="B9" s="66" t="s">
        <v>2133</v>
      </c>
      <c r="C9" s="2110"/>
      <c r="D9" s="130">
        <v>100</v>
      </c>
      <c r="E9" s="2110"/>
      <c r="F9" s="130">
        <f>SUMIF(74:74,E9,75:75)-SUMIF(74:74,C9,75:75)+100</f>
        <v>100</v>
      </c>
      <c r="G9" s="2110"/>
      <c r="H9" s="130">
        <f>SUMIF(74:74,G9,75:75)-SUMIF(74:74,C9,75:75)+100</f>
        <v>100</v>
      </c>
      <c r="I9" s="2110"/>
      <c r="J9" s="130">
        <f>SUMIF(74:74,I9,75:75)-SUMIF(74:74,C9,75:75)+100</f>
        <v>100</v>
      </c>
      <c r="K9" s="567"/>
      <c r="L9" s="2892"/>
      <c r="M9" s="2893"/>
      <c r="N9" s="2893"/>
      <c r="O9" s="2947"/>
      <c r="P9" s="3452"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710">
        <f t="shared" si="5"/>
        <v>1</v>
      </c>
    </row>
    <row r="10" spans="1:30" s="385" customFormat="1" ht="27">
      <c r="A10" s="379"/>
      <c r="B10" s="380" t="s">
        <v>2136</v>
      </c>
      <c r="C10" s="390"/>
      <c r="D10" s="131">
        <v>100</v>
      </c>
      <c r="E10" s="423"/>
      <c r="F10" s="131">
        <f>ROUND(100/'数据-取费表'!G16,0)</f>
        <v>121</v>
      </c>
      <c r="G10" s="421"/>
      <c r="H10" s="131">
        <f>ROUND(100/'数据-取费表'!G16,0)</f>
        <v>121</v>
      </c>
      <c r="I10" s="421"/>
      <c r="J10" s="131">
        <f>ROUND(100/'数据-取费表'!G16,0)</f>
        <v>121</v>
      </c>
      <c r="K10" s="627"/>
      <c r="L10" s="2894"/>
      <c r="M10" s="2895"/>
      <c r="N10" s="2895"/>
      <c r="O10" s="2948"/>
      <c r="P10" s="3452"/>
      <c r="Q10" s="1474" t="str">
        <f t="shared" si="6"/>
        <v>土地使用年限（年）</v>
      </c>
      <c r="R10" s="707" t="s">
        <v>17</v>
      </c>
      <c r="S10" s="708">
        <f t="shared" si="0"/>
        <v>121</v>
      </c>
      <c r="T10" s="707" t="s">
        <v>17</v>
      </c>
      <c r="U10" s="708">
        <f t="shared" si="1"/>
        <v>121</v>
      </c>
      <c r="V10" s="707" t="s">
        <v>17</v>
      </c>
      <c r="W10" s="708">
        <f t="shared" si="2"/>
        <v>121</v>
      </c>
      <c r="X10" s="709"/>
      <c r="Y10" s="3355"/>
      <c r="Z10" s="54" t="str">
        <f t="shared" si="7"/>
        <v>土地使用年限（年）</v>
      </c>
      <c r="AA10" s="710">
        <f t="shared" si="3"/>
        <v>0.82644628099173556</v>
      </c>
      <c r="AB10" s="710">
        <f t="shared" si="4"/>
        <v>0.82644628099173556</v>
      </c>
      <c r="AC10" s="710">
        <f t="shared" si="5"/>
        <v>0.82644628099173556</v>
      </c>
    </row>
    <row r="11" spans="1:30" ht="15">
      <c r="A11" s="386"/>
      <c r="B11" s="380" t="s">
        <v>2137</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6"/>
      <c r="M11" s="2891"/>
      <c r="N11" s="2891"/>
      <c r="O11" s="2949"/>
      <c r="P11" s="3452"/>
      <c r="Q11" s="1474" t="str">
        <f t="shared" si="6"/>
        <v>容积率</v>
      </c>
      <c r="R11" s="707" t="s">
        <v>17</v>
      </c>
      <c r="S11" s="708" t="e">
        <f t="shared" si="0"/>
        <v>#N/A</v>
      </c>
      <c r="T11" s="707" t="s">
        <v>17</v>
      </c>
      <c r="U11" s="708" t="e">
        <f t="shared" si="1"/>
        <v>#N/A</v>
      </c>
      <c r="V11" s="707" t="s">
        <v>17</v>
      </c>
      <c r="W11" s="708" t="e">
        <f t="shared" si="2"/>
        <v>#N/A</v>
      </c>
      <c r="X11" s="709"/>
      <c r="Y11" s="3355"/>
      <c r="Z11" s="54" t="str">
        <f t="shared" si="7"/>
        <v>容积率</v>
      </c>
      <c r="AA11" s="710" t="e">
        <f t="shared" si="3"/>
        <v>#N/A</v>
      </c>
      <c r="AB11" s="710" t="e">
        <f t="shared" si="4"/>
        <v>#N/A</v>
      </c>
      <c r="AC11" s="710" t="e">
        <f t="shared" si="5"/>
        <v>#N/A</v>
      </c>
    </row>
    <row r="12" spans="1:30" s="112" customFormat="1" ht="15">
      <c r="A12" s="389"/>
      <c r="B12" s="2026" t="s">
        <v>2326</v>
      </c>
      <c r="C12" s="390"/>
      <c r="D12" s="391">
        <v>100</v>
      </c>
      <c r="E12" s="423"/>
      <c r="F12" s="131">
        <f>SUMIF(81:81,E12,82:82)-SUMIF(81:81,C12,82:82)+100</f>
        <v>100</v>
      </c>
      <c r="G12" s="421"/>
      <c r="H12" s="131">
        <f>SUMIF(81:81,G12,82:82)-SUMIF(81:81,C12,82:82)+100</f>
        <v>100</v>
      </c>
      <c r="I12" s="423"/>
      <c r="J12" s="131">
        <f>SUMIF(81:81,I12,82:82)-SUMIF(81:81,C12,82:82)+100</f>
        <v>100</v>
      </c>
      <c r="K12" s="627"/>
      <c r="L12" s="2892"/>
      <c r="M12" s="2893"/>
      <c r="N12" s="2893"/>
      <c r="O12" s="2947"/>
      <c r="P12" s="3452"/>
      <c r="Q12" s="1474" t="str">
        <f t="shared" si="6"/>
        <v>配建</v>
      </c>
      <c r="R12" s="707" t="s">
        <v>17</v>
      </c>
      <c r="S12" s="708">
        <f t="shared" si="0"/>
        <v>100</v>
      </c>
      <c r="T12" s="707" t="s">
        <v>17</v>
      </c>
      <c r="U12" s="708">
        <f t="shared" si="1"/>
        <v>100</v>
      </c>
      <c r="V12" s="707" t="s">
        <v>17</v>
      </c>
      <c r="W12" s="708">
        <f t="shared" si="2"/>
        <v>100</v>
      </c>
      <c r="X12" s="709"/>
      <c r="Y12" s="3355"/>
      <c r="Z12" s="54" t="str">
        <f t="shared" si="7"/>
        <v>配建</v>
      </c>
      <c r="AA12" s="710">
        <f>D12/F12</f>
        <v>1</v>
      </c>
      <c r="AB12" s="710">
        <f>D12/H12</f>
        <v>1</v>
      </c>
      <c r="AC12" s="710">
        <f>D12/J12</f>
        <v>1</v>
      </c>
    </row>
    <row r="13" spans="1:30" ht="15">
      <c r="A13" s="386"/>
      <c r="B13" s="2026">
        <v>111</v>
      </c>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452"/>
      <c r="Q13" s="1474">
        <f t="shared" si="6"/>
        <v>111</v>
      </c>
      <c r="R13" s="707" t="s">
        <v>17</v>
      </c>
      <c r="S13" s="708">
        <f t="shared" si="0"/>
        <v>100</v>
      </c>
      <c r="T13" s="707" t="s">
        <v>17</v>
      </c>
      <c r="U13" s="708">
        <f t="shared" si="1"/>
        <v>100</v>
      </c>
      <c r="V13" s="707" t="s">
        <v>17</v>
      </c>
      <c r="W13" s="708">
        <f t="shared" si="2"/>
        <v>100</v>
      </c>
      <c r="X13" s="709"/>
      <c r="Y13" s="3355"/>
      <c r="Z13" s="54">
        <f t="shared" si="7"/>
        <v>111</v>
      </c>
      <c r="AA13" s="710">
        <f>D13/F13</f>
        <v>1</v>
      </c>
      <c r="AB13" s="710">
        <f>D13/H13</f>
        <v>1</v>
      </c>
      <c r="AC13" s="710">
        <f>D13/J13</f>
        <v>1</v>
      </c>
    </row>
    <row r="14" spans="1:30" ht="15.75" thickBot="1">
      <c r="A14" s="394"/>
      <c r="B14" s="2028">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452"/>
      <c r="Q14" s="1474">
        <f t="shared" si="6"/>
        <v>111</v>
      </c>
      <c r="R14" s="707" t="s">
        <v>17</v>
      </c>
      <c r="S14" s="708">
        <f t="shared" si="0"/>
        <v>100</v>
      </c>
      <c r="T14" s="707" t="s">
        <v>17</v>
      </c>
      <c r="U14" s="708">
        <f t="shared" si="1"/>
        <v>100</v>
      </c>
      <c r="V14" s="707" t="s">
        <v>17</v>
      </c>
      <c r="W14" s="708">
        <f t="shared" si="2"/>
        <v>100</v>
      </c>
      <c r="X14" s="709"/>
      <c r="Y14" s="3355"/>
      <c r="Z14" s="54">
        <f t="shared" si="7"/>
        <v>111</v>
      </c>
      <c r="AA14" s="710">
        <f>D14/F14</f>
        <v>1</v>
      </c>
      <c r="AB14" s="710">
        <f>D14/H14</f>
        <v>1</v>
      </c>
      <c r="AC14" s="710">
        <f>D14/J14</f>
        <v>1</v>
      </c>
    </row>
    <row r="15" spans="1:30" ht="99.75">
      <c r="A15" s="398" t="s">
        <v>2138</v>
      </c>
      <c r="B15" s="64" t="s">
        <v>1701</v>
      </c>
      <c r="C15" s="2029"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459" t="s">
        <v>2139</v>
      </c>
      <c r="Q15" s="1483" t="str">
        <f t="shared" si="6"/>
        <v>居住社区成熟度</v>
      </c>
      <c r="R15" s="711" t="s">
        <v>17</v>
      </c>
      <c r="S15" s="712">
        <f t="shared" si="0"/>
        <v>100</v>
      </c>
      <c r="T15" s="711" t="s">
        <v>17</v>
      </c>
      <c r="U15" s="712">
        <f t="shared" si="1"/>
        <v>100</v>
      </c>
      <c r="V15" s="711" t="s">
        <v>17</v>
      </c>
      <c r="W15" s="712">
        <f t="shared" si="2"/>
        <v>100</v>
      </c>
      <c r="X15" s="1486"/>
      <c r="Y15" s="3459" t="s">
        <v>2139</v>
      </c>
      <c r="Z15" s="1487" t="str">
        <f t="shared" si="7"/>
        <v>居住社区成熟度</v>
      </c>
      <c r="AA15" s="1484">
        <f t="shared" si="3"/>
        <v>1</v>
      </c>
      <c r="AB15" s="1484">
        <f t="shared" si="4"/>
        <v>1</v>
      </c>
      <c r="AC15" s="1484">
        <f t="shared" si="5"/>
        <v>1</v>
      </c>
    </row>
    <row r="16" spans="1:30" ht="15">
      <c r="A16" s="386"/>
      <c r="B16" s="404"/>
      <c r="C16" s="405"/>
      <c r="D16" s="406"/>
      <c r="E16" s="2031"/>
      <c r="F16" s="406"/>
      <c r="G16" s="2031"/>
      <c r="H16" s="408"/>
      <c r="I16" s="2030"/>
      <c r="J16" s="406"/>
      <c r="K16" s="627"/>
      <c r="L16" s="2897"/>
      <c r="M16" s="2891"/>
      <c r="N16" s="2891"/>
      <c r="O16" s="2949"/>
      <c r="P16" s="3460"/>
      <c r="Q16" s="1483"/>
      <c r="R16" s="711"/>
      <c r="S16" s="712"/>
      <c r="T16" s="711"/>
      <c r="U16" s="712"/>
      <c r="V16" s="711"/>
      <c r="W16" s="712"/>
      <c r="X16" s="1486"/>
      <c r="Y16" s="3460"/>
      <c r="Z16" s="1487"/>
      <c r="AA16" s="1484">
        <v>1</v>
      </c>
      <c r="AB16" s="1484">
        <v>1</v>
      </c>
      <c r="AC16" s="1484">
        <v>1</v>
      </c>
    </row>
    <row r="17" spans="1:29" ht="71.25">
      <c r="A17" s="386"/>
      <c r="B17" s="409" t="s">
        <v>2232</v>
      </c>
      <c r="C17" s="2088"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7"/>
      <c r="M17" s="2891"/>
      <c r="N17" s="2891"/>
      <c r="O17" s="2949"/>
      <c r="P17" s="3460"/>
      <c r="Q17" s="1483" t="str">
        <f>B17</f>
        <v>商业繁华度</v>
      </c>
      <c r="R17" s="711" t="s">
        <v>17</v>
      </c>
      <c r="S17" s="712">
        <f>F17</f>
        <v>100</v>
      </c>
      <c r="T17" s="711" t="s">
        <v>17</v>
      </c>
      <c r="U17" s="712">
        <f>H17</f>
        <v>100</v>
      </c>
      <c r="V17" s="711" t="s">
        <v>17</v>
      </c>
      <c r="W17" s="712">
        <f>J17</f>
        <v>100</v>
      </c>
      <c r="X17" s="1486"/>
      <c r="Y17" s="3460"/>
      <c r="Z17" s="1487" t="str">
        <f>Q17</f>
        <v>商业繁华度</v>
      </c>
      <c r="AA17" s="1484">
        <f t="shared" si="3"/>
        <v>1</v>
      </c>
      <c r="AB17" s="1484">
        <f t="shared" si="4"/>
        <v>1</v>
      </c>
      <c r="AC17" s="1484">
        <f t="shared" si="5"/>
        <v>1</v>
      </c>
    </row>
    <row r="18" spans="1:29" ht="15">
      <c r="A18" s="386"/>
      <c r="B18" s="414"/>
      <c r="C18" s="2034"/>
      <c r="D18" s="408"/>
      <c r="E18" s="2036"/>
      <c r="F18" s="408"/>
      <c r="G18" s="2036"/>
      <c r="H18" s="406"/>
      <c r="I18" s="2035"/>
      <c r="J18" s="406"/>
      <c r="K18" s="627"/>
      <c r="L18" s="2897"/>
      <c r="M18" s="2891"/>
      <c r="N18" s="2891"/>
      <c r="O18" s="2949"/>
      <c r="P18" s="3460"/>
      <c r="Q18" s="1483"/>
      <c r="R18" s="711"/>
      <c r="S18" s="712"/>
      <c r="T18" s="711"/>
      <c r="U18" s="712"/>
      <c r="V18" s="711"/>
      <c r="W18" s="712"/>
      <c r="X18" s="1486"/>
      <c r="Y18" s="3460"/>
      <c r="Z18" s="1487"/>
      <c r="AA18" s="1484">
        <v>1</v>
      </c>
      <c r="AB18" s="1484">
        <v>1</v>
      </c>
      <c r="AC18" s="1484">
        <v>1</v>
      </c>
    </row>
    <row r="19" spans="1:29" ht="71.25">
      <c r="A19" s="386"/>
      <c r="B19" s="409" t="s">
        <v>2266</v>
      </c>
      <c r="C19" s="2088"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460"/>
      <c r="Q19" s="1483" t="str">
        <f>B19</f>
        <v>办公集聚程度</v>
      </c>
      <c r="R19" s="711" t="s">
        <v>17</v>
      </c>
      <c r="S19" s="712">
        <f>F19</f>
        <v>100</v>
      </c>
      <c r="T19" s="711" t="s">
        <v>17</v>
      </c>
      <c r="U19" s="712">
        <f>H19</f>
        <v>100</v>
      </c>
      <c r="V19" s="711" t="s">
        <v>17</v>
      </c>
      <c r="W19" s="712">
        <f>J19</f>
        <v>100</v>
      </c>
      <c r="X19" s="1486"/>
      <c r="Y19" s="3460"/>
      <c r="Z19" s="1487" t="str">
        <f>Q19</f>
        <v>办公集聚程度</v>
      </c>
      <c r="AA19" s="1484">
        <f t="shared" si="3"/>
        <v>1</v>
      </c>
      <c r="AB19" s="1484">
        <f t="shared" si="4"/>
        <v>1</v>
      </c>
      <c r="AC19" s="1484">
        <f t="shared" si="5"/>
        <v>1</v>
      </c>
    </row>
    <row r="20" spans="1:29" ht="15">
      <c r="A20" s="386"/>
      <c r="B20" s="414"/>
      <c r="C20" s="405"/>
      <c r="D20" s="406"/>
      <c r="E20" s="2031"/>
      <c r="F20" s="406"/>
      <c r="G20" s="2031"/>
      <c r="H20" s="406"/>
      <c r="I20" s="2030"/>
      <c r="J20" s="406"/>
      <c r="K20" s="627"/>
      <c r="L20" s="2897"/>
      <c r="M20" s="2891"/>
      <c r="N20" s="2891"/>
      <c r="O20" s="2949"/>
      <c r="P20" s="3460"/>
      <c r="Q20" s="1483"/>
      <c r="R20" s="711"/>
      <c r="S20" s="712"/>
      <c r="T20" s="711"/>
      <c r="U20" s="712"/>
      <c r="V20" s="711"/>
      <c r="W20" s="712"/>
      <c r="X20" s="1486"/>
      <c r="Y20" s="3460"/>
      <c r="Z20" s="1487"/>
      <c r="AA20" s="1484">
        <v>1</v>
      </c>
      <c r="AB20" s="1484">
        <v>1</v>
      </c>
      <c r="AC20" s="1484">
        <v>1</v>
      </c>
    </row>
    <row r="21" spans="1:29" ht="85.5">
      <c r="A21" s="386"/>
      <c r="B21" s="409" t="s">
        <v>2288</v>
      </c>
      <c r="C21" s="2033"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7"/>
      <c r="M21" s="2891"/>
      <c r="N21" s="2891"/>
      <c r="O21" s="2949"/>
      <c r="P21" s="3460"/>
      <c r="Q21" s="1483" t="str">
        <f>B21</f>
        <v>交通便捷度</v>
      </c>
      <c r="R21" s="711" t="s">
        <v>17</v>
      </c>
      <c r="S21" s="712">
        <f>F21</f>
        <v>100</v>
      </c>
      <c r="T21" s="711" t="s">
        <v>17</v>
      </c>
      <c r="U21" s="712">
        <f>H21</f>
        <v>100</v>
      </c>
      <c r="V21" s="711" t="s">
        <v>17</v>
      </c>
      <c r="W21" s="712">
        <f>J21</f>
        <v>100</v>
      </c>
      <c r="X21" s="1486"/>
      <c r="Y21" s="3460"/>
      <c r="Z21" s="1487" t="str">
        <f>Q21</f>
        <v>交通便捷度</v>
      </c>
      <c r="AA21" s="1484">
        <f t="shared" si="3"/>
        <v>1</v>
      </c>
      <c r="AB21" s="1484">
        <f t="shared" si="4"/>
        <v>1</v>
      </c>
      <c r="AC21" s="1484">
        <f t="shared" si="5"/>
        <v>1</v>
      </c>
    </row>
    <row r="22" spans="1:29" ht="15">
      <c r="A22" s="386"/>
      <c r="B22" s="1242"/>
      <c r="C22" s="405"/>
      <c r="D22" s="408"/>
      <c r="E22" s="2031"/>
      <c r="F22" s="406"/>
      <c r="G22" s="2031"/>
      <c r="H22" s="406"/>
      <c r="I22" s="2030"/>
      <c r="J22" s="406"/>
      <c r="K22" s="627"/>
      <c r="L22" s="2897"/>
      <c r="M22" s="2891"/>
      <c r="N22" s="2891"/>
      <c r="O22" s="2949"/>
      <c r="P22" s="3460"/>
      <c r="Q22" s="1483"/>
      <c r="R22" s="711"/>
      <c r="S22" s="712"/>
      <c r="T22" s="711"/>
      <c r="U22" s="712"/>
      <c r="V22" s="711"/>
      <c r="W22" s="712"/>
      <c r="X22" s="1486"/>
      <c r="Y22" s="3460"/>
      <c r="Z22" s="1487"/>
      <c r="AA22" s="1484">
        <v>1</v>
      </c>
      <c r="AB22" s="1484">
        <v>1</v>
      </c>
      <c r="AC22" s="1484">
        <v>1</v>
      </c>
    </row>
    <row r="23" spans="1:29" ht="15">
      <c r="A23" s="363"/>
      <c r="B23" s="409" t="s">
        <v>2327</v>
      </c>
      <c r="C23" s="1247">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7"/>
      <c r="M23" s="2891"/>
      <c r="N23" s="2891"/>
      <c r="O23" s="2949"/>
      <c r="P23" s="3460"/>
      <c r="Q23" s="1483" t="str">
        <f t="shared" ref="Q23:Q37" si="8">B23</f>
        <v>区域土地利用方向</v>
      </c>
      <c r="R23" s="711" t="s">
        <v>17</v>
      </c>
      <c r="S23" s="712">
        <f>F23</f>
        <v>100</v>
      </c>
      <c r="T23" s="711" t="s">
        <v>17</v>
      </c>
      <c r="U23" s="712">
        <f>H23</f>
        <v>100</v>
      </c>
      <c r="V23" s="711" t="s">
        <v>17</v>
      </c>
      <c r="W23" s="712">
        <f>J23</f>
        <v>100</v>
      </c>
      <c r="X23" s="1486"/>
      <c r="Y23" s="3460"/>
      <c r="Z23" s="1487" t="str">
        <f>Q23</f>
        <v>区域土地利用方向</v>
      </c>
      <c r="AA23" s="1484">
        <f t="shared" si="3"/>
        <v>1</v>
      </c>
      <c r="AB23" s="1484">
        <f t="shared" si="4"/>
        <v>1</v>
      </c>
      <c r="AC23" s="1484">
        <f t="shared" si="5"/>
        <v>1</v>
      </c>
    </row>
    <row r="24" spans="1:29" ht="15">
      <c r="A24" s="363"/>
      <c r="B24" s="414"/>
      <c r="C24" s="572"/>
      <c r="D24" s="406"/>
      <c r="E24" s="2031"/>
      <c r="F24" s="406"/>
      <c r="G24" s="2030"/>
      <c r="H24" s="406"/>
      <c r="I24" s="2030"/>
      <c r="J24" s="406"/>
      <c r="K24" s="748"/>
      <c r="L24" s="2897"/>
      <c r="M24" s="2891"/>
      <c r="N24" s="2891"/>
      <c r="O24" s="2949"/>
      <c r="P24" s="3460"/>
      <c r="Q24" s="1483"/>
      <c r="R24" s="711"/>
      <c r="S24" s="712"/>
      <c r="T24" s="711"/>
      <c r="U24" s="712"/>
      <c r="V24" s="711"/>
      <c r="W24" s="712"/>
      <c r="X24" s="1486"/>
      <c r="Y24" s="3460"/>
      <c r="Z24" s="1487"/>
      <c r="AA24" s="1484"/>
      <c r="AB24" s="1484"/>
      <c r="AC24" s="1484"/>
    </row>
    <row r="25" spans="1:29" ht="57">
      <c r="A25" s="363"/>
      <c r="B25" s="1242" t="s">
        <v>2328</v>
      </c>
      <c r="C25" s="2088"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7"/>
      <c r="M25" s="2891"/>
      <c r="N25" s="2891"/>
      <c r="O25" s="2949"/>
      <c r="P25" s="3460"/>
      <c r="Q25" s="1483" t="str">
        <f t="shared" si="8"/>
        <v>自然及人文环境状况</v>
      </c>
      <c r="R25" s="711" t="s">
        <v>17</v>
      </c>
      <c r="S25" s="712">
        <f>F25</f>
        <v>100</v>
      </c>
      <c r="T25" s="711" t="s">
        <v>17</v>
      </c>
      <c r="U25" s="712">
        <f>H25</f>
        <v>100</v>
      </c>
      <c r="V25" s="711" t="s">
        <v>17</v>
      </c>
      <c r="W25" s="712">
        <f>J25</f>
        <v>100</v>
      </c>
      <c r="X25" s="1486"/>
      <c r="Y25" s="3460"/>
      <c r="Z25" s="1487" t="str">
        <f>Q25</f>
        <v>自然及人文环境状况</v>
      </c>
      <c r="AA25" s="1484">
        <f t="shared" si="3"/>
        <v>1</v>
      </c>
      <c r="AB25" s="1484">
        <f t="shared" si="4"/>
        <v>1</v>
      </c>
      <c r="AC25" s="1484">
        <f t="shared" si="5"/>
        <v>1</v>
      </c>
    </row>
    <row r="26" spans="1:29" ht="15">
      <c r="A26" s="363"/>
      <c r="B26" s="414"/>
      <c r="C26" s="405"/>
      <c r="D26" s="406"/>
      <c r="E26" s="2037"/>
      <c r="F26" s="406"/>
      <c r="G26" s="2037"/>
      <c r="H26" s="406"/>
      <c r="I26" s="405"/>
      <c r="J26" s="406"/>
      <c r="K26" s="627"/>
      <c r="L26" s="2897"/>
      <c r="M26" s="2891"/>
      <c r="N26" s="2891"/>
      <c r="O26" s="2949"/>
      <c r="P26" s="3460"/>
      <c r="Q26" s="1483"/>
      <c r="R26" s="711"/>
      <c r="S26" s="712"/>
      <c r="T26" s="711"/>
      <c r="U26" s="712"/>
      <c r="V26" s="711"/>
      <c r="W26" s="712"/>
      <c r="X26" s="1486"/>
      <c r="Y26" s="3460"/>
      <c r="Z26" s="1487"/>
      <c r="AA26" s="1484">
        <v>1</v>
      </c>
      <c r="AB26" s="1484">
        <v>1</v>
      </c>
      <c r="AC26" s="1484">
        <v>1</v>
      </c>
    </row>
    <row r="27" spans="1:29" s="112" customFormat="1" ht="42.75">
      <c r="A27" s="604"/>
      <c r="B27" s="1242" t="s">
        <v>2233</v>
      </c>
      <c r="C27" s="2033"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2"/>
      <c r="M27" s="2893"/>
      <c r="N27" s="2893"/>
      <c r="O27" s="2947"/>
      <c r="P27" s="3460"/>
      <c r="Q27" s="1474" t="str">
        <f t="shared" si="8"/>
        <v>公共配套设施</v>
      </c>
      <c r="R27" s="707" t="s">
        <v>17</v>
      </c>
      <c r="S27" s="708">
        <f>F27</f>
        <v>100</v>
      </c>
      <c r="T27" s="707" t="s">
        <v>17</v>
      </c>
      <c r="U27" s="708">
        <f>H27</f>
        <v>100</v>
      </c>
      <c r="V27" s="707" t="s">
        <v>17</v>
      </c>
      <c r="W27" s="708">
        <f>J27</f>
        <v>100</v>
      </c>
      <c r="X27" s="709"/>
      <c r="Y27" s="3460"/>
      <c r="Z27" s="54" t="str">
        <f>Q27</f>
        <v>公共配套设施</v>
      </c>
      <c r="AA27" s="1484">
        <f>D27/F27</f>
        <v>1</v>
      </c>
      <c r="AB27" s="1484">
        <f>D27/H27</f>
        <v>1</v>
      </c>
      <c r="AC27" s="1484">
        <f>D27/J27</f>
        <v>1</v>
      </c>
    </row>
    <row r="28" spans="1:29" s="112" customFormat="1" ht="15">
      <c r="A28" s="604"/>
      <c r="B28" s="414"/>
      <c r="C28" s="2111"/>
      <c r="D28" s="406"/>
      <c r="E28" s="2037"/>
      <c r="F28" s="406"/>
      <c r="G28" s="2037"/>
      <c r="H28" s="406"/>
      <c r="I28" s="405"/>
      <c r="J28" s="406"/>
      <c r="K28" s="627"/>
      <c r="L28" s="2892"/>
      <c r="M28" s="2893"/>
      <c r="N28" s="2893"/>
      <c r="O28" s="2947"/>
      <c r="P28" s="3460"/>
      <c r="Q28" s="1474"/>
      <c r="R28" s="707"/>
      <c r="S28" s="708"/>
      <c r="T28" s="707"/>
      <c r="U28" s="708"/>
      <c r="V28" s="707"/>
      <c r="W28" s="708"/>
      <c r="X28" s="709"/>
      <c r="Y28" s="3460"/>
      <c r="Z28" s="54"/>
      <c r="AA28" s="1484">
        <v>1</v>
      </c>
      <c r="AB28" s="1484">
        <v>1</v>
      </c>
      <c r="AC28" s="1484">
        <v>1</v>
      </c>
    </row>
    <row r="29" spans="1:29" s="112" customFormat="1" ht="28.5">
      <c r="A29" s="604"/>
      <c r="B29" s="1242" t="s">
        <v>2234</v>
      </c>
      <c r="C29" s="2033"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2"/>
      <c r="M29" s="2893"/>
      <c r="N29" s="2893"/>
      <c r="O29" s="2947"/>
      <c r="P29" s="3460"/>
      <c r="Q29" s="1474" t="str">
        <f t="shared" ref="Q29" si="9">B29</f>
        <v>基础设施水平</v>
      </c>
      <c r="R29" s="707" t="s">
        <v>17</v>
      </c>
      <c r="S29" s="708">
        <f>F29</f>
        <v>100</v>
      </c>
      <c r="T29" s="707" t="s">
        <v>17</v>
      </c>
      <c r="U29" s="708">
        <f>H29</f>
        <v>100</v>
      </c>
      <c r="V29" s="707" t="s">
        <v>17</v>
      </c>
      <c r="W29" s="708">
        <f>J29</f>
        <v>100</v>
      </c>
      <c r="X29" s="709"/>
      <c r="Y29" s="3460"/>
      <c r="Z29" s="54" t="str">
        <f>Q29</f>
        <v>基础设施水平</v>
      </c>
      <c r="AA29" s="1484">
        <f>D29/F29</f>
        <v>1</v>
      </c>
      <c r="AB29" s="1484">
        <f>D29/H29</f>
        <v>1</v>
      </c>
      <c r="AC29" s="1484">
        <f>D29/J29</f>
        <v>1</v>
      </c>
    </row>
    <row r="30" spans="1:29" s="112" customFormat="1" ht="15">
      <c r="A30" s="604"/>
      <c r="B30" s="414"/>
      <c r="C30" s="2111"/>
      <c r="D30" s="406"/>
      <c r="E30" s="2112"/>
      <c r="F30" s="406"/>
      <c r="G30" s="2112"/>
      <c r="H30" s="406"/>
      <c r="I30" s="2112"/>
      <c r="J30" s="406"/>
      <c r="K30" s="627"/>
      <c r="L30" s="2892"/>
      <c r="M30" s="2893"/>
      <c r="N30" s="2893"/>
      <c r="O30" s="2947"/>
      <c r="P30" s="3460"/>
      <c r="Q30" s="1474"/>
      <c r="R30" s="707"/>
      <c r="S30" s="708"/>
      <c r="T30" s="707"/>
      <c r="U30" s="708"/>
      <c r="V30" s="707"/>
      <c r="W30" s="708"/>
      <c r="X30" s="709"/>
      <c r="Y30" s="3460"/>
      <c r="Z30" s="54"/>
      <c r="AA30" s="1484">
        <v>1</v>
      </c>
      <c r="AB30" s="1484">
        <v>1</v>
      </c>
      <c r="AC30" s="1484">
        <v>1</v>
      </c>
    </row>
    <row r="31" spans="1:29" ht="15">
      <c r="A31" s="386"/>
      <c r="B31" s="414" t="s">
        <v>2235</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460"/>
      <c r="Q31" s="1483" t="str">
        <f t="shared" si="8"/>
        <v>临街状况</v>
      </c>
      <c r="R31" s="711" t="s">
        <v>17</v>
      </c>
      <c r="S31" s="712">
        <f t="shared" ref="S31:S45" si="10">F31</f>
        <v>100</v>
      </c>
      <c r="T31" s="711" t="s">
        <v>17</v>
      </c>
      <c r="U31" s="712">
        <f t="shared" ref="U31:U45" si="11">H31</f>
        <v>100</v>
      </c>
      <c r="V31" s="711" t="s">
        <v>17</v>
      </c>
      <c r="W31" s="712">
        <f t="shared" ref="W31:W45" si="12">J31</f>
        <v>100</v>
      </c>
      <c r="X31" s="1486"/>
      <c r="Y31" s="3460"/>
      <c r="Z31" s="1487" t="str">
        <f t="shared" ref="Z31:Z45" si="13">Q31</f>
        <v>临街状况</v>
      </c>
      <c r="AA31" s="1484">
        <f t="shared" si="3"/>
        <v>1</v>
      </c>
      <c r="AB31" s="1484">
        <f t="shared" si="4"/>
        <v>1</v>
      </c>
      <c r="AC31" s="1484">
        <f t="shared" si="5"/>
        <v>1</v>
      </c>
    </row>
    <row r="32" spans="1:29" ht="27">
      <c r="A32" s="386"/>
      <c r="B32" s="1242"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7"/>
      <c r="M32" s="2891"/>
      <c r="N32" s="2891"/>
      <c r="O32" s="2949"/>
      <c r="P32" s="3460"/>
      <c r="Q32" s="1483" t="str">
        <f t="shared" si="8"/>
        <v>毗邻道路的类型与等级</v>
      </c>
      <c r="R32" s="711" t="s">
        <v>17</v>
      </c>
      <c r="S32" s="712">
        <f t="shared" si="10"/>
        <v>100</v>
      </c>
      <c r="T32" s="711" t="s">
        <v>17</v>
      </c>
      <c r="U32" s="712">
        <f t="shared" si="11"/>
        <v>100</v>
      </c>
      <c r="V32" s="711" t="s">
        <v>17</v>
      </c>
      <c r="W32" s="712">
        <f t="shared" si="12"/>
        <v>100</v>
      </c>
      <c r="X32" s="1486"/>
      <c r="Y32" s="3460"/>
      <c r="Z32" s="1487" t="str">
        <f t="shared" si="13"/>
        <v>毗邻道路的类型与等级</v>
      </c>
      <c r="AA32" s="1484">
        <f t="shared" si="3"/>
        <v>1</v>
      </c>
      <c r="AB32" s="1484">
        <f t="shared" si="4"/>
        <v>1</v>
      </c>
      <c r="AC32" s="1484">
        <f t="shared" si="5"/>
        <v>1</v>
      </c>
    </row>
    <row r="33" spans="1:29" ht="15">
      <c r="A33" s="386"/>
      <c r="B33" s="414"/>
      <c r="C33" s="405"/>
      <c r="D33" s="406"/>
      <c r="E33" s="2037"/>
      <c r="F33" s="406"/>
      <c r="G33" s="2037"/>
      <c r="H33" s="406"/>
      <c r="I33" s="405"/>
      <c r="J33" s="406"/>
      <c r="K33" s="569"/>
      <c r="L33" s="2897"/>
      <c r="M33" s="2891"/>
      <c r="N33" s="2891"/>
      <c r="O33" s="2949"/>
      <c r="P33" s="3460"/>
      <c r="Q33" s="1483"/>
      <c r="R33" s="711"/>
      <c r="S33" s="712"/>
      <c r="T33" s="711"/>
      <c r="U33" s="712"/>
      <c r="V33" s="711"/>
      <c r="W33" s="712"/>
      <c r="X33" s="1486"/>
      <c r="Y33" s="3460"/>
      <c r="Z33" s="1487"/>
      <c r="AA33" s="1484">
        <v>1</v>
      </c>
      <c r="AB33" s="1484">
        <v>1</v>
      </c>
      <c r="AC33" s="1484">
        <v>1</v>
      </c>
    </row>
    <row r="34" spans="1:29" ht="15">
      <c r="A34" s="386"/>
      <c r="B34" s="380" t="s">
        <v>2329</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7"/>
      <c r="M34" s="2891"/>
      <c r="N34" s="2891"/>
      <c r="O34" s="2949"/>
      <c r="P34" s="3460"/>
      <c r="Q34" s="1483" t="str">
        <f t="shared" si="8"/>
        <v>土地级别</v>
      </c>
      <c r="R34" s="711" t="s">
        <v>17</v>
      </c>
      <c r="S34" s="712">
        <f t="shared" si="10"/>
        <v>100</v>
      </c>
      <c r="T34" s="711" t="s">
        <v>17</v>
      </c>
      <c r="U34" s="712">
        <f t="shared" si="11"/>
        <v>100</v>
      </c>
      <c r="V34" s="711" t="s">
        <v>17</v>
      </c>
      <c r="W34" s="712">
        <f t="shared" si="12"/>
        <v>100</v>
      </c>
      <c r="X34" s="1486"/>
      <c r="Y34" s="3460"/>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460"/>
      <c r="Q35" s="1483">
        <f t="shared" si="8"/>
        <v>111</v>
      </c>
      <c r="R35" s="711" t="s">
        <v>17</v>
      </c>
      <c r="S35" s="712">
        <f t="shared" si="10"/>
        <v>100</v>
      </c>
      <c r="T35" s="711" t="s">
        <v>17</v>
      </c>
      <c r="U35" s="712">
        <f t="shared" si="11"/>
        <v>100</v>
      </c>
      <c r="V35" s="711" t="s">
        <v>17</v>
      </c>
      <c r="W35" s="712">
        <f t="shared" si="12"/>
        <v>100</v>
      </c>
      <c r="X35" s="1486"/>
      <c r="Y35" s="3460"/>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43" t="s">
        <v>2144</v>
      </c>
      <c r="Q36" s="1483">
        <f t="shared" si="8"/>
        <v>111</v>
      </c>
      <c r="R36" s="711" t="s">
        <v>17</v>
      </c>
      <c r="S36" s="712">
        <f t="shared" si="10"/>
        <v>100</v>
      </c>
      <c r="T36" s="711" t="s">
        <v>17</v>
      </c>
      <c r="U36" s="712">
        <f t="shared" si="11"/>
        <v>100</v>
      </c>
      <c r="V36" s="711" t="s">
        <v>17</v>
      </c>
      <c r="W36" s="712">
        <f t="shared" si="12"/>
        <v>100</v>
      </c>
      <c r="X36" s="1486"/>
      <c r="Y36" s="3464" t="s">
        <v>2144</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464"/>
      <c r="Q37" s="1483">
        <f t="shared" si="8"/>
        <v>111</v>
      </c>
      <c r="R37" s="714" t="s">
        <v>17</v>
      </c>
      <c r="S37" s="715">
        <f t="shared" si="10"/>
        <v>100</v>
      </c>
      <c r="T37" s="714" t="s">
        <v>17</v>
      </c>
      <c r="U37" s="715">
        <f t="shared" si="11"/>
        <v>100</v>
      </c>
      <c r="V37" s="714" t="s">
        <v>17</v>
      </c>
      <c r="W37" s="715">
        <f t="shared" si="12"/>
        <v>100</v>
      </c>
      <c r="X37" s="716"/>
      <c r="Y37" s="3464"/>
      <c r="Z37" s="717">
        <f t="shared" si="13"/>
        <v>111</v>
      </c>
      <c r="AA37" s="1484">
        <f t="shared" si="3"/>
        <v>1</v>
      </c>
      <c r="AB37" s="1484">
        <f t="shared" si="4"/>
        <v>1</v>
      </c>
      <c r="AC37" s="1484">
        <f t="shared" si="5"/>
        <v>1</v>
      </c>
    </row>
    <row r="38" spans="1:29" ht="15">
      <c r="A38" s="430" t="s">
        <v>2142</v>
      </c>
      <c r="B38" s="414" t="s">
        <v>2330</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7"/>
      <c r="M38" s="2891"/>
      <c r="N38" s="2891"/>
      <c r="O38" s="2949"/>
      <c r="P38" s="3464"/>
      <c r="Q38" s="1483" t="str">
        <f>B38</f>
        <v>宗地面积</v>
      </c>
      <c r="R38" s="711" t="s">
        <v>17</v>
      </c>
      <c r="S38" s="712" t="e">
        <f t="shared" si="10"/>
        <v>#N/A</v>
      </c>
      <c r="T38" s="711" t="s">
        <v>17</v>
      </c>
      <c r="U38" s="712" t="e">
        <f t="shared" si="11"/>
        <v>#N/A</v>
      </c>
      <c r="V38" s="711" t="s">
        <v>17</v>
      </c>
      <c r="W38" s="712" t="e">
        <f t="shared" si="12"/>
        <v>#N/A</v>
      </c>
      <c r="X38" s="1486"/>
      <c r="Y38" s="3464"/>
      <c r="Z38" s="1487" t="str">
        <f t="shared" si="13"/>
        <v>宗地面积</v>
      </c>
      <c r="AA38" s="1484" t="e">
        <f t="shared" si="3"/>
        <v>#N/A</v>
      </c>
      <c r="AB38" s="1484" t="e">
        <f t="shared" si="4"/>
        <v>#N/A</v>
      </c>
      <c r="AC38" s="1484" t="e">
        <f t="shared" si="5"/>
        <v>#N/A</v>
      </c>
    </row>
    <row r="39" spans="1:29" ht="15">
      <c r="A39" s="430"/>
      <c r="B39" s="380" t="s">
        <v>2331</v>
      </c>
      <c r="C39" s="2039"/>
      <c r="D39" s="393">
        <v>100</v>
      </c>
      <c r="E39" s="2039"/>
      <c r="F39" s="393">
        <f>SUMIF(118:118,E39,119:119)-SUMIF(118:118,C39,119:119)+100</f>
        <v>100</v>
      </c>
      <c r="G39" s="2039"/>
      <c r="H39" s="393">
        <f>SUMIF(118:118,G39,119:119)-SUMIF(118:118,C39,119:119)+100</f>
        <v>100</v>
      </c>
      <c r="I39" s="2039"/>
      <c r="J39" s="393">
        <f>SUMIF(118:118,I39,119:119)-SUMIF(118:118,C39,119:119)+100</f>
        <v>100</v>
      </c>
      <c r="K39" s="568"/>
      <c r="L39" s="2897"/>
      <c r="M39" s="2891"/>
      <c r="N39" s="2891"/>
      <c r="O39" s="2949"/>
      <c r="P39" s="3464"/>
      <c r="Q39" s="1483" t="str">
        <f t="shared" ref="Q39:Q45" si="14">B39</f>
        <v>宗地形状</v>
      </c>
      <c r="R39" s="711" t="s">
        <v>17</v>
      </c>
      <c r="S39" s="712">
        <f t="shared" si="10"/>
        <v>100</v>
      </c>
      <c r="T39" s="711" t="s">
        <v>17</v>
      </c>
      <c r="U39" s="712">
        <f t="shared" si="11"/>
        <v>100</v>
      </c>
      <c r="V39" s="711" t="s">
        <v>17</v>
      </c>
      <c r="W39" s="712">
        <f t="shared" si="12"/>
        <v>100</v>
      </c>
      <c r="X39" s="1486"/>
      <c r="Y39" s="3464"/>
      <c r="Z39" s="1487" t="str">
        <f t="shared" si="13"/>
        <v>宗地形状</v>
      </c>
      <c r="AA39" s="1484">
        <f t="shared" si="3"/>
        <v>1</v>
      </c>
      <c r="AB39" s="1484">
        <f t="shared" si="4"/>
        <v>1</v>
      </c>
      <c r="AC39" s="1484">
        <f t="shared" si="5"/>
        <v>1</v>
      </c>
    </row>
    <row r="40" spans="1:29" ht="15">
      <c r="A40" s="430"/>
      <c r="B40" s="380" t="s">
        <v>2332</v>
      </c>
      <c r="C40" s="2039"/>
      <c r="D40" s="393">
        <v>100</v>
      </c>
      <c r="E40" s="2039"/>
      <c r="F40" s="393">
        <f>SUMIF(120:120,E40,121:121)-SUMIF(120:120,C40,121:121)+100</f>
        <v>100</v>
      </c>
      <c r="G40" s="2039"/>
      <c r="H40" s="393">
        <f>SUMIF(120:120,G40,121:121)-SUMIF(120:120,C40,121:121)+100</f>
        <v>100</v>
      </c>
      <c r="I40" s="2039"/>
      <c r="J40" s="393">
        <f>SUMIF(120:120,I40,121:121)-SUMIF(120:120,C40,121:121)+100</f>
        <v>100</v>
      </c>
      <c r="K40" s="568"/>
      <c r="L40" s="2897"/>
      <c r="M40" s="2891"/>
      <c r="N40" s="2891"/>
      <c r="O40" s="2949"/>
      <c r="P40" s="3464"/>
      <c r="Q40" s="1483" t="str">
        <f t="shared" si="14"/>
        <v>临街宽度及深度</v>
      </c>
      <c r="R40" s="711" t="s">
        <v>17</v>
      </c>
      <c r="S40" s="712">
        <f t="shared" si="10"/>
        <v>100</v>
      </c>
      <c r="T40" s="711" t="s">
        <v>17</v>
      </c>
      <c r="U40" s="712">
        <f t="shared" si="11"/>
        <v>100</v>
      </c>
      <c r="V40" s="711" t="s">
        <v>17</v>
      </c>
      <c r="W40" s="712">
        <f t="shared" si="12"/>
        <v>100</v>
      </c>
      <c r="X40" s="1486"/>
      <c r="Y40" s="3464"/>
      <c r="Z40" s="1487" t="str">
        <f t="shared" si="13"/>
        <v>临街宽度及深度</v>
      </c>
      <c r="AA40" s="1484">
        <f t="shared" si="3"/>
        <v>1</v>
      </c>
      <c r="AB40" s="1484">
        <f t="shared" si="4"/>
        <v>1</v>
      </c>
      <c r="AC40" s="1484">
        <f t="shared" si="5"/>
        <v>1</v>
      </c>
    </row>
    <row r="41" spans="1:29" s="112" customFormat="1" ht="15">
      <c r="A41" s="431"/>
      <c r="B41" s="380" t="s">
        <v>2333</v>
      </c>
      <c r="C41" s="2113"/>
      <c r="D41" s="131">
        <v>100</v>
      </c>
      <c r="E41" s="2113"/>
      <c r="F41" s="393">
        <f>SUMIF(122:122,E41,123:123)-SUMIF(122:122,C41,123:123)+100</f>
        <v>100</v>
      </c>
      <c r="G41" s="2113"/>
      <c r="H41" s="393">
        <f>SUMIF(122:122,G41,123:123)-SUMIF(122:122,C41,123:123)+100</f>
        <v>100</v>
      </c>
      <c r="I41" s="2113"/>
      <c r="J41" s="393">
        <f>SUMIF(122:122,I41,123:123)-SUMIF(122:122,C41,123:123)+100</f>
        <v>100</v>
      </c>
      <c r="K41" s="568"/>
      <c r="L41" s="2892"/>
      <c r="M41" s="2893"/>
      <c r="N41" s="2893"/>
      <c r="O41" s="2947"/>
      <c r="P41" s="3464"/>
      <c r="Q41" s="1483" t="str">
        <f t="shared" si="14"/>
        <v>宗地开发程度</v>
      </c>
      <c r="R41" s="707" t="s">
        <v>17</v>
      </c>
      <c r="S41" s="708">
        <f t="shared" si="10"/>
        <v>100</v>
      </c>
      <c r="T41" s="707" t="s">
        <v>17</v>
      </c>
      <c r="U41" s="708">
        <f t="shared" si="11"/>
        <v>100</v>
      </c>
      <c r="V41" s="707" t="s">
        <v>17</v>
      </c>
      <c r="W41" s="708">
        <f t="shared" si="12"/>
        <v>100</v>
      </c>
      <c r="X41" s="709"/>
      <c r="Y41" s="3464"/>
      <c r="Z41" s="54" t="str">
        <f t="shared" si="13"/>
        <v>宗地开发程度</v>
      </c>
      <c r="AA41" s="710">
        <f t="shared" si="3"/>
        <v>1</v>
      </c>
      <c r="AB41" s="710">
        <f t="shared" si="4"/>
        <v>1</v>
      </c>
      <c r="AC41" s="710">
        <f t="shared" si="5"/>
        <v>1</v>
      </c>
    </row>
    <row r="42" spans="1:29" ht="15">
      <c r="A42" s="430"/>
      <c r="B42" s="380" t="s">
        <v>2334</v>
      </c>
      <c r="C42" s="2039"/>
      <c r="D42" s="393">
        <v>100</v>
      </c>
      <c r="E42" s="2039"/>
      <c r="F42" s="393">
        <f>SUMIF(124:124,E42,125:125)-SUMIF(124:124,C42,125:125)+100</f>
        <v>100</v>
      </c>
      <c r="G42" s="2039"/>
      <c r="H42" s="393">
        <f>SUMIF(124:124,G42,125:125)-SUMIF(124:124,C42,125:125)+100</f>
        <v>100</v>
      </c>
      <c r="I42" s="2039"/>
      <c r="J42" s="393">
        <f>SUMIF(124:124,I42,125:125)-SUMIF(124:124,C42,125:125)+100</f>
        <v>100</v>
      </c>
      <c r="K42" s="568"/>
      <c r="L42" s="2897"/>
      <c r="M42" s="2891"/>
      <c r="N42" s="2891"/>
      <c r="O42" s="2949"/>
      <c r="P42" s="3464" t="s">
        <v>2144</v>
      </c>
      <c r="Q42" s="1483" t="str">
        <f t="shared" si="14"/>
        <v>工程地质条件</v>
      </c>
      <c r="R42" s="711" t="s">
        <v>17</v>
      </c>
      <c r="S42" s="712">
        <f t="shared" si="10"/>
        <v>100</v>
      </c>
      <c r="T42" s="711" t="s">
        <v>17</v>
      </c>
      <c r="U42" s="712">
        <f t="shared" si="11"/>
        <v>100</v>
      </c>
      <c r="V42" s="711" t="s">
        <v>17</v>
      </c>
      <c r="W42" s="712">
        <f t="shared" si="12"/>
        <v>100</v>
      </c>
      <c r="X42" s="1486"/>
      <c r="Y42" s="3464" t="s">
        <v>2144</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464"/>
      <c r="Q43" s="1483">
        <f t="shared" si="14"/>
        <v>111</v>
      </c>
      <c r="R43" s="711" t="s">
        <v>17</v>
      </c>
      <c r="S43" s="712">
        <f t="shared" si="10"/>
        <v>100</v>
      </c>
      <c r="T43" s="711" t="s">
        <v>17</v>
      </c>
      <c r="U43" s="712">
        <f t="shared" si="11"/>
        <v>100</v>
      </c>
      <c r="V43" s="711" t="s">
        <v>17</v>
      </c>
      <c r="W43" s="712">
        <f t="shared" si="12"/>
        <v>100</v>
      </c>
      <c r="X43" s="1486"/>
      <c r="Y43" s="3464"/>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464"/>
      <c r="Q44" s="1483">
        <f t="shared" si="14"/>
        <v>111</v>
      </c>
      <c r="R44" s="711" t="s">
        <v>17</v>
      </c>
      <c r="S44" s="712">
        <f t="shared" si="10"/>
        <v>100</v>
      </c>
      <c r="T44" s="711" t="s">
        <v>17</v>
      </c>
      <c r="U44" s="712">
        <f t="shared" si="11"/>
        <v>100</v>
      </c>
      <c r="V44" s="711" t="s">
        <v>17</v>
      </c>
      <c r="W44" s="712">
        <f t="shared" si="12"/>
        <v>100</v>
      </c>
      <c r="X44" s="1486"/>
      <c r="Y44" s="3464"/>
      <c r="Z44" s="1487">
        <f t="shared" si="13"/>
        <v>111</v>
      </c>
      <c r="AA44" s="1484">
        <f t="shared" si="3"/>
        <v>1</v>
      </c>
      <c r="AB44" s="1484">
        <f t="shared" si="4"/>
        <v>1</v>
      </c>
      <c r="AC44" s="1484">
        <f t="shared" si="5"/>
        <v>1</v>
      </c>
    </row>
    <row r="45" spans="1:29" s="429" customFormat="1" ht="15.75" thickBot="1">
      <c r="A45" s="426"/>
      <c r="B45" s="1245">
        <v>111</v>
      </c>
      <c r="C45" s="2114"/>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464"/>
      <c r="Q45" s="1483">
        <f t="shared" si="14"/>
        <v>111</v>
      </c>
      <c r="R45" s="714" t="s">
        <v>17</v>
      </c>
      <c r="S45" s="715">
        <f t="shared" si="10"/>
        <v>100</v>
      </c>
      <c r="T45" s="714" t="s">
        <v>17</v>
      </c>
      <c r="U45" s="715">
        <f t="shared" si="11"/>
        <v>100</v>
      </c>
      <c r="V45" s="714" t="s">
        <v>17</v>
      </c>
      <c r="W45" s="715">
        <f t="shared" si="12"/>
        <v>100</v>
      </c>
      <c r="X45" s="716"/>
      <c r="Y45" s="3464"/>
      <c r="Z45" s="717">
        <f t="shared" si="13"/>
        <v>111</v>
      </c>
      <c r="AA45" s="1484">
        <f t="shared" si="3"/>
        <v>1</v>
      </c>
      <c r="AB45" s="1484">
        <f t="shared" si="4"/>
        <v>1</v>
      </c>
      <c r="AC45" s="1484">
        <f t="shared" si="5"/>
        <v>1</v>
      </c>
    </row>
    <row r="46" spans="1:29" ht="15">
      <c r="A46" s="437" t="s">
        <v>2299</v>
      </c>
      <c r="B46" s="2115" t="s">
        <v>2335</v>
      </c>
      <c r="C46" s="637" t="s">
        <v>1</v>
      </c>
      <c r="D46" s="439"/>
      <c r="E46" s="440"/>
      <c r="F46" s="441"/>
      <c r="G46" s="442"/>
      <c r="H46" s="443"/>
      <c r="I46" s="440"/>
      <c r="J46" s="443"/>
      <c r="K46" s="720"/>
      <c r="L46" s="2899"/>
      <c r="M46" s="2900"/>
      <c r="N46" s="2891"/>
      <c r="O46" s="2900"/>
      <c r="P46" s="3452" t="str">
        <f>A46</f>
        <v>成交单价</v>
      </c>
      <c r="Q46" s="3452"/>
      <c r="R46" s="3486">
        <f>E46</f>
        <v>0</v>
      </c>
      <c r="S46" s="3486"/>
      <c r="T46" s="3486">
        <f>G46</f>
        <v>0</v>
      </c>
      <c r="U46" s="3486"/>
      <c r="V46" s="3486">
        <f>I46</f>
        <v>0</v>
      </c>
      <c r="W46" s="3486"/>
      <c r="X46" s="696"/>
      <c r="Y46" s="718"/>
      <c r="Z46" s="696"/>
      <c r="AA46" s="696"/>
      <c r="AB46" s="696"/>
      <c r="AC46" s="696"/>
    </row>
    <row r="47" spans="1:29" ht="15.75" thickBot="1">
      <c r="A47" s="444" t="s">
        <v>2248</v>
      </c>
      <c r="B47" s="638"/>
      <c r="C47" s="447" t="e">
        <f>R48</f>
        <v>#DIV/0!</v>
      </c>
      <c r="D47" s="2485" t="s">
        <v>2637</v>
      </c>
      <c r="E47" s="447" t="e">
        <f>R47</f>
        <v>#DIV/0!</v>
      </c>
      <c r="F47" s="2486"/>
      <c r="G47" s="446" t="e">
        <f>T47</f>
        <v>#DIV/0!</v>
      </c>
      <c r="H47" s="2486"/>
      <c r="I47" s="447" t="e">
        <f>V47</f>
        <v>#DIV/0!</v>
      </c>
      <c r="J47" s="2486"/>
      <c r="K47" s="2488">
        <f>F47+H47+J47</f>
        <v>0</v>
      </c>
      <c r="L47" s="2899"/>
      <c r="M47" s="2900"/>
      <c r="N47" s="2900"/>
      <c r="O47" s="2900"/>
      <c r="P47" s="3452" t="str">
        <f>A47</f>
        <v>比较价值（元/平方米）</v>
      </c>
      <c r="Q47" s="3452"/>
      <c r="R47" s="3545" t="e">
        <f>ROUND(PRODUCT(R46,AA7:AA45),0)</f>
        <v>#DIV/0!</v>
      </c>
      <c r="S47" s="3545"/>
      <c r="T47" s="3545" t="e">
        <f>ROUND(PRODUCT(T46,AB7:AB45),0)</f>
        <v>#DIV/0!</v>
      </c>
      <c r="U47" s="3545"/>
      <c r="V47" s="3545" t="e">
        <f>ROUND(PRODUCT(V46,AC7:AC45),0)</f>
        <v>#DIV/0!</v>
      </c>
      <c r="W47" s="3545"/>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9"/>
      <c r="M48" s="2900"/>
      <c r="N48" s="2900"/>
      <c r="O48" s="2900"/>
      <c r="P48" s="3532" t="str">
        <f>A48</f>
        <v>估价对象XX用房的比较价值（楼面单价，元/平方米）</v>
      </c>
      <c r="Q48" s="3533"/>
      <c r="R48" s="3546" t="e">
        <f>ROUND(IF(D47="简单平均",AVERAGE(R47:W47),R47*F47+T47*H47+V47*J47),0)</f>
        <v>#DIV/0!</v>
      </c>
      <c r="S48" s="3546"/>
      <c r="T48" s="3546"/>
      <c r="U48" s="3546"/>
      <c r="V48" s="3546"/>
      <c r="W48" s="3546"/>
      <c r="X48" s="696"/>
      <c r="Y48" s="696"/>
      <c r="Z48" s="696"/>
      <c r="AA48" s="696"/>
      <c r="AB48" s="696"/>
      <c r="AC48" s="696"/>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699"/>
      <c r="D54" s="697"/>
      <c r="E54" s="697"/>
      <c r="F54" s="697"/>
      <c r="G54" s="697"/>
      <c r="H54" s="697"/>
      <c r="I54" s="697"/>
      <c r="J54" s="697"/>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6" t="s">
        <v>2339</v>
      </c>
      <c r="D55" s="2117" t="s">
        <v>2340</v>
      </c>
      <c r="E55" s="641" t="s">
        <v>2341</v>
      </c>
      <c r="F55" s="999" t="s">
        <v>2342</v>
      </c>
      <c r="G55" s="3469" t="s">
        <v>2343</v>
      </c>
      <c r="H55" s="3547"/>
      <c r="I55" s="139" t="s">
        <v>2344</v>
      </c>
      <c r="J55" s="2118">
        <f>项目基本情况!F35</f>
        <v>0</v>
      </c>
      <c r="K55" s="2119"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t="e">
        <f>C48</f>
        <v>#DIV/0!</v>
      </c>
      <c r="C56" s="645">
        <v>1</v>
      </c>
      <c r="D56" s="1053">
        <v>1</v>
      </c>
      <c r="E56" s="645">
        <f>'数据-汇总表'!E8+'数据-汇总表'!E9</f>
        <v>24865.040000000005</v>
      </c>
      <c r="F56" s="995" t="e">
        <f t="shared" ref="F56:F64" si="15">ROUND(B56*E56/10000,0)</f>
        <v>#DIV/0!</v>
      </c>
      <c r="G56" s="3451"/>
      <c r="H56" s="3452"/>
      <c r="I56" s="1000">
        <v>1</v>
      </c>
      <c r="J56" s="1003">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t="e">
        <f>ROUND($C$48*C57*D57,0)</f>
        <v>#DIV/0!</v>
      </c>
      <c r="C57" s="175">
        <f t="shared" ref="C57:C64" si="16">IF($C$55="北京市系数",I57,J57)</f>
        <v>0</v>
      </c>
      <c r="D57" s="1054">
        <v>0.25</v>
      </c>
      <c r="E57" s="649"/>
      <c r="F57" s="995" t="e">
        <f t="shared" si="15"/>
        <v>#DIV/0!</v>
      </c>
      <c r="G57" s="3224" t="s">
        <v>2348</v>
      </c>
      <c r="H57" s="996">
        <f>项目基本情况!B37</f>
        <v>0</v>
      </c>
      <c r="I57" s="1000">
        <f>SUMIF(修正!A57:A68,H57,修正!B57:B68)</f>
        <v>0</v>
      </c>
      <c r="J57" s="1004"/>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t="e">
        <f t="shared" ref="B58:B64" si="17">ROUND($C$48*C58*D58,0)</f>
        <v>#DIV/0!</v>
      </c>
      <c r="C58" s="175">
        <f t="shared" si="16"/>
        <v>0</v>
      </c>
      <c r="D58" s="1054">
        <v>0.25</v>
      </c>
      <c r="E58" s="649"/>
      <c r="F58" s="995" t="e">
        <f t="shared" si="15"/>
        <v>#DIV/0!</v>
      </c>
      <c r="G58" s="3225"/>
      <c r="H58" s="996">
        <f>项目基本情况!B37</f>
        <v>0</v>
      </c>
      <c r="I58" s="1000">
        <f>SUMIF(修正!A57:A68,H58,修正!C57:C68)</f>
        <v>0</v>
      </c>
      <c r="J58" s="1004"/>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t="e">
        <f t="shared" si="17"/>
        <v>#DIV/0!</v>
      </c>
      <c r="C59" s="175">
        <f t="shared" si="16"/>
        <v>0</v>
      </c>
      <c r="D59" s="1054">
        <v>0.25</v>
      </c>
      <c r="E59" s="649"/>
      <c r="F59" s="995" t="e">
        <f t="shared" si="15"/>
        <v>#DIV/0!</v>
      </c>
      <c r="G59" s="3225"/>
      <c r="H59" s="996">
        <f>项目基本情况!B37</f>
        <v>0</v>
      </c>
      <c r="I59" s="1000">
        <f>SUMIF(修正!A57:A68,H59,修正!D57:D68)</f>
        <v>0</v>
      </c>
      <c r="J59" s="1004"/>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t="e">
        <f t="shared" si="17"/>
        <v>#DIV/0!</v>
      </c>
      <c r="C60" s="175">
        <f t="shared" si="16"/>
        <v>0</v>
      </c>
      <c r="D60" s="1054">
        <v>0.25</v>
      </c>
      <c r="E60" s="222">
        <f>'数据-汇总表'!E11</f>
        <v>0</v>
      </c>
      <c r="F60" s="995" t="e">
        <f t="shared" si="15"/>
        <v>#DIV/0!</v>
      </c>
      <c r="G60" s="2120" t="s">
        <v>2352</v>
      </c>
      <c r="H60" s="996">
        <f>项目基本情况!C37</f>
        <v>0</v>
      </c>
      <c r="I60" s="1000">
        <f>SUMIF(修正!A57:A68,H60,修正!E57:E68)</f>
        <v>0</v>
      </c>
      <c r="J60" s="1004"/>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t="e">
        <f t="shared" si="17"/>
        <v>#DIV/0!</v>
      </c>
      <c r="C61" s="175">
        <f t="shared" si="16"/>
        <v>0</v>
      </c>
      <c r="D61" s="1054">
        <v>0.25</v>
      </c>
      <c r="E61" s="222">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t="e">
        <f t="shared" si="17"/>
        <v>#DIV/0!</v>
      </c>
      <c r="C62" s="175">
        <f t="shared" si="16"/>
        <v>0</v>
      </c>
      <c r="D62" s="1054">
        <v>0.25</v>
      </c>
      <c r="E62" s="222">
        <f>'数据-汇总表'!E13</f>
        <v>0</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t="e">
        <f t="shared" si="17"/>
        <v>#DIV/0!</v>
      </c>
      <c r="C63" s="175">
        <f t="shared" si="16"/>
        <v>0</v>
      </c>
      <c r="D63" s="1054">
        <v>0.25</v>
      </c>
      <c r="E63" s="222">
        <f>'数据-汇总表'!E14</f>
        <v>0</v>
      </c>
      <c r="F63" s="995" t="e">
        <f t="shared" si="15"/>
        <v>#DIV/0!</v>
      </c>
      <c r="G63" s="2120" t="s">
        <v>2348</v>
      </c>
      <c r="H63" s="996">
        <f>项目基本情况!B37</f>
        <v>0</v>
      </c>
      <c r="I63" s="1000">
        <f>SUMIF(修正!A57:A68,H63,修正!G57:G68)</f>
        <v>0</v>
      </c>
      <c r="J63" s="1004"/>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t="e">
        <f t="shared" si="17"/>
        <v>#DIV/0!</v>
      </c>
      <c r="C64" s="175">
        <f t="shared" si="16"/>
        <v>0</v>
      </c>
      <c r="D64" s="1054">
        <v>0.25</v>
      </c>
      <c r="E64" s="222">
        <f>'数据-汇总表'!E15</f>
        <v>0</v>
      </c>
      <c r="F64" s="995" t="e">
        <f t="shared" si="15"/>
        <v>#DIV/0!</v>
      </c>
      <c r="G64" s="2121" t="s">
        <v>2352</v>
      </c>
      <c r="H64" s="1006">
        <f>项目基本情况!C37</f>
        <v>0</v>
      </c>
      <c r="I64" s="1002">
        <f>SUMIF(修正!A57:A68,H64,修正!G57:G68)</f>
        <v>0</v>
      </c>
      <c r="J64" s="1005"/>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24865.040000000005</v>
      </c>
      <c r="F65" s="652" t="e">
        <f>IF(B46="楼面地价",SUM(F56:F64),ROUND(C48*E65/10000,0))</f>
        <v>#DIV/0!</v>
      </c>
      <c r="G65" s="723"/>
      <c r="H65" s="723"/>
      <c r="I65" s="723"/>
      <c r="J65" s="723"/>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6"/>
      <c r="B66" s="698"/>
      <c r="C66" s="699"/>
      <c r="D66" s="696"/>
      <c r="E66" s="696"/>
      <c r="F66" s="696"/>
      <c r="G66" s="696"/>
      <c r="H66" s="696"/>
      <c r="I66" s="696"/>
      <c r="J66" s="1036"/>
      <c r="K66" s="997"/>
      <c r="L66" s="998"/>
      <c r="M66" s="1036"/>
      <c r="N66" s="1036"/>
      <c r="O66" s="1036"/>
      <c r="P66" s="2900"/>
      <c r="Q66" s="2900"/>
      <c r="R66" s="2900"/>
      <c r="S66" s="2900"/>
      <c r="T66" s="2900"/>
      <c r="U66" s="2900"/>
      <c r="V66" s="2900"/>
      <c r="W66" s="2900"/>
      <c r="X66" s="2900"/>
      <c r="Y66" s="2900"/>
      <c r="Z66" s="2900"/>
      <c r="AA66" s="2900"/>
      <c r="AB66" s="2900"/>
      <c r="AC66" s="2900"/>
    </row>
    <row r="67" spans="1:29">
      <c r="A67" s="696"/>
      <c r="B67" s="698"/>
      <c r="C67" s="698" t="str">
        <f>YEAR(C7)&amp;"-"&amp;MONTH(C7)&amp;"-1"</f>
        <v>2022-9-1</v>
      </c>
      <c r="D67" s="698">
        <f>EDATE(C67,-3)</f>
        <v>44713</v>
      </c>
      <c r="E67" s="698">
        <f>EDATE(D67,-3)</f>
        <v>44621</v>
      </c>
      <c r="F67" s="698">
        <f t="shared" ref="F67:O67" si="18">EDATE(E67,-3)</f>
        <v>44531</v>
      </c>
      <c r="G67" s="698">
        <f t="shared" si="18"/>
        <v>44440</v>
      </c>
      <c r="H67" s="698">
        <f t="shared" si="18"/>
        <v>44348</v>
      </c>
      <c r="I67" s="698">
        <f t="shared" si="18"/>
        <v>44256</v>
      </c>
      <c r="J67" s="698">
        <f t="shared" si="18"/>
        <v>44166</v>
      </c>
      <c r="K67" s="698">
        <f t="shared" si="18"/>
        <v>44075</v>
      </c>
      <c r="L67" s="698">
        <f t="shared" si="18"/>
        <v>43983</v>
      </c>
      <c r="M67" s="698">
        <f t="shared" si="18"/>
        <v>43891</v>
      </c>
      <c r="N67" s="698">
        <f t="shared" si="18"/>
        <v>43800</v>
      </c>
      <c r="O67" s="698">
        <f t="shared" si="18"/>
        <v>43709</v>
      </c>
      <c r="P67" s="2900"/>
      <c r="Q67" s="2900"/>
      <c r="R67" s="2900"/>
      <c r="S67" s="2900"/>
      <c r="T67" s="2900"/>
      <c r="U67" s="2900"/>
      <c r="V67" s="2900"/>
      <c r="W67" s="2900"/>
      <c r="X67" s="2900"/>
      <c r="Y67" s="2900"/>
      <c r="Z67" s="2900"/>
      <c r="AA67" s="2900"/>
      <c r="AB67" s="2900"/>
      <c r="AC67" s="2900"/>
    </row>
    <row r="68" spans="1:29" ht="21.75" thickBot="1">
      <c r="A68" s="700" t="s">
        <v>2253</v>
      </c>
      <c r="B68" s="696"/>
      <c r="C68" s="701"/>
      <c r="D68" s="701"/>
      <c r="E68" s="701"/>
      <c r="F68" s="702"/>
      <c r="G68" s="702"/>
      <c r="H68" s="701"/>
      <c r="I68" s="701"/>
      <c r="J68" s="1049"/>
      <c r="K68" s="1050"/>
      <c r="L68" s="1051"/>
      <c r="M68" s="1049"/>
      <c r="N68" s="2944"/>
      <c r="O68" s="2944"/>
      <c r="P68" s="2944"/>
      <c r="Q68" s="2914"/>
      <c r="R68" s="2900"/>
      <c r="S68" s="2900"/>
      <c r="T68" s="2900"/>
      <c r="U68" s="2900"/>
      <c r="V68" s="2900"/>
      <c r="W68" s="2900"/>
      <c r="X68" s="2900"/>
      <c r="Y68" s="2900"/>
      <c r="Z68" s="2900"/>
      <c r="AA68" s="2900"/>
      <c r="AB68" s="2900"/>
      <c r="AC68" s="2900"/>
    </row>
    <row r="69" spans="1:29" s="464" customFormat="1" ht="15">
      <c r="A69" s="2122" t="s">
        <v>2360</v>
      </c>
      <c r="B69" s="1218"/>
      <c r="C69" s="1293" t="str">
        <f>YEAR(C67)&amp;"-"&amp;ROUNDUP(MONTH(C67)/3,0)</f>
        <v>2022-3</v>
      </c>
      <c r="D69" s="1293" t="str">
        <f>YEAR(D67)&amp;"-"&amp;ROUNDUP(MONTH(D67)/3,0)</f>
        <v>2022-2</v>
      </c>
      <c r="E69" s="1293" t="str">
        <f t="shared" ref="E69:O69" si="19">YEAR(E67)&amp;"-"&amp;ROUNDUP(MONTH(E67)/3,0)</f>
        <v>2022-1</v>
      </c>
      <c r="F69" s="1293" t="str">
        <f t="shared" si="19"/>
        <v>2021-4</v>
      </c>
      <c r="G69" s="1293" t="str">
        <f t="shared" si="19"/>
        <v>2021-3</v>
      </c>
      <c r="H69" s="1293" t="str">
        <f t="shared" si="19"/>
        <v>2021-2</v>
      </c>
      <c r="I69" s="1293" t="str">
        <f t="shared" si="19"/>
        <v>2021-1</v>
      </c>
      <c r="J69" s="1293" t="str">
        <f t="shared" si="19"/>
        <v>2020-4</v>
      </c>
      <c r="K69" s="1293" t="str">
        <f t="shared" si="19"/>
        <v>2020-3</v>
      </c>
      <c r="L69" s="1293" t="str">
        <f t="shared" si="19"/>
        <v>2020-2</v>
      </c>
      <c r="M69" s="1293" t="str">
        <f t="shared" si="19"/>
        <v>2020-1</v>
      </c>
      <c r="N69" s="1293" t="str">
        <f t="shared" si="19"/>
        <v>2019-4</v>
      </c>
      <c r="O69" s="1293"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3"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4"/>
      <c r="Q70" s="2834"/>
      <c r="R70" s="2834"/>
      <c r="S70" s="2834"/>
      <c r="T70" s="2834"/>
      <c r="U70" s="2834"/>
      <c r="V70" s="2834"/>
      <c r="W70" s="2834"/>
      <c r="X70" s="2834"/>
      <c r="Y70" s="2834"/>
      <c r="Z70" s="2834"/>
      <c r="AA70" s="2834"/>
      <c r="AB70" s="2834"/>
      <c r="AC70" s="2834"/>
    </row>
    <row r="71" spans="1:29" s="112" customFormat="1" ht="15.75" thickBot="1">
      <c r="A71" s="471" t="s">
        <v>2164</v>
      </c>
      <c r="B71" s="472"/>
      <c r="C71" s="473"/>
      <c r="D71" s="474"/>
      <c r="E71" s="474"/>
      <c r="F71" s="474"/>
      <c r="G71" s="474"/>
      <c r="H71" s="474"/>
      <c r="I71" s="474"/>
      <c r="J71" s="474"/>
      <c r="K71" s="474"/>
      <c r="L71" s="474"/>
      <c r="M71" s="475"/>
      <c r="N71" s="474"/>
      <c r="O71" s="1052"/>
      <c r="P71" s="2914"/>
      <c r="Q71" s="2914"/>
      <c r="R71" s="2834"/>
      <c r="S71" s="2834"/>
      <c r="T71" s="2834"/>
      <c r="U71" s="2834"/>
      <c r="V71" s="2834"/>
      <c r="W71" s="2834"/>
      <c r="X71" s="2834"/>
      <c r="Y71" s="2834"/>
      <c r="Z71" s="2834"/>
      <c r="AA71" s="2834"/>
      <c r="AB71" s="2834"/>
      <c r="AC71" s="2834"/>
    </row>
    <row r="72" spans="1:29" s="112" customFormat="1" ht="15">
      <c r="A72" s="477" t="s">
        <v>2129</v>
      </c>
      <c r="B72" s="466"/>
      <c r="C72" s="478" t="s">
        <v>2231</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2167</v>
      </c>
      <c r="B74" s="484" t="s">
        <v>2133</v>
      </c>
      <c r="C74" s="486"/>
      <c r="D74" s="486"/>
      <c r="E74" s="486"/>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c r="D75" s="492"/>
      <c r="E75" s="492"/>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2136</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c r="D79" s="505"/>
      <c r="E79" s="505"/>
      <c r="F79" s="505"/>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配建</v>
      </c>
      <c r="C81" s="510"/>
      <c r="D81" s="510"/>
      <c r="E81" s="510"/>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111</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2138</v>
      </c>
      <c r="B87" s="484" t="s">
        <v>2175</v>
      </c>
      <c r="C87" s="529" t="s">
        <v>2176</v>
      </c>
      <c r="D87" s="529" t="s">
        <v>2177</v>
      </c>
      <c r="E87" s="529" t="s">
        <v>2178</v>
      </c>
      <c r="F87" s="529" t="s">
        <v>2179</v>
      </c>
      <c r="G87" s="529" t="s">
        <v>2180</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2176</v>
      </c>
      <c r="D89" s="534" t="s">
        <v>2177</v>
      </c>
      <c r="E89" s="534" t="s">
        <v>2178</v>
      </c>
      <c r="F89" s="534" t="s">
        <v>2179</v>
      </c>
      <c r="G89" s="534" t="s">
        <v>2180</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2276</v>
      </c>
      <c r="C91" s="534" t="s">
        <v>2176</v>
      </c>
      <c r="D91" s="534" t="s">
        <v>2177</v>
      </c>
      <c r="E91" s="534" t="s">
        <v>2178</v>
      </c>
      <c r="F91" s="534" t="s">
        <v>2179</v>
      </c>
      <c r="G91" s="534" t="s">
        <v>2180</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2181</v>
      </c>
      <c r="C93" s="534" t="s">
        <v>2176</v>
      </c>
      <c r="D93" s="534" t="s">
        <v>2177</v>
      </c>
      <c r="E93" s="534" t="s">
        <v>2178</v>
      </c>
      <c r="F93" s="534" t="s">
        <v>2179</v>
      </c>
      <c r="G93" s="534" t="s">
        <v>2180</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2176</v>
      </c>
      <c r="D95" s="534" t="s">
        <v>2177</v>
      </c>
      <c r="E95" s="534" t="s">
        <v>2178</v>
      </c>
      <c r="F95" s="534" t="s">
        <v>2179</v>
      </c>
      <c r="G95" s="534" t="s">
        <v>2180</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2176</v>
      </c>
      <c r="D97" s="529" t="s">
        <v>2177</v>
      </c>
      <c r="E97" s="529" t="s">
        <v>2178</v>
      </c>
      <c r="F97" s="529" t="s">
        <v>2179</v>
      </c>
      <c r="G97" s="529" t="s">
        <v>2180</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2234</v>
      </c>
      <c r="C101" s="615" t="s">
        <v>2254</v>
      </c>
      <c r="D101" s="615" t="s">
        <v>2255</v>
      </c>
      <c r="E101" s="615" t="s">
        <v>2256</v>
      </c>
      <c r="F101" s="615" t="s">
        <v>2257</v>
      </c>
      <c r="G101" s="615" t="s">
        <v>2258</v>
      </c>
      <c r="H101" s="556"/>
      <c r="I101" s="556"/>
      <c r="J101" s="556"/>
      <c r="K101" s="556"/>
      <c r="L101" s="556"/>
      <c r="M101" s="1243"/>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2270</v>
      </c>
      <c r="C105" s="510"/>
      <c r="D105" s="510"/>
      <c r="E105" s="510"/>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539"/>
      <c r="D107" s="539"/>
      <c r="E107" s="539"/>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c r="D116" s="551"/>
      <c r="E116" s="551"/>
      <c r="F116" s="551"/>
      <c r="G116" s="551"/>
      <c r="H116" s="551"/>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c r="D117" s="547"/>
      <c r="E117" s="547"/>
      <c r="F117" s="547"/>
      <c r="G117" s="547"/>
      <c r="H117" s="547"/>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539"/>
      <c r="D118" s="539"/>
      <c r="E118" s="539"/>
      <c r="F118" s="539"/>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510"/>
      <c r="D122" s="510"/>
      <c r="E122" s="510"/>
      <c r="F122" s="510"/>
      <c r="G122" s="510"/>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510"/>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6" t="e">
        <f>F61</f>
        <v>#DIV/0!</v>
      </c>
      <c r="C2" s="1017"/>
      <c r="D2" s="1017"/>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69" t="s">
        <v>2225</v>
      </c>
      <c r="D4" s="3470"/>
      <c r="E4" s="3471" t="s">
        <v>2226</v>
      </c>
      <c r="F4" s="3472"/>
      <c r="G4" s="3469" t="s">
        <v>2227</v>
      </c>
      <c r="H4" s="3470"/>
      <c r="I4" s="3469" t="s">
        <v>2228</v>
      </c>
      <c r="J4" s="3470"/>
      <c r="K4" s="566" t="s">
        <v>2229</v>
      </c>
      <c r="L4" s="2890"/>
      <c r="M4" s="2891"/>
      <c r="N4" s="2891"/>
      <c r="O4" s="2891"/>
      <c r="P4" s="3536" t="s">
        <v>2230</v>
      </c>
      <c r="Q4" s="3537"/>
      <c r="R4" s="3540" t="s">
        <v>2226</v>
      </c>
      <c r="S4" s="3541"/>
      <c r="T4" s="3540" t="s">
        <v>2227</v>
      </c>
      <c r="U4" s="3541"/>
      <c r="V4" s="3486" t="s">
        <v>2228</v>
      </c>
      <c r="W4" s="3486"/>
      <c r="X4" s="1486"/>
      <c r="Y4" s="3540" t="s">
        <v>2230</v>
      </c>
      <c r="Z4" s="3541"/>
      <c r="AA4" s="3535" t="s">
        <v>2226</v>
      </c>
      <c r="AB4" s="3499" t="s">
        <v>2227</v>
      </c>
      <c r="AC4" s="3535" t="s">
        <v>2228</v>
      </c>
    </row>
    <row r="5" spans="1:29" ht="15">
      <c r="A5" s="363"/>
      <c r="B5" s="364"/>
      <c r="C5" s="3495" t="s">
        <v>2121</v>
      </c>
      <c r="D5" s="3490"/>
      <c r="E5" s="3542" t="s">
        <v>2122</v>
      </c>
      <c r="F5" s="3502"/>
      <c r="G5" s="3495" t="s">
        <v>2123</v>
      </c>
      <c r="H5" s="3490"/>
      <c r="I5" s="3495" t="s">
        <v>2124</v>
      </c>
      <c r="J5" s="3490"/>
      <c r="K5" s="566"/>
      <c r="L5" s="2890"/>
      <c r="M5" s="2891"/>
      <c r="N5" s="2891"/>
      <c r="O5" s="2891"/>
      <c r="P5" s="3538"/>
      <c r="Q5" s="3476"/>
      <c r="R5" s="3481"/>
      <c r="S5" s="3482"/>
      <c r="T5" s="3481"/>
      <c r="U5" s="3482"/>
      <c r="V5" s="3486"/>
      <c r="W5" s="3486"/>
      <c r="X5" s="1486"/>
      <c r="Y5" s="3481"/>
      <c r="Z5" s="3482"/>
      <c r="AA5" s="3499"/>
      <c r="AB5" s="3499"/>
      <c r="AC5" s="3499"/>
    </row>
    <row r="6" spans="1:29" ht="15.75" thickBot="1">
      <c r="A6" s="365"/>
      <c r="B6" s="366"/>
      <c r="C6" s="3548" t="s">
        <v>2375</v>
      </c>
      <c r="D6" s="3549"/>
      <c r="E6" s="3550" t="s">
        <v>2375</v>
      </c>
      <c r="F6" s="3551"/>
      <c r="G6" s="3548" t="s">
        <v>2375</v>
      </c>
      <c r="H6" s="3549"/>
      <c r="I6" s="3548" t="s">
        <v>2375</v>
      </c>
      <c r="J6" s="3549"/>
      <c r="K6" s="566" t="s">
        <v>2126</v>
      </c>
      <c r="L6" s="2890"/>
      <c r="M6" s="2891"/>
      <c r="N6" s="2891"/>
      <c r="O6" s="2891"/>
      <c r="P6" s="3539"/>
      <c r="Q6" s="3478"/>
      <c r="R6" s="3481"/>
      <c r="S6" s="3482"/>
      <c r="T6" s="3483"/>
      <c r="U6" s="3484"/>
      <c r="V6" s="3486"/>
      <c r="W6" s="3486"/>
      <c r="X6" s="1486"/>
      <c r="Y6" s="3483"/>
      <c r="Z6" s="3484"/>
      <c r="AA6" s="3500"/>
      <c r="AB6" s="3500"/>
      <c r="AC6" s="3500"/>
    </row>
    <row r="7" spans="1:29" s="112" customFormat="1" ht="15.75" thickBot="1">
      <c r="A7" s="367" t="s">
        <v>2127</v>
      </c>
      <c r="B7" s="368"/>
      <c r="C7" s="369">
        <f>'数据-取费表'!B2</f>
        <v>44805</v>
      </c>
      <c r="D7" s="370">
        <v>100</v>
      </c>
      <c r="E7" s="371"/>
      <c r="F7" s="372">
        <f>SUMIF(65:65,YEAR(E7)&amp;"-"&amp;INT((MONTH(E7)+2)/3),66:66)</f>
        <v>0</v>
      </c>
      <c r="G7" s="2107"/>
      <c r="H7" s="370">
        <f>SUMIF(65:65,YEAR(G7)&amp;"-"&amp;INT((MONTH(G7)+2)/3),66:66)</f>
        <v>0</v>
      </c>
      <c r="I7" s="2107"/>
      <c r="J7" s="370">
        <f>SUMIF(65:65,YEAR(I7)&amp;"-"&amp;INT((MONTH(I7)+2)/3),66:66)</f>
        <v>0</v>
      </c>
      <c r="K7" s="567"/>
      <c r="L7" s="2892"/>
      <c r="M7" s="2893"/>
      <c r="N7" s="2893"/>
      <c r="O7" s="2893"/>
      <c r="P7" s="3493" t="s">
        <v>2128</v>
      </c>
      <c r="Q7" s="3494"/>
      <c r="R7" s="707" t="s">
        <v>17</v>
      </c>
      <c r="S7" s="708">
        <f t="shared" ref="S7:S15" si="0">F7</f>
        <v>0</v>
      </c>
      <c r="T7" s="707" t="s">
        <v>17</v>
      </c>
      <c r="U7" s="708">
        <f t="shared" ref="U7:U15" si="1">H7</f>
        <v>0</v>
      </c>
      <c r="V7" s="707" t="s">
        <v>17</v>
      </c>
      <c r="W7" s="708">
        <f t="shared" ref="W7:W15" si="2">J7</f>
        <v>0</v>
      </c>
      <c r="X7" s="709"/>
      <c r="Y7" s="3493" t="s">
        <v>2128</v>
      </c>
      <c r="Z7" s="3492"/>
      <c r="AA7" s="710" t="e">
        <f>D7/F7</f>
        <v>#DIV/0!</v>
      </c>
      <c r="AB7" s="710" t="e">
        <f>D7/H7</f>
        <v>#DIV/0!</v>
      </c>
      <c r="AC7" s="710" t="e">
        <f>D7/J7</f>
        <v>#DIV/0!</v>
      </c>
    </row>
    <row r="8" spans="1:29" s="112"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93" t="s">
        <v>2131</v>
      </c>
      <c r="Q8" s="3492"/>
      <c r="R8" s="707" t="s">
        <v>17</v>
      </c>
      <c r="S8" s="708">
        <f t="shared" si="0"/>
        <v>0</v>
      </c>
      <c r="T8" s="707" t="s">
        <v>17</v>
      </c>
      <c r="U8" s="708">
        <f t="shared" si="1"/>
        <v>0</v>
      </c>
      <c r="V8" s="707" t="s">
        <v>17</v>
      </c>
      <c r="W8" s="708">
        <f t="shared" si="2"/>
        <v>0</v>
      </c>
      <c r="X8" s="709"/>
      <c r="Y8" s="3493" t="s">
        <v>2131</v>
      </c>
      <c r="Z8" s="3492"/>
      <c r="AA8" s="710" t="e">
        <f t="shared" ref="AA8:AA40" si="3">D8/F8</f>
        <v>#DIV/0!</v>
      </c>
      <c r="AB8" s="710" t="e">
        <f t="shared" ref="AB8:AB40" si="4">D8/H8</f>
        <v>#DIV/0!</v>
      </c>
      <c r="AC8" s="710" t="e">
        <f t="shared" ref="AC8:AC40" si="5">D8/J8</f>
        <v>#DIV/0!</v>
      </c>
    </row>
    <row r="9" spans="1:29" s="112" customFormat="1">
      <c r="A9" s="374" t="s">
        <v>2132</v>
      </c>
      <c r="B9" s="66" t="s">
        <v>2133</v>
      </c>
      <c r="C9" s="2110"/>
      <c r="D9" s="130">
        <v>100</v>
      </c>
      <c r="E9" s="2110"/>
      <c r="F9" s="130">
        <f>SUMIF(70:70,E9,71:71)-SUMIF(70:70,C9,71:71)+100</f>
        <v>100</v>
      </c>
      <c r="G9" s="2110"/>
      <c r="H9" s="130">
        <f>SUMIF(70:70,G9,71:71)-SUMIF(70:70,C9,71:71)+100</f>
        <v>100</v>
      </c>
      <c r="I9" s="2110"/>
      <c r="J9" s="130">
        <f>SUMIF(70:70,I9,71:71)-SUMIF(70:70,C9,71:71)+100</f>
        <v>100</v>
      </c>
      <c r="K9" s="567"/>
      <c r="L9" s="2892"/>
      <c r="M9" s="2893"/>
      <c r="N9" s="2893"/>
      <c r="O9" s="2947"/>
      <c r="P9" s="3452" t="s">
        <v>2134</v>
      </c>
      <c r="Q9" s="1474" t="str">
        <f t="shared" ref="Q9:Q15" si="6">B9</f>
        <v>用途</v>
      </c>
      <c r="R9" s="707" t="s">
        <v>17</v>
      </c>
      <c r="S9" s="708">
        <f t="shared" si="0"/>
        <v>100</v>
      </c>
      <c r="T9" s="707" t="s">
        <v>17</v>
      </c>
      <c r="U9" s="708">
        <f t="shared" si="1"/>
        <v>100</v>
      </c>
      <c r="V9" s="707" t="s">
        <v>17</v>
      </c>
      <c r="W9" s="708">
        <f t="shared" si="2"/>
        <v>100</v>
      </c>
      <c r="X9" s="709"/>
      <c r="Y9" s="3355" t="s">
        <v>2135</v>
      </c>
      <c r="Z9" s="54" t="str">
        <f t="shared" ref="Z9:Z15" si="7">Q9</f>
        <v>用途</v>
      </c>
      <c r="AA9" s="710">
        <f t="shared" si="3"/>
        <v>1</v>
      </c>
      <c r="AB9" s="710">
        <f t="shared" si="4"/>
        <v>1</v>
      </c>
      <c r="AC9" s="710">
        <f t="shared" si="5"/>
        <v>1</v>
      </c>
    </row>
    <row r="10" spans="1:29" s="385" customFormat="1" ht="27">
      <c r="A10" s="379"/>
      <c r="B10" s="380" t="s">
        <v>2136</v>
      </c>
      <c r="C10" s="390"/>
      <c r="D10" s="131">
        <v>100</v>
      </c>
      <c r="E10" s="390"/>
      <c r="F10" s="131">
        <f>ROUND(100/'数据-取费表'!G16,0)</f>
        <v>121</v>
      </c>
      <c r="G10" s="390"/>
      <c r="H10" s="131">
        <f>ROUND(100/'数据-取费表'!G16,0)</f>
        <v>121</v>
      </c>
      <c r="I10" s="390"/>
      <c r="J10" s="131">
        <f>ROUND(100/'数据-取费表'!G16,0)</f>
        <v>121</v>
      </c>
      <c r="K10" s="627"/>
      <c r="L10" s="2894"/>
      <c r="M10" s="2895"/>
      <c r="N10" s="2895"/>
      <c r="O10" s="2948"/>
      <c r="P10" s="3452"/>
      <c r="Q10" s="1474" t="str">
        <f t="shared" si="6"/>
        <v>土地使用年限（年）</v>
      </c>
      <c r="R10" s="707" t="s">
        <v>17</v>
      </c>
      <c r="S10" s="708">
        <f t="shared" si="0"/>
        <v>121</v>
      </c>
      <c r="T10" s="707" t="s">
        <v>17</v>
      </c>
      <c r="U10" s="708">
        <f t="shared" si="1"/>
        <v>121</v>
      </c>
      <c r="V10" s="707" t="s">
        <v>17</v>
      </c>
      <c r="W10" s="708">
        <f t="shared" si="2"/>
        <v>121</v>
      </c>
      <c r="X10" s="709"/>
      <c r="Y10" s="3355"/>
      <c r="Z10" s="54" t="str">
        <f t="shared" si="7"/>
        <v>土地使用年限（年）</v>
      </c>
      <c r="AA10" s="710">
        <f t="shared" si="3"/>
        <v>0.82644628099173556</v>
      </c>
      <c r="AB10" s="710">
        <f t="shared" si="4"/>
        <v>0.82644628099173556</v>
      </c>
      <c r="AC10" s="710">
        <f t="shared" si="5"/>
        <v>0.82644628099173556</v>
      </c>
    </row>
    <row r="11" spans="1:29" ht="15">
      <c r="A11" s="386"/>
      <c r="B11" s="380" t="s">
        <v>2137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452"/>
      <c r="Q11" s="1474" t="str">
        <f t="shared" si="6"/>
        <v>容积率</v>
      </c>
      <c r="R11" s="707" t="s">
        <v>17</v>
      </c>
      <c r="S11" s="708" t="e">
        <f t="shared" si="0"/>
        <v>#N/A</v>
      </c>
      <c r="T11" s="707" t="s">
        <v>17</v>
      </c>
      <c r="U11" s="708" t="e">
        <f t="shared" si="1"/>
        <v>#N/A</v>
      </c>
      <c r="V11" s="707" t="s">
        <v>17</v>
      </c>
      <c r="W11" s="708" t="e">
        <f t="shared" si="2"/>
        <v>#N/A</v>
      </c>
      <c r="X11" s="709"/>
      <c r="Y11" s="3355"/>
      <c r="Z11" s="54" t="str">
        <f t="shared" si="7"/>
        <v>容积率</v>
      </c>
      <c r="AA11" s="710" t="e">
        <f t="shared" si="3"/>
        <v>#N/A</v>
      </c>
      <c r="AB11" s="710" t="e">
        <f t="shared" si="4"/>
        <v>#N/A</v>
      </c>
      <c r="AC11" s="710" t="e">
        <f t="shared" si="5"/>
        <v>#N/A</v>
      </c>
    </row>
    <row r="12" spans="1:29" s="112" customFormat="1" ht="15">
      <c r="A12" s="389"/>
      <c r="B12" s="2026">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452"/>
      <c r="Q12" s="1474">
        <f t="shared" si="6"/>
        <v>111</v>
      </c>
      <c r="R12" s="707" t="s">
        <v>17</v>
      </c>
      <c r="S12" s="708">
        <f t="shared" si="0"/>
        <v>100</v>
      </c>
      <c r="T12" s="707" t="s">
        <v>17</v>
      </c>
      <c r="U12" s="708">
        <f t="shared" si="1"/>
        <v>100</v>
      </c>
      <c r="V12" s="707" t="s">
        <v>17</v>
      </c>
      <c r="W12" s="708">
        <f t="shared" si="2"/>
        <v>100</v>
      </c>
      <c r="X12" s="709"/>
      <c r="Y12" s="3355"/>
      <c r="Z12" s="54">
        <f t="shared" si="7"/>
        <v>111</v>
      </c>
      <c r="AA12" s="710">
        <f>D12/F12</f>
        <v>1</v>
      </c>
      <c r="AB12" s="710">
        <f>D12/H12</f>
        <v>1</v>
      </c>
      <c r="AC12" s="710">
        <f>D12/J12</f>
        <v>1</v>
      </c>
    </row>
    <row r="13" spans="1:29" ht="15">
      <c r="A13" s="386"/>
      <c r="B13" s="2026">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452"/>
      <c r="Q13" s="1474">
        <f t="shared" si="6"/>
        <v>111</v>
      </c>
      <c r="R13" s="707" t="s">
        <v>17</v>
      </c>
      <c r="S13" s="708">
        <f t="shared" si="0"/>
        <v>100</v>
      </c>
      <c r="T13" s="707" t="s">
        <v>17</v>
      </c>
      <c r="U13" s="708">
        <f t="shared" si="1"/>
        <v>100</v>
      </c>
      <c r="V13" s="707" t="s">
        <v>17</v>
      </c>
      <c r="W13" s="708">
        <f t="shared" si="2"/>
        <v>100</v>
      </c>
      <c r="X13" s="709"/>
      <c r="Y13" s="3355"/>
      <c r="Z13" s="54">
        <f t="shared" si="7"/>
        <v>111</v>
      </c>
      <c r="AA13" s="710">
        <f t="shared" si="3"/>
        <v>1</v>
      </c>
      <c r="AB13" s="710">
        <f t="shared" si="4"/>
        <v>1</v>
      </c>
      <c r="AC13" s="710">
        <f t="shared" si="5"/>
        <v>1</v>
      </c>
    </row>
    <row r="14" spans="1:29" ht="15.75" thickBot="1">
      <c r="A14" s="394"/>
      <c r="B14" s="2028">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452"/>
      <c r="Q14" s="1474">
        <f t="shared" si="6"/>
        <v>111</v>
      </c>
      <c r="R14" s="707" t="s">
        <v>17</v>
      </c>
      <c r="S14" s="708">
        <f t="shared" si="0"/>
        <v>100</v>
      </c>
      <c r="T14" s="707" t="s">
        <v>17</v>
      </c>
      <c r="U14" s="708">
        <f t="shared" si="1"/>
        <v>100</v>
      </c>
      <c r="V14" s="707" t="s">
        <v>17</v>
      </c>
      <c r="W14" s="708">
        <f t="shared" si="2"/>
        <v>100</v>
      </c>
      <c r="X14" s="709"/>
      <c r="Y14" s="3355"/>
      <c r="Z14" s="54">
        <f t="shared" si="7"/>
        <v>111</v>
      </c>
      <c r="AA14" s="710">
        <f t="shared" si="3"/>
        <v>1</v>
      </c>
      <c r="AB14" s="710">
        <f t="shared" si="4"/>
        <v>1</v>
      </c>
      <c r="AC14" s="710">
        <f t="shared" si="5"/>
        <v>1</v>
      </c>
    </row>
    <row r="15" spans="1:29" ht="57">
      <c r="A15" s="398" t="s">
        <v>2138</v>
      </c>
      <c r="B15" s="584" t="s">
        <v>2376</v>
      </c>
      <c r="C15" s="210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459" t="s">
        <v>2139</v>
      </c>
      <c r="Q15" s="1483" t="str">
        <f t="shared" si="6"/>
        <v>产业集聚程度</v>
      </c>
      <c r="R15" s="711" t="s">
        <v>17</v>
      </c>
      <c r="S15" s="712">
        <f t="shared" si="0"/>
        <v>100</v>
      </c>
      <c r="T15" s="711" t="s">
        <v>17</v>
      </c>
      <c r="U15" s="712">
        <f t="shared" si="1"/>
        <v>100</v>
      </c>
      <c r="V15" s="711" t="s">
        <v>17</v>
      </c>
      <c r="W15" s="712">
        <f t="shared" si="2"/>
        <v>100</v>
      </c>
      <c r="X15" s="1486"/>
      <c r="Y15" s="3459" t="s">
        <v>2139</v>
      </c>
      <c r="Z15" s="1487" t="str">
        <f t="shared" si="7"/>
        <v>产业集聚程度</v>
      </c>
      <c r="AA15" s="1484">
        <f t="shared" si="3"/>
        <v>1</v>
      </c>
      <c r="AB15" s="1484">
        <f t="shared" si="4"/>
        <v>1</v>
      </c>
      <c r="AC15" s="1484">
        <f t="shared" si="5"/>
        <v>1</v>
      </c>
    </row>
    <row r="16" spans="1:29" ht="15">
      <c r="A16" s="386"/>
      <c r="B16" s="585"/>
      <c r="C16" s="405"/>
      <c r="D16" s="406"/>
      <c r="E16" s="2037"/>
      <c r="F16" s="406"/>
      <c r="G16" s="2037"/>
      <c r="H16" s="408"/>
      <c r="I16" s="2037"/>
      <c r="J16" s="406"/>
      <c r="K16" s="627"/>
      <c r="L16" s="2897"/>
      <c r="M16" s="2891"/>
      <c r="N16" s="2891"/>
      <c r="O16" s="2949"/>
      <c r="P16" s="3460"/>
      <c r="Q16" s="1483"/>
      <c r="R16" s="711"/>
      <c r="S16" s="712"/>
      <c r="T16" s="711"/>
      <c r="U16" s="712"/>
      <c r="V16" s="711"/>
      <c r="W16" s="712"/>
      <c r="X16" s="1486"/>
      <c r="Y16" s="3460"/>
      <c r="Z16" s="1487"/>
      <c r="AA16" s="1484">
        <v>1</v>
      </c>
      <c r="AB16" s="1484">
        <v>1</v>
      </c>
      <c r="AC16" s="1484">
        <v>1</v>
      </c>
    </row>
    <row r="17" spans="1:29" ht="85.5">
      <c r="A17" s="386"/>
      <c r="B17" s="586" t="s">
        <v>2288</v>
      </c>
      <c r="C17" s="203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460"/>
      <c r="Q17" s="1483" t="str">
        <f>B17</f>
        <v>交通便捷度</v>
      </c>
      <c r="R17" s="711" t="s">
        <v>17</v>
      </c>
      <c r="S17" s="712">
        <f>F17</f>
        <v>100</v>
      </c>
      <c r="T17" s="711" t="s">
        <v>17</v>
      </c>
      <c r="U17" s="712">
        <f>H17</f>
        <v>100</v>
      </c>
      <c r="V17" s="711" t="s">
        <v>17</v>
      </c>
      <c r="W17" s="712">
        <f>J17</f>
        <v>100</v>
      </c>
      <c r="X17" s="1486"/>
      <c r="Y17" s="3460"/>
      <c r="Z17" s="1487" t="str">
        <f>Q17</f>
        <v>交通便捷度</v>
      </c>
      <c r="AA17" s="1484">
        <f t="shared" si="3"/>
        <v>1</v>
      </c>
      <c r="AB17" s="1484">
        <f t="shared" si="4"/>
        <v>1</v>
      </c>
      <c r="AC17" s="1484">
        <f t="shared" si="5"/>
        <v>1</v>
      </c>
    </row>
    <row r="18" spans="1:29" ht="15">
      <c r="A18" s="386"/>
      <c r="B18" s="587"/>
      <c r="C18" s="405"/>
      <c r="D18" s="406"/>
      <c r="E18" s="2031"/>
      <c r="F18" s="406"/>
      <c r="G18" s="2031"/>
      <c r="H18" s="406"/>
      <c r="I18" s="2030"/>
      <c r="J18" s="406"/>
      <c r="K18" s="627"/>
      <c r="L18" s="2897"/>
      <c r="M18" s="2891"/>
      <c r="N18" s="2891"/>
      <c r="O18" s="2949"/>
      <c r="P18" s="3460"/>
      <c r="Q18" s="1483"/>
      <c r="R18" s="711"/>
      <c r="S18" s="712"/>
      <c r="T18" s="711"/>
      <c r="U18" s="712"/>
      <c r="V18" s="711"/>
      <c r="W18" s="712"/>
      <c r="X18" s="1486"/>
      <c r="Y18" s="3460"/>
      <c r="Z18" s="1487"/>
      <c r="AA18" s="1484">
        <v>1</v>
      </c>
      <c r="AB18" s="1484">
        <v>1</v>
      </c>
      <c r="AC18" s="1484">
        <v>1</v>
      </c>
    </row>
    <row r="19" spans="1:29" ht="15">
      <c r="A19" s="386"/>
      <c r="B19" s="586" t="s">
        <v>2327</v>
      </c>
      <c r="C19" s="203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460"/>
      <c r="Q19" s="1483" t="str">
        <f t="shared" ref="Q19:Q33" si="8">B19</f>
        <v>区域土地利用方向</v>
      </c>
      <c r="R19" s="711" t="s">
        <v>17</v>
      </c>
      <c r="S19" s="712">
        <f>F19</f>
        <v>100</v>
      </c>
      <c r="T19" s="711" t="s">
        <v>17</v>
      </c>
      <c r="U19" s="712">
        <f>H19</f>
        <v>100</v>
      </c>
      <c r="V19" s="711" t="s">
        <v>17</v>
      </c>
      <c r="W19" s="712">
        <f>J19</f>
        <v>100</v>
      </c>
      <c r="X19" s="1486"/>
      <c r="Y19" s="3460"/>
      <c r="Z19" s="1487" t="str">
        <f>Q19</f>
        <v>区域土地利用方向</v>
      </c>
      <c r="AA19" s="1484">
        <f t="shared" si="3"/>
        <v>1</v>
      </c>
      <c r="AB19" s="1484">
        <f t="shared" si="4"/>
        <v>1</v>
      </c>
      <c r="AC19" s="1484">
        <f t="shared" si="5"/>
        <v>1</v>
      </c>
    </row>
    <row r="20" spans="1:29" ht="15">
      <c r="A20" s="363"/>
      <c r="B20" s="587"/>
      <c r="C20" s="405"/>
      <c r="D20" s="406"/>
      <c r="E20" s="2031"/>
      <c r="F20" s="406"/>
      <c r="G20" s="2031"/>
      <c r="H20" s="406"/>
      <c r="I20" s="2031"/>
      <c r="J20" s="406"/>
      <c r="K20" s="748"/>
      <c r="L20" s="2897"/>
      <c r="M20" s="2891"/>
      <c r="N20" s="2891"/>
      <c r="O20" s="2949"/>
      <c r="P20" s="3460"/>
      <c r="Q20" s="1483"/>
      <c r="R20" s="711"/>
      <c r="S20" s="712"/>
      <c r="T20" s="711"/>
      <c r="U20" s="712"/>
      <c r="V20" s="711"/>
      <c r="W20" s="712"/>
      <c r="X20" s="1486"/>
      <c r="Y20" s="3460"/>
      <c r="Z20" s="1487"/>
      <c r="AA20" s="1484"/>
      <c r="AB20" s="1484"/>
      <c r="AC20" s="1484"/>
    </row>
    <row r="21" spans="1:29" ht="71.25">
      <c r="A21" s="363"/>
      <c r="B21" s="586" t="s">
        <v>2377</v>
      </c>
      <c r="C21" s="203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460"/>
      <c r="Q21" s="1483" t="str">
        <f t="shared" si="8"/>
        <v>环境状况</v>
      </c>
      <c r="R21" s="711" t="s">
        <v>17</v>
      </c>
      <c r="S21" s="712">
        <f>F21</f>
        <v>100</v>
      </c>
      <c r="T21" s="711" t="s">
        <v>17</v>
      </c>
      <c r="U21" s="712">
        <f>H21</f>
        <v>100</v>
      </c>
      <c r="V21" s="711" t="s">
        <v>17</v>
      </c>
      <c r="W21" s="712">
        <f>J21</f>
        <v>100</v>
      </c>
      <c r="X21" s="1486"/>
      <c r="Y21" s="3460"/>
      <c r="Z21" s="1487" t="str">
        <f>Q21</f>
        <v>环境状况</v>
      </c>
      <c r="AA21" s="1484">
        <f t="shared" si="3"/>
        <v>1</v>
      </c>
      <c r="AB21" s="1484">
        <f t="shared" si="4"/>
        <v>1</v>
      </c>
      <c r="AC21" s="1484">
        <f t="shared" si="5"/>
        <v>1</v>
      </c>
    </row>
    <row r="22" spans="1:29" ht="15">
      <c r="A22" s="363"/>
      <c r="B22" s="587"/>
      <c r="C22" s="405"/>
      <c r="D22" s="406"/>
      <c r="E22" s="2037"/>
      <c r="F22" s="406"/>
      <c r="G22" s="2037"/>
      <c r="H22" s="406"/>
      <c r="I22" s="405"/>
      <c r="J22" s="406"/>
      <c r="K22" s="627"/>
      <c r="L22" s="2897"/>
      <c r="M22" s="2891"/>
      <c r="N22" s="2891"/>
      <c r="O22" s="2949"/>
      <c r="P22" s="3460"/>
      <c r="Q22" s="1483"/>
      <c r="R22" s="711"/>
      <c r="S22" s="712"/>
      <c r="T22" s="711"/>
      <c r="U22" s="712"/>
      <c r="V22" s="711"/>
      <c r="W22" s="712"/>
      <c r="X22" s="1486"/>
      <c r="Y22" s="3460"/>
      <c r="Z22" s="1487"/>
      <c r="AA22" s="1484">
        <v>1</v>
      </c>
      <c r="AB22" s="1484">
        <v>1</v>
      </c>
      <c r="AC22" s="1484">
        <v>1</v>
      </c>
    </row>
    <row r="23" spans="1:29" s="112" customFormat="1" ht="42.75">
      <c r="A23" s="604"/>
      <c r="B23" s="588" t="s">
        <v>2233</v>
      </c>
      <c r="C23" s="203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460"/>
      <c r="Q23" s="1474" t="str">
        <f t="shared" si="8"/>
        <v>公共配套设施</v>
      </c>
      <c r="R23" s="707" t="s">
        <v>17</v>
      </c>
      <c r="S23" s="708">
        <f>F23</f>
        <v>100</v>
      </c>
      <c r="T23" s="707" t="s">
        <v>17</v>
      </c>
      <c r="U23" s="708">
        <f>H23</f>
        <v>100</v>
      </c>
      <c r="V23" s="707" t="s">
        <v>17</v>
      </c>
      <c r="W23" s="708">
        <f>J23</f>
        <v>100</v>
      </c>
      <c r="X23" s="709"/>
      <c r="Y23" s="3460"/>
      <c r="Z23" s="54" t="str">
        <f>Q23</f>
        <v>公共配套设施</v>
      </c>
      <c r="AA23" s="1484">
        <f>D23/F23</f>
        <v>1</v>
      </c>
      <c r="AB23" s="1484">
        <f>D23/H23</f>
        <v>1</v>
      </c>
      <c r="AC23" s="1484">
        <f>D23/J23</f>
        <v>1</v>
      </c>
    </row>
    <row r="24" spans="1:29" s="112" customFormat="1" ht="15">
      <c r="A24" s="604"/>
      <c r="B24" s="587"/>
      <c r="C24" s="2111"/>
      <c r="D24" s="406"/>
      <c r="E24" s="2037"/>
      <c r="F24" s="406"/>
      <c r="G24" s="2037"/>
      <c r="H24" s="406"/>
      <c r="I24" s="405"/>
      <c r="J24" s="406"/>
      <c r="K24" s="627"/>
      <c r="L24" s="2892"/>
      <c r="M24" s="2893"/>
      <c r="N24" s="2893"/>
      <c r="O24" s="2947"/>
      <c r="P24" s="3460"/>
      <c r="Q24" s="1474"/>
      <c r="R24" s="707"/>
      <c r="S24" s="708"/>
      <c r="T24" s="707"/>
      <c r="U24" s="708"/>
      <c r="V24" s="707"/>
      <c r="W24" s="708"/>
      <c r="X24" s="709"/>
      <c r="Y24" s="3460"/>
      <c r="Z24" s="54"/>
      <c r="AA24" s="710">
        <v>1</v>
      </c>
      <c r="AB24" s="710">
        <v>1</v>
      </c>
      <c r="AC24" s="710">
        <v>1</v>
      </c>
    </row>
    <row r="25" spans="1:29" s="112" customFormat="1" ht="28.5">
      <c r="A25" s="604"/>
      <c r="B25" s="588" t="s">
        <v>2234</v>
      </c>
      <c r="C25" s="203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460"/>
      <c r="Q25" s="1474" t="str">
        <f t="shared" ref="Q25" si="9">B25</f>
        <v>基础设施水平</v>
      </c>
      <c r="R25" s="707" t="s">
        <v>17</v>
      </c>
      <c r="S25" s="708">
        <f>F25</f>
        <v>100</v>
      </c>
      <c r="T25" s="707" t="s">
        <v>17</v>
      </c>
      <c r="U25" s="708">
        <f>H25</f>
        <v>100</v>
      </c>
      <c r="V25" s="707" t="s">
        <v>17</v>
      </c>
      <c r="W25" s="708">
        <f>J25</f>
        <v>100</v>
      </c>
      <c r="X25" s="709"/>
      <c r="Y25" s="3460"/>
      <c r="Z25" s="54" t="str">
        <f>Q25</f>
        <v>基础设施水平</v>
      </c>
      <c r="AA25" s="1484">
        <f>D25/F25</f>
        <v>1</v>
      </c>
      <c r="AB25" s="1484">
        <f>D25/H25</f>
        <v>1</v>
      </c>
      <c r="AC25" s="1484">
        <f>D25/J25</f>
        <v>1</v>
      </c>
    </row>
    <row r="26" spans="1:29" s="112" customFormat="1" ht="15">
      <c r="A26" s="604"/>
      <c r="B26" s="587"/>
      <c r="C26" s="2111"/>
      <c r="D26" s="406"/>
      <c r="E26" s="2112"/>
      <c r="F26" s="406"/>
      <c r="G26" s="2112"/>
      <c r="H26" s="406"/>
      <c r="I26" s="2112"/>
      <c r="J26" s="406"/>
      <c r="K26" s="627"/>
      <c r="L26" s="2892"/>
      <c r="M26" s="2893"/>
      <c r="N26" s="2893"/>
      <c r="O26" s="2947"/>
      <c r="P26" s="3460"/>
      <c r="Q26" s="1474"/>
      <c r="R26" s="707"/>
      <c r="S26" s="708"/>
      <c r="T26" s="707"/>
      <c r="U26" s="708"/>
      <c r="V26" s="707"/>
      <c r="W26" s="708"/>
      <c r="X26" s="709"/>
      <c r="Y26" s="3460"/>
      <c r="Z26" s="54"/>
      <c r="AA26" s="710">
        <v>1</v>
      </c>
      <c r="AB26" s="710">
        <v>1</v>
      </c>
      <c r="AC26" s="710">
        <v>1</v>
      </c>
    </row>
    <row r="27" spans="1:29" ht="15">
      <c r="A27" s="386"/>
      <c r="B27" s="587" t="s">
        <v>2235</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460"/>
      <c r="Q27" s="1483" t="str">
        <f t="shared" si="8"/>
        <v>临街状况</v>
      </c>
      <c r="R27" s="711" t="s">
        <v>17</v>
      </c>
      <c r="S27" s="712">
        <f t="shared" ref="S27:S40" si="10">F27</f>
        <v>100</v>
      </c>
      <c r="T27" s="711" t="s">
        <v>17</v>
      </c>
      <c r="U27" s="712">
        <f t="shared" ref="U27:U40" si="11">H27</f>
        <v>100</v>
      </c>
      <c r="V27" s="711" t="s">
        <v>17</v>
      </c>
      <c r="W27" s="712">
        <f t="shared" ref="W27:W40" si="12">J27</f>
        <v>100</v>
      </c>
      <c r="X27" s="1486"/>
      <c r="Y27" s="3460"/>
      <c r="Z27" s="1487" t="str">
        <f t="shared" ref="Z27:Z40" si="13">Q27</f>
        <v>临街状况</v>
      </c>
      <c r="AA27" s="1484">
        <f t="shared" si="3"/>
        <v>1</v>
      </c>
      <c r="AB27" s="1484">
        <f t="shared" si="4"/>
        <v>1</v>
      </c>
      <c r="AC27" s="1484">
        <f t="shared" si="5"/>
        <v>1</v>
      </c>
    </row>
    <row r="28" spans="1:29" ht="27">
      <c r="A28" s="386"/>
      <c r="B28" s="588" t="s">
        <v>2270</v>
      </c>
      <c r="C28" s="212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460"/>
      <c r="Q28" s="1483" t="str">
        <f t="shared" si="8"/>
        <v>毗邻道路的类型与等级</v>
      </c>
      <c r="R28" s="711" t="s">
        <v>17</v>
      </c>
      <c r="S28" s="712">
        <f t="shared" si="10"/>
        <v>100</v>
      </c>
      <c r="T28" s="711" t="s">
        <v>17</v>
      </c>
      <c r="U28" s="712">
        <f t="shared" si="11"/>
        <v>100</v>
      </c>
      <c r="V28" s="711" t="s">
        <v>17</v>
      </c>
      <c r="W28" s="712">
        <f t="shared" si="12"/>
        <v>100</v>
      </c>
      <c r="X28" s="1486"/>
      <c r="Y28" s="3460"/>
      <c r="Z28" s="1487" t="str">
        <f t="shared" si="13"/>
        <v>毗邻道路的类型与等级</v>
      </c>
      <c r="AA28" s="1484">
        <f t="shared" si="3"/>
        <v>1</v>
      </c>
      <c r="AB28" s="1484">
        <f t="shared" si="4"/>
        <v>1</v>
      </c>
      <c r="AC28" s="1484">
        <f t="shared" si="5"/>
        <v>1</v>
      </c>
    </row>
    <row r="29" spans="1:29" ht="15">
      <c r="A29" s="386"/>
      <c r="B29" s="587"/>
      <c r="C29" s="405"/>
      <c r="D29" s="406"/>
      <c r="E29" s="2037"/>
      <c r="F29" s="406"/>
      <c r="G29" s="2037"/>
      <c r="H29" s="406"/>
      <c r="I29" s="2037"/>
      <c r="J29" s="406"/>
      <c r="K29" s="569"/>
      <c r="L29" s="2897"/>
      <c r="M29" s="2891"/>
      <c r="N29" s="2891"/>
      <c r="O29" s="2949"/>
      <c r="P29" s="3460"/>
      <c r="Q29" s="1483"/>
      <c r="R29" s="711"/>
      <c r="S29" s="712"/>
      <c r="T29" s="711"/>
      <c r="U29" s="712"/>
      <c r="V29" s="711"/>
      <c r="W29" s="712"/>
      <c r="X29" s="1486"/>
      <c r="Y29" s="3460"/>
      <c r="Z29" s="1487"/>
      <c r="AA29" s="1484">
        <v>1</v>
      </c>
      <c r="AB29" s="1484">
        <v>1</v>
      </c>
      <c r="AC29" s="1484">
        <v>1</v>
      </c>
    </row>
    <row r="30" spans="1:29" ht="15">
      <c r="A30" s="386"/>
      <c r="B30" s="609" t="s">
        <v>2329</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460"/>
      <c r="Q30" s="1483" t="str">
        <f t="shared" si="8"/>
        <v>土地级别</v>
      </c>
      <c r="R30" s="711" t="s">
        <v>17</v>
      </c>
      <c r="S30" s="712">
        <f t="shared" si="10"/>
        <v>100</v>
      </c>
      <c r="T30" s="711" t="s">
        <v>17</v>
      </c>
      <c r="U30" s="712">
        <f t="shared" si="11"/>
        <v>100</v>
      </c>
      <c r="V30" s="711" t="s">
        <v>17</v>
      </c>
      <c r="W30" s="712">
        <f t="shared" si="12"/>
        <v>100</v>
      </c>
      <c r="X30" s="1486"/>
      <c r="Y30" s="3460"/>
      <c r="Z30" s="1487" t="str">
        <f t="shared" si="13"/>
        <v>土地级别</v>
      </c>
      <c r="AA30" s="1484">
        <f t="shared" si="3"/>
        <v>1</v>
      </c>
      <c r="AB30" s="1484">
        <f t="shared" si="4"/>
        <v>1</v>
      </c>
      <c r="AC30" s="1484">
        <f t="shared" si="5"/>
        <v>1</v>
      </c>
    </row>
    <row r="31" spans="1:29" ht="15">
      <c r="A31" s="363"/>
      <c r="B31" s="209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460"/>
      <c r="Q31" s="1483">
        <f t="shared" si="8"/>
        <v>111</v>
      </c>
      <c r="R31" s="711" t="s">
        <v>17</v>
      </c>
      <c r="S31" s="712">
        <f t="shared" si="10"/>
        <v>100</v>
      </c>
      <c r="T31" s="711" t="s">
        <v>17</v>
      </c>
      <c r="U31" s="712">
        <f t="shared" si="11"/>
        <v>100</v>
      </c>
      <c r="V31" s="711" t="s">
        <v>17</v>
      </c>
      <c r="W31" s="712">
        <f t="shared" si="12"/>
        <v>100</v>
      </c>
      <c r="X31" s="1486"/>
      <c r="Y31" s="3460"/>
      <c r="Z31" s="1487">
        <f t="shared" si="13"/>
        <v>111</v>
      </c>
      <c r="AA31" s="1484">
        <f t="shared" si="3"/>
        <v>1</v>
      </c>
      <c r="AB31" s="1484">
        <f t="shared" si="4"/>
        <v>1</v>
      </c>
      <c r="AC31" s="1484">
        <f t="shared" si="5"/>
        <v>1</v>
      </c>
    </row>
    <row r="32" spans="1:29" ht="15">
      <c r="A32" s="630"/>
      <c r="B32" s="212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43" t="s">
        <v>2144</v>
      </c>
      <c r="Q32" s="1483">
        <f t="shared" si="8"/>
        <v>111</v>
      </c>
      <c r="R32" s="711" t="s">
        <v>17</v>
      </c>
      <c r="S32" s="712">
        <f t="shared" si="10"/>
        <v>100</v>
      </c>
      <c r="T32" s="711" t="s">
        <v>17</v>
      </c>
      <c r="U32" s="712">
        <f t="shared" si="11"/>
        <v>100</v>
      </c>
      <c r="V32" s="711" t="s">
        <v>17</v>
      </c>
      <c r="W32" s="712">
        <f t="shared" si="12"/>
        <v>100</v>
      </c>
      <c r="X32" s="1486"/>
      <c r="Y32" s="3464" t="s">
        <v>2144</v>
      </c>
      <c r="Z32" s="1487">
        <f t="shared" si="13"/>
        <v>111</v>
      </c>
      <c r="AA32" s="1484">
        <f t="shared" si="3"/>
        <v>1</v>
      </c>
      <c r="AB32" s="1484">
        <f t="shared" si="4"/>
        <v>1</v>
      </c>
      <c r="AC32" s="1484">
        <f t="shared" si="5"/>
        <v>1</v>
      </c>
    </row>
    <row r="33" spans="1:31" s="429" customFormat="1" ht="15.75" thickBot="1">
      <c r="A33" s="631"/>
      <c r="B33" s="212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464"/>
      <c r="Q33" s="1483">
        <f t="shared" si="8"/>
        <v>111</v>
      </c>
      <c r="R33" s="714" t="s">
        <v>17</v>
      </c>
      <c r="S33" s="715">
        <f t="shared" si="10"/>
        <v>100</v>
      </c>
      <c r="T33" s="714" t="s">
        <v>17</v>
      </c>
      <c r="U33" s="715">
        <f t="shared" si="11"/>
        <v>100</v>
      </c>
      <c r="V33" s="714" t="s">
        <v>17</v>
      </c>
      <c r="W33" s="715">
        <f t="shared" si="12"/>
        <v>100</v>
      </c>
      <c r="X33" s="716"/>
      <c r="Y33" s="3464"/>
      <c r="Z33" s="717">
        <f t="shared" si="13"/>
        <v>111</v>
      </c>
      <c r="AA33" s="1484">
        <f t="shared" si="3"/>
        <v>1</v>
      </c>
      <c r="AB33" s="1484">
        <f t="shared" si="4"/>
        <v>1</v>
      </c>
      <c r="AC33" s="1484">
        <f t="shared" si="5"/>
        <v>1</v>
      </c>
    </row>
    <row r="34" spans="1:31" ht="15">
      <c r="A34" s="398" t="s">
        <v>2142</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464"/>
      <c r="Q34" s="1483" t="str">
        <f>B34</f>
        <v>宗地面积</v>
      </c>
      <c r="R34" s="711" t="s">
        <v>17</v>
      </c>
      <c r="S34" s="712" t="e">
        <f t="shared" si="10"/>
        <v>#N/A</v>
      </c>
      <c r="T34" s="711" t="s">
        <v>17</v>
      </c>
      <c r="U34" s="712" t="e">
        <f t="shared" si="11"/>
        <v>#N/A</v>
      </c>
      <c r="V34" s="711" t="s">
        <v>17</v>
      </c>
      <c r="W34" s="712" t="e">
        <f t="shared" si="12"/>
        <v>#N/A</v>
      </c>
      <c r="X34" s="1486"/>
      <c r="Y34" s="3464"/>
      <c r="Z34" s="1487" t="str">
        <f t="shared" si="13"/>
        <v>宗地面积</v>
      </c>
      <c r="AA34" s="1484" t="e">
        <f t="shared" si="3"/>
        <v>#N/A</v>
      </c>
      <c r="AB34" s="1484" t="e">
        <f t="shared" si="4"/>
        <v>#N/A</v>
      </c>
      <c r="AC34" s="1484" t="e">
        <f t="shared" si="5"/>
        <v>#N/A</v>
      </c>
    </row>
    <row r="35" spans="1:31" ht="15">
      <c r="A35" s="430"/>
      <c r="B35" s="380" t="s">
        <v>2331</v>
      </c>
      <c r="C35" s="2039"/>
      <c r="D35" s="393">
        <v>100</v>
      </c>
      <c r="E35" s="2039"/>
      <c r="F35" s="393">
        <f>SUMIF(110:110,E35,111:111)-SUMIF(110:110,C35,111:111)+100</f>
        <v>100</v>
      </c>
      <c r="G35" s="2039"/>
      <c r="H35" s="393">
        <f>SUMIF(110:110,G35,111:111)-SUMIF(110:110,C35,111:111)+100</f>
        <v>100</v>
      </c>
      <c r="I35" s="2039"/>
      <c r="J35" s="393">
        <f>SUMIF(110:110,I35,111:111)-SUMIF(110:110,C35,111:111)+100</f>
        <v>100</v>
      </c>
      <c r="K35" s="568"/>
      <c r="L35" s="2897"/>
      <c r="M35" s="2891"/>
      <c r="N35" s="2891"/>
      <c r="O35" s="2949"/>
      <c r="P35" s="3464"/>
      <c r="Q35" s="1483" t="str">
        <f t="shared" ref="Q35:Q40" si="14">B35</f>
        <v>宗地形状</v>
      </c>
      <c r="R35" s="711" t="s">
        <v>17</v>
      </c>
      <c r="S35" s="712">
        <f t="shared" si="10"/>
        <v>100</v>
      </c>
      <c r="T35" s="711" t="s">
        <v>17</v>
      </c>
      <c r="U35" s="712">
        <f t="shared" si="11"/>
        <v>100</v>
      </c>
      <c r="V35" s="711" t="s">
        <v>17</v>
      </c>
      <c r="W35" s="712">
        <f t="shared" si="12"/>
        <v>100</v>
      </c>
      <c r="X35" s="1486"/>
      <c r="Y35" s="3464"/>
      <c r="Z35" s="1487" t="str">
        <f t="shared" si="13"/>
        <v>宗地形状</v>
      </c>
      <c r="AA35" s="1484">
        <f t="shared" si="3"/>
        <v>1</v>
      </c>
      <c r="AB35" s="1484">
        <f t="shared" si="4"/>
        <v>1</v>
      </c>
      <c r="AC35" s="1484">
        <f t="shared" si="5"/>
        <v>1</v>
      </c>
    </row>
    <row r="36" spans="1:31" s="112" customFormat="1" ht="15">
      <c r="A36" s="431"/>
      <c r="B36" s="380" t="s">
        <v>2333</v>
      </c>
      <c r="C36" s="2113"/>
      <c r="D36" s="131">
        <v>100</v>
      </c>
      <c r="E36" s="2113"/>
      <c r="F36" s="393">
        <f>SUMIF(112:112,E36,113:113)-SUMIF(112:112,C36,113:113)+100</f>
        <v>100</v>
      </c>
      <c r="G36" s="2113"/>
      <c r="H36" s="393">
        <f>SUMIF(112:112,G36,113:113)-SUMIF(112:112,C36,113:113)+100</f>
        <v>100</v>
      </c>
      <c r="I36" s="2113"/>
      <c r="J36" s="393">
        <f>SUMIF(112:112,I36,113:113)-SUMIF(112:112,C36,113:113)+100</f>
        <v>100</v>
      </c>
      <c r="K36" s="568"/>
      <c r="L36" s="2892"/>
      <c r="M36" s="2893"/>
      <c r="N36" s="2893"/>
      <c r="O36" s="2947"/>
      <c r="P36" s="3464"/>
      <c r="Q36" s="1483" t="str">
        <f t="shared" si="14"/>
        <v>宗地开发程度</v>
      </c>
      <c r="R36" s="707" t="s">
        <v>17</v>
      </c>
      <c r="S36" s="708">
        <f t="shared" si="10"/>
        <v>100</v>
      </c>
      <c r="T36" s="707" t="s">
        <v>17</v>
      </c>
      <c r="U36" s="708">
        <f t="shared" si="11"/>
        <v>100</v>
      </c>
      <c r="V36" s="707" t="s">
        <v>17</v>
      </c>
      <c r="W36" s="708">
        <f t="shared" si="12"/>
        <v>100</v>
      </c>
      <c r="X36" s="709"/>
      <c r="Y36" s="3464"/>
      <c r="Z36" s="54" t="str">
        <f t="shared" si="13"/>
        <v>宗地开发程度</v>
      </c>
      <c r="AA36" s="710">
        <f t="shared" si="3"/>
        <v>1</v>
      </c>
      <c r="AB36" s="710">
        <f t="shared" si="4"/>
        <v>1</v>
      </c>
      <c r="AC36" s="710">
        <f t="shared" si="5"/>
        <v>1</v>
      </c>
    </row>
    <row r="37" spans="1:31" ht="15">
      <c r="A37" s="430"/>
      <c r="B37" s="380" t="s">
        <v>2334</v>
      </c>
      <c r="C37" s="2039"/>
      <c r="D37" s="393">
        <v>100</v>
      </c>
      <c r="E37" s="2039"/>
      <c r="F37" s="393">
        <f>SUMIF(114:114,E37,115:115)-SUMIF(114:114,C37,115:115)+100</f>
        <v>100</v>
      </c>
      <c r="G37" s="2039"/>
      <c r="H37" s="393">
        <f>SUMIF(114:114,G37,115:115)-SUMIF(114:114,C37,115:115)+100</f>
        <v>100</v>
      </c>
      <c r="I37" s="2039"/>
      <c r="J37" s="393">
        <f>SUMIF(114:114,I37,115:115)-SUMIF(114:114,C37,115:115)+100</f>
        <v>100</v>
      </c>
      <c r="K37" s="568"/>
      <c r="L37" s="2897"/>
      <c r="M37" s="2891"/>
      <c r="N37" s="2891"/>
      <c r="O37" s="2949"/>
      <c r="P37" s="3464" t="s">
        <v>2144</v>
      </c>
      <c r="Q37" s="1483" t="str">
        <f t="shared" si="14"/>
        <v>工程地质条件</v>
      </c>
      <c r="R37" s="711" t="s">
        <v>17</v>
      </c>
      <c r="S37" s="712">
        <f t="shared" si="10"/>
        <v>100</v>
      </c>
      <c r="T37" s="711" t="s">
        <v>17</v>
      </c>
      <c r="U37" s="712">
        <f t="shared" si="11"/>
        <v>100</v>
      </c>
      <c r="V37" s="711" t="s">
        <v>17</v>
      </c>
      <c r="W37" s="712">
        <f t="shared" si="12"/>
        <v>100</v>
      </c>
      <c r="X37" s="1486"/>
      <c r="Y37" s="3464" t="s">
        <v>2144</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464"/>
      <c r="Q38" s="1483">
        <f t="shared" si="14"/>
        <v>111</v>
      </c>
      <c r="R38" s="711" t="s">
        <v>17</v>
      </c>
      <c r="S38" s="712">
        <f t="shared" si="10"/>
        <v>100</v>
      </c>
      <c r="T38" s="711" t="s">
        <v>17</v>
      </c>
      <c r="U38" s="712">
        <f t="shared" si="11"/>
        <v>100</v>
      </c>
      <c r="V38" s="711" t="s">
        <v>17</v>
      </c>
      <c r="W38" s="712">
        <f t="shared" si="12"/>
        <v>100</v>
      </c>
      <c r="X38" s="1486"/>
      <c r="Y38" s="3464"/>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464"/>
      <c r="Q39" s="1483">
        <f t="shared" si="14"/>
        <v>111</v>
      </c>
      <c r="R39" s="711" t="s">
        <v>17</v>
      </c>
      <c r="S39" s="712">
        <f t="shared" si="10"/>
        <v>100</v>
      </c>
      <c r="T39" s="711" t="s">
        <v>17</v>
      </c>
      <c r="U39" s="712">
        <f t="shared" si="11"/>
        <v>100</v>
      </c>
      <c r="V39" s="711" t="s">
        <v>17</v>
      </c>
      <c r="W39" s="712">
        <f t="shared" si="12"/>
        <v>100</v>
      </c>
      <c r="X39" s="1486"/>
      <c r="Y39" s="3464"/>
      <c r="Z39" s="1487">
        <f t="shared" si="13"/>
        <v>111</v>
      </c>
      <c r="AA39" s="1484">
        <f t="shared" si="3"/>
        <v>1</v>
      </c>
      <c r="AB39" s="1484">
        <f t="shared" si="4"/>
        <v>1</v>
      </c>
      <c r="AC39" s="1484">
        <f t="shared" si="5"/>
        <v>1</v>
      </c>
    </row>
    <row r="40" spans="1:31" s="429" customFormat="1" ht="15.75" thickBot="1">
      <c r="A40" s="426"/>
      <c r="B40" s="1245">
        <v>111</v>
      </c>
      <c r="C40" s="2114"/>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464"/>
      <c r="Q40" s="1483">
        <f t="shared" si="14"/>
        <v>111</v>
      </c>
      <c r="R40" s="714" t="s">
        <v>17</v>
      </c>
      <c r="S40" s="715">
        <f t="shared" si="10"/>
        <v>100</v>
      </c>
      <c r="T40" s="714" t="s">
        <v>17</v>
      </c>
      <c r="U40" s="715">
        <f t="shared" si="11"/>
        <v>100</v>
      </c>
      <c r="V40" s="714" t="s">
        <v>17</v>
      </c>
      <c r="W40" s="715">
        <f t="shared" si="12"/>
        <v>100</v>
      </c>
      <c r="X40" s="716"/>
      <c r="Y40" s="3464"/>
      <c r="Z40" s="717">
        <f t="shared" si="13"/>
        <v>111</v>
      </c>
      <c r="AA40" s="1484">
        <f t="shared" si="3"/>
        <v>1</v>
      </c>
      <c r="AB40" s="1484">
        <f t="shared" si="4"/>
        <v>1</v>
      </c>
      <c r="AC40" s="1484">
        <f t="shared" si="5"/>
        <v>1</v>
      </c>
    </row>
    <row r="41" spans="1:31" ht="15">
      <c r="A41" s="437" t="s">
        <v>2299</v>
      </c>
      <c r="B41" s="2115" t="s">
        <v>2378</v>
      </c>
      <c r="C41" s="637" t="s">
        <v>1</v>
      </c>
      <c r="D41" s="439"/>
      <c r="E41" s="440"/>
      <c r="F41" s="441"/>
      <c r="G41" s="442"/>
      <c r="H41" s="443"/>
      <c r="I41" s="440"/>
      <c r="J41" s="443"/>
      <c r="K41" s="720"/>
      <c r="L41" s="2899"/>
      <c r="M41" s="2891"/>
      <c r="N41" s="2891"/>
      <c r="O41" s="2900"/>
      <c r="P41" s="3452" t="str">
        <f>A41</f>
        <v>成交单价</v>
      </c>
      <c r="Q41" s="3452"/>
      <c r="R41" s="3486">
        <f>E41</f>
        <v>0</v>
      </c>
      <c r="S41" s="3486"/>
      <c r="T41" s="3486">
        <f>G41</f>
        <v>0</v>
      </c>
      <c r="U41" s="3486"/>
      <c r="V41" s="3486">
        <f>I41</f>
        <v>0</v>
      </c>
      <c r="W41" s="3486"/>
      <c r="X41" s="696"/>
      <c r="Y41" s="718"/>
      <c r="Z41" s="696"/>
      <c r="AA41" s="696"/>
      <c r="AB41" s="696"/>
      <c r="AC41" s="696"/>
    </row>
    <row r="42" spans="1:31" ht="15.75" thickBot="1">
      <c r="A42" s="444" t="s">
        <v>2248</v>
      </c>
      <c r="B42" s="638"/>
      <c r="C42" s="447" t="e">
        <f>R43</f>
        <v>#DIV/0!</v>
      </c>
      <c r="D42" s="2485" t="s">
        <v>2637</v>
      </c>
      <c r="E42" s="447" t="e">
        <f>R42</f>
        <v>#DIV/0!</v>
      </c>
      <c r="F42" s="2486"/>
      <c r="G42" s="446" t="e">
        <f>T42</f>
        <v>#DIV/0!</v>
      </c>
      <c r="H42" s="2486"/>
      <c r="I42" s="447" t="e">
        <f>V42</f>
        <v>#DIV/0!</v>
      </c>
      <c r="J42" s="2486"/>
      <c r="K42" s="2488">
        <f>F42+H42+J42</f>
        <v>0</v>
      </c>
      <c r="L42" s="2899"/>
      <c r="M42" s="2891"/>
      <c r="N42" s="2891"/>
      <c r="O42" s="2900"/>
      <c r="P42" s="3452" t="str">
        <f>A42</f>
        <v>比较价值（元/平方米）</v>
      </c>
      <c r="Q42" s="3452"/>
      <c r="R42" s="3545" t="e">
        <f>ROUND(PRODUCT(R41,AA7:AA40),0)</f>
        <v>#DIV/0!</v>
      </c>
      <c r="S42" s="3545"/>
      <c r="T42" s="3545" t="e">
        <f>ROUND(PRODUCT(T41,AB7:AB40),0)</f>
        <v>#DIV/0!</v>
      </c>
      <c r="U42" s="3545"/>
      <c r="V42" s="3545" t="e">
        <f>ROUND(PRODUCT(V41,AC7:AC40),0)</f>
        <v>#DIV/0!</v>
      </c>
      <c r="W42" s="3545"/>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9"/>
      <c r="M43" s="2891"/>
      <c r="N43" s="2891"/>
      <c r="O43" s="2900"/>
      <c r="P43" s="3532" t="str">
        <f>A43</f>
        <v>估价对象XX用房的比较价值（楼面单价，元/平方米）</v>
      </c>
      <c r="Q43" s="3533"/>
      <c r="R43" s="3546" t="e">
        <f>ROUND(IF(D42="简单平均",AVERAGE(R42:W42),R42*F42+T42*H42+V42*J42),0)</f>
        <v>#DIV/0!</v>
      </c>
      <c r="S43" s="3546"/>
      <c r="T43" s="3546"/>
      <c r="U43" s="3546"/>
      <c r="V43" s="3546"/>
      <c r="W43" s="3546"/>
      <c r="X43" s="696"/>
      <c r="Y43" s="696"/>
      <c r="Z43" s="696"/>
      <c r="AA43" s="696"/>
      <c r="AB43" s="696"/>
      <c r="AC43" s="696"/>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699"/>
      <c r="D49" s="697"/>
      <c r="E49" s="697"/>
      <c r="F49" s="697"/>
      <c r="G49" s="697"/>
      <c r="H49" s="697"/>
      <c r="I49" s="697"/>
      <c r="J49" s="697"/>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6" t="s">
        <v>2339</v>
      </c>
      <c r="D50" s="2117" t="s">
        <v>2340</v>
      </c>
      <c r="E50" s="641" t="s">
        <v>2341</v>
      </c>
      <c r="F50" s="642" t="s">
        <v>2342</v>
      </c>
      <c r="G50" s="3469" t="s">
        <v>2343</v>
      </c>
      <c r="H50" s="3547"/>
      <c r="I50" s="1487" t="s">
        <v>2379</v>
      </c>
      <c r="J50" s="1487">
        <f>项目基本情况!F35</f>
        <v>0</v>
      </c>
      <c r="K50" s="2119"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3">
        <v>1</v>
      </c>
      <c r="E51" s="645">
        <f>'数据-汇总表'!E8+'数据-汇总表'!E9</f>
        <v>24865.040000000005</v>
      </c>
      <c r="F51" s="646" t="e">
        <f t="shared" ref="F51:F60" si="15">ROUND(B51*E51/10000,0)</f>
        <v>#DIV/0!</v>
      </c>
      <c r="G51" s="3451"/>
      <c r="H51" s="3452"/>
      <c r="I51" s="857">
        <v>1</v>
      </c>
      <c r="J51" s="857">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v>
      </c>
      <c r="D52" s="1054">
        <v>0.25</v>
      </c>
      <c r="E52" s="649"/>
      <c r="F52" s="646" t="e">
        <f t="shared" si="15"/>
        <v>#DIV/0!</v>
      </c>
      <c r="G52" s="3224" t="s">
        <v>2348</v>
      </c>
      <c r="H52" s="996">
        <f>项目基本情况!B37</f>
        <v>0</v>
      </c>
      <c r="I52" s="857">
        <f>SUMIF(修正!A57:A68,H52,修正!B57:B68)</f>
        <v>0</v>
      </c>
      <c r="J52" s="858"/>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v>
      </c>
      <c r="D53" s="1054">
        <v>0.25</v>
      </c>
      <c r="E53" s="649"/>
      <c r="F53" s="646" t="e">
        <f t="shared" si="15"/>
        <v>#DIV/0!</v>
      </c>
      <c r="G53" s="3225"/>
      <c r="H53" s="996">
        <f>项目基本情况!B37</f>
        <v>0</v>
      </c>
      <c r="I53" s="857">
        <f>SUMIF(修正!A57:A68,H53,修正!C57:C68)</f>
        <v>0</v>
      </c>
      <c r="J53" s="858"/>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v>
      </c>
      <c r="D54" s="1054">
        <v>0.25</v>
      </c>
      <c r="E54" s="649"/>
      <c r="F54" s="646" t="e">
        <f t="shared" si="15"/>
        <v>#DIV/0!</v>
      </c>
      <c r="G54" s="3225"/>
      <c r="H54" s="996">
        <f>项目基本情况!B37</f>
        <v>0</v>
      </c>
      <c r="I54" s="857">
        <f>SUMIF(修正!A57:A68,H54,修正!D57:D68)</f>
        <v>0</v>
      </c>
      <c r="J54" s="858"/>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4"/>
      <c r="E55" s="649"/>
      <c r="F55" s="646"/>
      <c r="G55" s="3226"/>
      <c r="H55" s="996"/>
      <c r="I55" s="857"/>
      <c r="J55" s="858"/>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4">
        <v>0.25</v>
      </c>
      <c r="E56" s="222">
        <f>'数据-汇总表'!E11</f>
        <v>0</v>
      </c>
      <c r="F56" s="646" t="e">
        <f t="shared" si="15"/>
        <v>#DIV/0!</v>
      </c>
      <c r="G56" s="2120" t="s">
        <v>2352</v>
      </c>
      <c r="H56" s="996">
        <f>项目基本情况!C37</f>
        <v>0</v>
      </c>
      <c r="I56" s="857">
        <f>SUMIF(修正!A57:A68,H56,修正!E57:E68)</f>
        <v>0</v>
      </c>
      <c r="J56" s="858"/>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4">
        <v>0.25</v>
      </c>
      <c r="E57" s="222">
        <f>'数据-汇总表'!E12</f>
        <v>0</v>
      </c>
      <c r="F57" s="646" t="e">
        <f t="shared" si="15"/>
        <v>#DIV/0!</v>
      </c>
      <c r="G57" s="1001" t="s">
        <v>2354</v>
      </c>
      <c r="H57" s="996">
        <f>IF(G57="商业",项目基本情况!B37,IF(G57="办公",项目基本情况!C37,IF(G57="住宅",项目基本情况!D37,项目基本情况!E37)))</f>
        <v>0</v>
      </c>
      <c r="I57" s="857">
        <f>SUMIF(修正!A57:A68,H57,修正!F57:F68)</f>
        <v>0</v>
      </c>
      <c r="J57" s="858"/>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4">
        <v>0.25</v>
      </c>
      <c r="E58" s="222">
        <f>'数据-汇总表'!E13</f>
        <v>0</v>
      </c>
      <c r="F58" s="646" t="e">
        <f t="shared" si="15"/>
        <v>#DIV/0!</v>
      </c>
      <c r="G58" s="1001" t="s">
        <v>2356</v>
      </c>
      <c r="H58" s="996">
        <f>IF(G58="商业",项目基本情况!B37,IF(G58="办公",项目基本情况!C37,IF(G58="住宅",项目基本情况!D37,项目基本情况!E37)))</f>
        <v>0</v>
      </c>
      <c r="I58" s="857">
        <f>SUMIF(修正!A57:A68,H58,修正!G57:G68)</f>
        <v>0</v>
      </c>
      <c r="J58" s="858"/>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v>
      </c>
      <c r="D59" s="1054">
        <v>0.25</v>
      </c>
      <c r="E59" s="222">
        <f>'数据-汇总表'!E14</f>
        <v>0</v>
      </c>
      <c r="F59" s="646" t="e">
        <f t="shared" si="15"/>
        <v>#DIV/0!</v>
      </c>
      <c r="G59" s="2120" t="s">
        <v>2348</v>
      </c>
      <c r="H59" s="996">
        <f>项目基本情况!B37</f>
        <v>0</v>
      </c>
      <c r="I59" s="857">
        <f>SUMIF(修正!A57:A68,H59,修正!G57:G68)</f>
        <v>0</v>
      </c>
      <c r="J59" s="858"/>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4">
        <v>0.25</v>
      </c>
      <c r="E60" s="222">
        <f>'数据-汇总表'!E15</f>
        <v>0</v>
      </c>
      <c r="F60" s="646" t="e">
        <f t="shared" si="15"/>
        <v>#DIV/0!</v>
      </c>
      <c r="G60" s="2121" t="s">
        <v>2352</v>
      </c>
      <c r="H60" s="1006">
        <f>项目基本情况!C37</f>
        <v>0</v>
      </c>
      <c r="I60" s="857">
        <f>SUMIF(修正!A57:A68,H60,修正!G57:G68)</f>
        <v>0</v>
      </c>
      <c r="J60" s="858"/>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1899.7</v>
      </c>
      <c r="F61" s="652" t="e">
        <f>IF(B41="楼面地价",SUM(F51:F60),ROUND(C43*E61/10000,0))</f>
        <v>#DIV/0!</v>
      </c>
      <c r="G61" s="1048"/>
      <c r="H61" s="1048"/>
      <c r="I61" s="1048"/>
      <c r="J61" s="1048"/>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6"/>
      <c r="B62" s="1038"/>
      <c r="C62" s="1040"/>
      <c r="D62" s="1036"/>
      <c r="E62" s="1036"/>
      <c r="F62" s="1036"/>
      <c r="G62" s="1036"/>
      <c r="H62" s="1036"/>
      <c r="I62" s="1036"/>
      <c r="J62" s="1036"/>
      <c r="K62" s="997"/>
      <c r="L62" s="998"/>
      <c r="M62" s="1036"/>
      <c r="N62" s="1036"/>
      <c r="O62" s="1036"/>
      <c r="P62" s="2900"/>
      <c r="Q62" s="2900"/>
      <c r="R62" s="2900"/>
      <c r="S62" s="2900"/>
      <c r="T62" s="2900"/>
      <c r="U62" s="2900"/>
      <c r="V62" s="2900"/>
      <c r="W62" s="2900"/>
      <c r="X62" s="2900"/>
      <c r="Y62" s="2900"/>
      <c r="Z62" s="2900"/>
      <c r="AA62" s="2900"/>
      <c r="AB62" s="2900"/>
      <c r="AC62" s="2900"/>
      <c r="AD62" s="2900"/>
      <c r="AE62" s="2900"/>
    </row>
    <row r="63" spans="1:31">
      <c r="A63" s="1036"/>
      <c r="B63" s="1038"/>
      <c r="C63" s="698" t="str">
        <f>YEAR(C7)&amp;"-"&amp;MONTH(C7)&amp;"-1"</f>
        <v>2022-9-1</v>
      </c>
      <c r="D63" s="698">
        <f>EDATE(C63,-3)</f>
        <v>44713</v>
      </c>
      <c r="E63" s="698">
        <f>EDATE(D63,-3)</f>
        <v>44621</v>
      </c>
      <c r="F63" s="698">
        <f t="shared" ref="F63:O63" si="18">EDATE(E63,-3)</f>
        <v>44531</v>
      </c>
      <c r="G63" s="698">
        <f t="shared" si="18"/>
        <v>44440</v>
      </c>
      <c r="H63" s="698">
        <f t="shared" si="18"/>
        <v>44348</v>
      </c>
      <c r="I63" s="698">
        <f t="shared" si="18"/>
        <v>44256</v>
      </c>
      <c r="J63" s="698">
        <f t="shared" si="18"/>
        <v>44166</v>
      </c>
      <c r="K63" s="698">
        <f t="shared" si="18"/>
        <v>44075</v>
      </c>
      <c r="L63" s="698">
        <f t="shared" si="18"/>
        <v>43983</v>
      </c>
      <c r="M63" s="698">
        <f t="shared" si="18"/>
        <v>43891</v>
      </c>
      <c r="N63" s="698">
        <f t="shared" si="18"/>
        <v>43800</v>
      </c>
      <c r="O63" s="698">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0" t="s">
        <v>2253</v>
      </c>
      <c r="B64" s="696"/>
      <c r="C64" s="701"/>
      <c r="D64" s="701"/>
      <c r="E64" s="701"/>
      <c r="F64" s="702"/>
      <c r="G64" s="702"/>
      <c r="H64" s="701"/>
      <c r="I64" s="701"/>
      <c r="J64" s="701"/>
      <c r="K64" s="703"/>
      <c r="L64" s="704"/>
      <c r="M64" s="701"/>
      <c r="N64" s="701"/>
      <c r="O64" s="1049"/>
      <c r="P64" s="2944"/>
      <c r="Q64" s="2914"/>
      <c r="R64" s="2900"/>
      <c r="S64" s="2900"/>
      <c r="T64" s="2900"/>
      <c r="U64" s="2900"/>
      <c r="V64" s="2900"/>
      <c r="W64" s="2900"/>
      <c r="X64" s="2900"/>
      <c r="Y64" s="2900"/>
      <c r="Z64" s="2900"/>
      <c r="AA64" s="2900"/>
      <c r="AB64" s="2900"/>
      <c r="AC64" s="2900"/>
      <c r="AD64" s="2900"/>
      <c r="AE64" s="2900"/>
    </row>
    <row r="65" spans="1:31" s="464" customFormat="1" ht="15">
      <c r="A65" s="2122" t="s">
        <v>2360</v>
      </c>
      <c r="B65" s="1218"/>
      <c r="C65" s="1293" t="str">
        <f>YEAR(C63)&amp;"-"&amp;ROUNDUP(MONTH(C63)/3,0)</f>
        <v>2022-3</v>
      </c>
      <c r="D65" s="1293" t="str">
        <f t="shared" ref="D65:O65" si="19">YEAR(D63)&amp;"-"&amp;ROUNDUP(MONTH(D63)/3,0)</f>
        <v>2022-2</v>
      </c>
      <c r="E65" s="1293" t="str">
        <f t="shared" si="19"/>
        <v>2022-1</v>
      </c>
      <c r="F65" s="1293" t="str">
        <f t="shared" si="19"/>
        <v>2021-4</v>
      </c>
      <c r="G65" s="1293" t="str">
        <f t="shared" si="19"/>
        <v>2021-3</v>
      </c>
      <c r="H65" s="1293" t="str">
        <f t="shared" si="19"/>
        <v>2021-2</v>
      </c>
      <c r="I65" s="1293" t="str">
        <f t="shared" si="19"/>
        <v>2021-1</v>
      </c>
      <c r="J65" s="1293" t="str">
        <f t="shared" si="19"/>
        <v>2020-4</v>
      </c>
      <c r="K65" s="1293" t="str">
        <f t="shared" si="19"/>
        <v>2020-3</v>
      </c>
      <c r="L65" s="1293" t="str">
        <f t="shared" si="19"/>
        <v>2020-2</v>
      </c>
      <c r="M65" s="1293" t="str">
        <f t="shared" si="19"/>
        <v>2020-1</v>
      </c>
      <c r="N65" s="1293" t="str">
        <f t="shared" si="19"/>
        <v>2019-4</v>
      </c>
      <c r="O65" s="1293"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7" t="s">
        <v>2380</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2164</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2129</v>
      </c>
      <c r="B68" s="466"/>
      <c r="C68" s="478" t="s">
        <v>2231</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2167</v>
      </c>
      <c r="B70" s="484" t="s">
        <v>2133</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2136</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2138</v>
      </c>
      <c r="B83" s="484" t="s">
        <v>2284</v>
      </c>
      <c r="C83" s="529" t="s">
        <v>2176</v>
      </c>
      <c r="D83" s="529" t="s">
        <v>2177</v>
      </c>
      <c r="E83" s="529" t="s">
        <v>2178</v>
      </c>
      <c r="F83" s="529" t="s">
        <v>2179</v>
      </c>
      <c r="G83" s="529" t="s">
        <v>2180</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2181</v>
      </c>
      <c r="C85" s="534" t="s">
        <v>2176</v>
      </c>
      <c r="D85" s="534" t="s">
        <v>2177</v>
      </c>
      <c r="E85" s="534" t="s">
        <v>2178</v>
      </c>
      <c r="F85" s="534" t="s">
        <v>2179</v>
      </c>
      <c r="G85" s="534" t="s">
        <v>2180</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2176</v>
      </c>
      <c r="D87" s="529" t="s">
        <v>2177</v>
      </c>
      <c r="E87" s="529" t="s">
        <v>2178</v>
      </c>
      <c r="F87" s="529" t="s">
        <v>2179</v>
      </c>
      <c r="G87" s="529" t="s">
        <v>2180</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2176</v>
      </c>
      <c r="D89" s="529" t="s">
        <v>2177</v>
      </c>
      <c r="E89" s="529" t="s">
        <v>2178</v>
      </c>
      <c r="F89" s="529" t="s">
        <v>2179</v>
      </c>
      <c r="G89" s="529" t="s">
        <v>2180</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2254</v>
      </c>
      <c r="D93" s="615" t="s">
        <v>2255</v>
      </c>
      <c r="E93" s="615" t="s">
        <v>2256</v>
      </c>
      <c r="F93" s="615" t="s">
        <v>2257</v>
      </c>
      <c r="G93" s="615" t="s">
        <v>2258</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2270</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1" customWidth="1"/>
    <col min="33" max="36" width="9.375" style="2197" customWidth="1"/>
    <col min="37" max="38" width="9.375" style="2131" customWidth="1"/>
    <col min="39" max="16384" width="12" style="2131"/>
  </cols>
  <sheetData>
    <row r="1" spans="1:36" ht="28.5">
      <c r="A1" s="201" t="s">
        <v>2382</v>
      </c>
      <c r="B1" s="202"/>
      <c r="C1" s="206" t="s">
        <v>2383</v>
      </c>
      <c r="D1" s="347">
        <f>SUM(D29:D30,D33:D39)</f>
        <v>0</v>
      </c>
      <c r="E1" s="2128"/>
      <c r="F1" s="2128"/>
      <c r="G1" s="2128"/>
      <c r="H1" s="2128"/>
      <c r="I1" s="2128"/>
      <c r="J1" s="2128"/>
      <c r="K1" s="1229"/>
      <c r="L1" s="2129" t="s">
        <v>2384</v>
      </c>
      <c r="M1" s="972">
        <f>SUMPRODUCT((区片价!B5:B9=I2)*(区片价!C3:F3=E2)*(区片价!C5:F9))</f>
        <v>0</v>
      </c>
      <c r="N1" s="975">
        <f>SUMPRODUCT((因素修正幅度!B5:B9=I2)*(因素修正幅度!C3:F3=E2)*(因素修正幅度!C5:F9))</f>
        <v>0</v>
      </c>
      <c r="O1" s="2130"/>
      <c r="P1" s="2130"/>
      <c r="Q1" s="1229"/>
      <c r="R1" s="1323" t="s">
        <v>2385</v>
      </c>
      <c r="S1" s="1323" t="s">
        <v>2386</v>
      </c>
      <c r="T1" s="1323" t="s">
        <v>2387</v>
      </c>
      <c r="U1" s="1323" t="s">
        <v>2388</v>
      </c>
      <c r="V1" s="1323" t="s">
        <v>2389</v>
      </c>
      <c r="W1" s="1327"/>
      <c r="X1" s="1327"/>
      <c r="Y1" s="1327"/>
      <c r="Z1" s="1327"/>
      <c r="AA1" s="1327"/>
      <c r="AB1" s="1327"/>
      <c r="AC1" s="1328"/>
      <c r="AD1" s="1329"/>
      <c r="AE1" s="1329"/>
      <c r="AF1" s="1329"/>
      <c r="AG1" s="1329"/>
      <c r="AH1" s="1329"/>
      <c r="AI1" s="1329"/>
      <c r="AJ1" s="1330"/>
    </row>
    <row r="2" spans="1:36" ht="15.75">
      <c r="A2" s="206" t="s">
        <v>2390</v>
      </c>
      <c r="B2" s="209"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29"/>
      <c r="L2" s="2137" t="s">
        <v>2395</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2396</v>
      </c>
      <c r="B3" s="209" t="e">
        <f>ROUND(B2*10000/D1,0)</f>
        <v>#DIV/0!</v>
      </c>
      <c r="C3" s="2132" t="s">
        <v>2397</v>
      </c>
      <c r="D3" s="2133" t="s">
        <v>2398</v>
      </c>
      <c r="E3" s="2138"/>
      <c r="F3" s="2139" t="s">
        <v>2399</v>
      </c>
      <c r="G3" s="834">
        <f>IF(F3="宗地容积率",'数据-汇总表'!I4,IF(F3="估价对象容积率",'数据-汇总表'!I6,'数据-汇总表'!I7))</f>
        <v>9.61</v>
      </c>
      <c r="H3" s="174" t="s">
        <v>2400</v>
      </c>
      <c r="I3" s="859"/>
      <c r="J3" s="2136" t="s">
        <v>2401</v>
      </c>
      <c r="K3" s="1229"/>
      <c r="L3" s="2137" t="s">
        <v>2402</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55"/>
      <c r="B4" s="3556"/>
      <c r="C4" s="3556"/>
      <c r="D4" s="3557"/>
      <c r="E4" s="3557"/>
      <c r="F4" s="3557"/>
      <c r="G4" s="3557"/>
      <c r="H4" s="3557"/>
      <c r="I4" s="3557"/>
      <c r="J4" s="3558"/>
      <c r="K4" s="1229"/>
      <c r="L4" s="2137" t="s">
        <v>2403</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9" customFormat="1" ht="15.75" thickBot="1">
      <c r="A5" s="2140" t="s">
        <v>626</v>
      </c>
      <c r="B5" s="2141" t="s">
        <v>2404</v>
      </c>
      <c r="C5" s="835" t="e">
        <f>ROUND(IF(E2="商业",C6*C7+C16,(IF(E2="住宅",C6*C12+C16,C6+C16))),0)</f>
        <v>#DIV/0!</v>
      </c>
      <c r="D5" s="1470" t="e">
        <f>ROUND(C6+C16,0)</f>
        <v>#DIV/0!</v>
      </c>
      <c r="E5" s="1470"/>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5"/>
      <c r="L6" s="2137" t="s">
        <v>2409</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6"/>
      <c r="AD6" s="2147"/>
      <c r="AE6" s="2147"/>
      <c r="AF6" s="2147"/>
      <c r="AG6" s="2147"/>
      <c r="AH6" s="2147"/>
      <c r="AI6" s="2147"/>
      <c r="AJ6" s="2148"/>
    </row>
    <row r="7" spans="1:36" ht="24">
      <c r="A7" s="3559" t="str">
        <f>IF(E2="商业",IF(C8="不临58条商业街","",2),"")</f>
        <v/>
      </c>
      <c r="B7" s="2156" t="s">
        <v>2410</v>
      </c>
      <c r="C7" s="837" t="e">
        <f>IF(C8="不临58条商业街",1,ROUND(1+(1.6*E8+1.2*E9+0.8*E10+0.4*E11)*C9,4))</f>
        <v>#DIV/0!</v>
      </c>
      <c r="D7" s="2157" t="s">
        <v>2411</v>
      </c>
      <c r="E7" s="860"/>
      <c r="F7" s="2158"/>
      <c r="G7" s="2159"/>
      <c r="H7" s="2159"/>
      <c r="I7" s="2159"/>
      <c r="J7" s="2160"/>
      <c r="K7" s="1515"/>
      <c r="L7" s="2137" t="s">
        <v>2412</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2413</v>
      </c>
      <c r="X7" s="1325">
        <f>G2</f>
        <v>0</v>
      </c>
      <c r="Y7" s="1325" t="s">
        <v>2414</v>
      </c>
      <c r="Z7" s="1326">
        <f>G3</f>
        <v>9.61</v>
      </c>
      <c r="AA7" s="1327"/>
      <c r="AB7" s="1327"/>
      <c r="AC7" s="1328"/>
      <c r="AD7" s="1329"/>
      <c r="AE7" s="1329"/>
      <c r="AF7" s="1329"/>
      <c r="AG7" s="1329"/>
      <c r="AH7" s="1329"/>
      <c r="AI7" s="1329"/>
      <c r="AJ7" s="1330"/>
    </row>
    <row r="8" spans="1:36" ht="15">
      <c r="A8" s="3560"/>
      <c r="B8" s="174" t="s">
        <v>2415</v>
      </c>
      <c r="C8" s="2161"/>
      <c r="D8" s="838" t="s">
        <v>139</v>
      </c>
      <c r="E8" s="839" t="e">
        <f>ROUND(C11/E7,4)</f>
        <v>#DIV/0!</v>
      </c>
      <c r="F8" s="2162" t="s">
        <v>2416</v>
      </c>
      <c r="G8" s="2163"/>
      <c r="H8" s="2163"/>
      <c r="I8" s="2163"/>
      <c r="J8" s="2164"/>
      <c r="K8" s="1229"/>
      <c r="L8" s="2137" t="s">
        <v>2417</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552" t="s">
        <v>2418</v>
      </c>
      <c r="X8" s="3553"/>
      <c r="Y8" s="1331" t="s">
        <v>2419</v>
      </c>
      <c r="Z8" s="1331" t="s">
        <v>2420</v>
      </c>
      <c r="AA8" s="1331" t="s">
        <v>2421</v>
      </c>
      <c r="AB8" s="1331" t="s">
        <v>2422</v>
      </c>
      <c r="AC8" s="1331" t="s">
        <v>2423</v>
      </c>
      <c r="AD8" s="1331" t="s">
        <v>2424</v>
      </c>
      <c r="AE8" s="1331" t="s">
        <v>2425</v>
      </c>
      <c r="AF8" s="1331" t="s">
        <v>2426</v>
      </c>
      <c r="AG8" s="1331" t="s">
        <v>2427</v>
      </c>
      <c r="AH8" s="1331" t="s">
        <v>2428</v>
      </c>
      <c r="AI8" s="1331" t="s">
        <v>2429</v>
      </c>
      <c r="AJ8" s="1331" t="s">
        <v>2430</v>
      </c>
    </row>
    <row r="9" spans="1:36" ht="15">
      <c r="A9" s="3560"/>
      <c r="B9" s="174" t="s">
        <v>2431</v>
      </c>
      <c r="C9" s="840">
        <f>SUMIF(修正!C71:C138,C8,修正!E71:E138)</f>
        <v>0</v>
      </c>
      <c r="D9" s="175" t="s">
        <v>140</v>
      </c>
      <c r="E9" s="175" t="e">
        <f>ROUND(C11/E7,4)</f>
        <v>#DIV/0!</v>
      </c>
      <c r="F9" s="2162" t="s">
        <v>2432</v>
      </c>
      <c r="G9" s="2163"/>
      <c r="H9" s="2163"/>
      <c r="I9" s="2163"/>
      <c r="J9" s="2164"/>
      <c r="K9" s="1229"/>
      <c r="L9" s="2137" t="s">
        <v>2433</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554" t="s">
        <v>2434</v>
      </c>
      <c r="X9" s="1332" t="s">
        <v>2435</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60"/>
      <c r="B10" s="174" t="s">
        <v>2436</v>
      </c>
      <c r="C10" s="175">
        <f>SUMIF(修正!C71:C138,C8,修正!F71:F138)</f>
        <v>0</v>
      </c>
      <c r="D10" s="175" t="s">
        <v>141</v>
      </c>
      <c r="E10" s="175" t="e">
        <f>ROUND(C11/E7,4)</f>
        <v>#DIV/0!</v>
      </c>
      <c r="F10" s="2162" t="s">
        <v>2437</v>
      </c>
      <c r="G10" s="2163"/>
      <c r="H10" s="2163"/>
      <c r="I10" s="2163"/>
      <c r="J10" s="2164"/>
      <c r="K10" s="1229"/>
      <c r="L10" s="2137" t="s">
        <v>2438</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554"/>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60"/>
      <c r="B11" s="2165" t="s">
        <v>2439</v>
      </c>
      <c r="C11" s="841">
        <f>C10/4</f>
        <v>0</v>
      </c>
      <c r="D11" s="841" t="s">
        <v>142</v>
      </c>
      <c r="E11" s="841" t="e">
        <f>ROUND(C11/E7,4)</f>
        <v>#DIV/0!</v>
      </c>
      <c r="F11" s="2166" t="s">
        <v>2440</v>
      </c>
      <c r="G11" s="2167"/>
      <c r="H11" s="2167"/>
      <c r="I11" s="2167"/>
      <c r="J11" s="2168"/>
      <c r="K11" s="1229"/>
      <c r="L11" s="2137" t="s">
        <v>2441</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554" t="s">
        <v>2442</v>
      </c>
      <c r="X11" s="1335" t="s">
        <v>2443</v>
      </c>
      <c r="Y11" s="1336">
        <f>$G$3</f>
        <v>9.61</v>
      </c>
      <c r="Z11" s="1336">
        <f t="shared" ref="Z11:AJ11" si="3">$G$3</f>
        <v>9.61</v>
      </c>
      <c r="AA11" s="1336">
        <f t="shared" si="3"/>
        <v>9.61</v>
      </c>
      <c r="AB11" s="1336">
        <f t="shared" si="3"/>
        <v>9.61</v>
      </c>
      <c r="AC11" s="1336">
        <f t="shared" si="3"/>
        <v>9.61</v>
      </c>
      <c r="AD11" s="1336">
        <f t="shared" si="3"/>
        <v>9.61</v>
      </c>
      <c r="AE11" s="1336">
        <f t="shared" si="3"/>
        <v>9.61</v>
      </c>
      <c r="AF11" s="1336">
        <f t="shared" si="3"/>
        <v>9.61</v>
      </c>
      <c r="AG11" s="1336">
        <f t="shared" si="3"/>
        <v>9.61</v>
      </c>
      <c r="AH11" s="1336">
        <f t="shared" si="3"/>
        <v>9.61</v>
      </c>
      <c r="AI11" s="1336">
        <f t="shared" si="3"/>
        <v>9.61</v>
      </c>
      <c r="AJ11" s="1336">
        <f t="shared" si="3"/>
        <v>9.61</v>
      </c>
    </row>
    <row r="12" spans="1:36" ht="25.5" thickBot="1">
      <c r="A12" s="3559" t="s">
        <v>2444</v>
      </c>
      <c r="B12" s="2169" t="s">
        <v>2445</v>
      </c>
      <c r="C12" s="837">
        <f>ROUND(C15*D15*E15*F15*G15*H15*I15*J15,4)</f>
        <v>1</v>
      </c>
      <c r="D12" s="2170" t="s">
        <v>2446</v>
      </c>
      <c r="E12" s="2171"/>
      <c r="F12" s="2171"/>
      <c r="G12" s="2172"/>
      <c r="H12" s="2172"/>
      <c r="I12" s="2172"/>
      <c r="J12" s="2173"/>
      <c r="K12" s="1229"/>
      <c r="L12" s="2174" t="s">
        <v>2447</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554"/>
      <c r="X12" s="1337" t="s">
        <v>2448</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61"/>
      <c r="B13" s="2175" t="s">
        <v>2449</v>
      </c>
      <c r="C13" s="2176" t="s">
        <v>2450</v>
      </c>
      <c r="D13" s="1481" t="s">
        <v>2451</v>
      </c>
      <c r="E13" s="1481" t="s">
        <v>2452</v>
      </c>
      <c r="F13" s="29" t="s">
        <v>2453</v>
      </c>
      <c r="G13" s="2177" t="s">
        <v>2454</v>
      </c>
      <c r="H13" s="2177" t="s">
        <v>2454</v>
      </c>
      <c r="I13" s="2177" t="s">
        <v>2454</v>
      </c>
      <c r="J13" s="2178" t="s">
        <v>2454</v>
      </c>
      <c r="K13" s="1229"/>
      <c r="L13" s="1229"/>
      <c r="M13" s="1229"/>
      <c r="N13" s="1229"/>
      <c r="O13" s="1229"/>
      <c r="P13" s="1229"/>
      <c r="Q13" s="1229"/>
      <c r="R13" s="1323">
        <v>12</v>
      </c>
      <c r="S13" s="1324"/>
      <c r="T13" s="1323" t="e">
        <f t="shared" si="0"/>
        <v>#DIV/0!</v>
      </c>
      <c r="U13" s="1324"/>
      <c r="V13" s="1323" t="e">
        <f t="shared" si="1"/>
        <v>#DIV/0!</v>
      </c>
      <c r="W13" s="3554"/>
      <c r="X13" s="1337"/>
      <c r="Y13" s="1334">
        <f>(-0.163*(Y12^2)-0.59*Y12+7617)*(10^(-4))/Y11</f>
        <v>7.9261186264308017E-2</v>
      </c>
      <c r="Z13" s="1334">
        <f t="shared" ref="Z13:AJ13" si="5">(-0.163*(Z12^2)-0.59*Z12+7617)*(10^(-4))/Z11</f>
        <v>7.9261186264308017E-2</v>
      </c>
      <c r="AA13" s="1334">
        <f t="shared" si="5"/>
        <v>7.9261186264308017E-2</v>
      </c>
      <c r="AB13" s="1334">
        <f t="shared" si="5"/>
        <v>7.9261186264308017E-2</v>
      </c>
      <c r="AC13" s="1334">
        <f t="shared" si="5"/>
        <v>7.9261186264308017E-2</v>
      </c>
      <c r="AD13" s="1334">
        <f t="shared" si="5"/>
        <v>7.9261186264308017E-2</v>
      </c>
      <c r="AE13" s="1334">
        <f t="shared" si="5"/>
        <v>7.9261186264308017E-2</v>
      </c>
      <c r="AF13" s="1334">
        <f t="shared" si="5"/>
        <v>7.9261186264308017E-2</v>
      </c>
      <c r="AG13" s="1334">
        <f t="shared" si="5"/>
        <v>7.9261186264308017E-2</v>
      </c>
      <c r="AH13" s="1334">
        <f t="shared" si="5"/>
        <v>7.9261186264308017E-2</v>
      </c>
      <c r="AI13" s="1334">
        <f t="shared" si="5"/>
        <v>7.9261186264308017E-2</v>
      </c>
      <c r="AJ13" s="1334">
        <f t="shared" si="5"/>
        <v>7.9261186264308017E-2</v>
      </c>
    </row>
    <row r="14" spans="1:36" ht="15">
      <c r="A14" s="3561"/>
      <c r="B14" s="2179"/>
      <c r="C14" s="2180"/>
      <c r="D14" s="2181"/>
      <c r="E14" s="2181"/>
      <c r="F14" s="2182"/>
      <c r="G14" s="2183" t="s">
        <v>2455</v>
      </c>
      <c r="H14" s="2184"/>
      <c r="I14" s="2185"/>
      <c r="J14" s="2186"/>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6"/>
      <c r="AE14" s="2966"/>
      <c r="AF14" s="2966"/>
      <c r="AG14" s="2966"/>
      <c r="AH14" s="2966"/>
      <c r="AI14" s="2966"/>
      <c r="AJ14" s="2967"/>
    </row>
    <row r="15" spans="1:36" ht="15.75" thickBot="1">
      <c r="A15" s="3562"/>
      <c r="B15" s="2187" t="s">
        <v>2456</v>
      </c>
      <c r="C15" s="192">
        <f>IF(C14="有",1.1,1)</f>
        <v>1</v>
      </c>
      <c r="D15" s="192">
        <f>IF(D14="有",1.1,1)</f>
        <v>1</v>
      </c>
      <c r="E15" s="192">
        <f>IF(E14="有",1.1,1)</f>
        <v>1</v>
      </c>
      <c r="F15" s="192">
        <f>IF(F14="500米范围内",1.2,IF(F14="500-1000米",1.1,1))</f>
        <v>1</v>
      </c>
      <c r="G15" s="861">
        <v>1</v>
      </c>
      <c r="H15" s="861">
        <v>1</v>
      </c>
      <c r="I15" s="861">
        <v>1</v>
      </c>
      <c r="J15" s="862">
        <v>1</v>
      </c>
      <c r="K15" s="1229"/>
      <c r="L15" s="2130"/>
      <c r="M15" s="2130"/>
      <c r="N15" s="2130"/>
      <c r="O15" s="2130"/>
      <c r="P15" s="2130"/>
      <c r="Q15" s="1229"/>
      <c r="R15" s="1323">
        <v>14</v>
      </c>
      <c r="S15" s="1324"/>
      <c r="T15" s="1323" t="e">
        <f t="shared" si="0"/>
        <v>#DIV/0!</v>
      </c>
      <c r="U15" s="1324"/>
      <c r="V15" s="1323" t="e">
        <f t="shared" si="1"/>
        <v>#DIV/0!</v>
      </c>
      <c r="W15" s="1327"/>
      <c r="X15" s="1327"/>
      <c r="Y15" s="1327"/>
      <c r="Z15" s="1327"/>
      <c r="AA15" s="1327"/>
      <c r="AB15" s="1327"/>
      <c r="AC15" s="1328"/>
      <c r="AD15" s="2966"/>
      <c r="AE15" s="2966"/>
      <c r="AF15" s="2966"/>
      <c r="AG15" s="2966"/>
      <c r="AH15" s="2966"/>
      <c r="AI15" s="2966"/>
      <c r="AJ15" s="2967"/>
    </row>
    <row r="16" spans="1:36" ht="24.6" customHeight="1">
      <c r="A16" s="3559" t="s">
        <v>2461</v>
      </c>
      <c r="B16" s="2156" t="s">
        <v>2462</v>
      </c>
      <c r="C16" s="2318" t="e">
        <f>ROUND(IF(F17="与级别开发程度一致",0,(G17-E17)/C17),0)</f>
        <v>#DIV/0!</v>
      </c>
      <c r="D16" s="3575" t="s">
        <v>2466</v>
      </c>
      <c r="E16" s="3576"/>
      <c r="F16" s="3575" t="s">
        <v>2463</v>
      </c>
      <c r="G16" s="3576"/>
      <c r="H16" s="2188"/>
      <c r="I16" s="2188"/>
      <c r="J16" s="2322"/>
      <c r="K16" s="2188"/>
      <c r="L16" s="2188"/>
      <c r="M16" s="2188"/>
      <c r="N16" s="2188"/>
      <c r="O16" s="2189"/>
      <c r="P16" s="2130"/>
      <c r="Q16" s="1229"/>
      <c r="R16" s="1323">
        <v>15</v>
      </c>
      <c r="S16" s="1324"/>
      <c r="T16" s="1323" t="e">
        <f t="shared" si="0"/>
        <v>#DIV/0!</v>
      </c>
      <c r="U16" s="1324"/>
      <c r="V16" s="1323" t="e">
        <f t="shared" si="1"/>
        <v>#DIV/0!</v>
      </c>
      <c r="W16" s="1327"/>
      <c r="X16" s="1327"/>
      <c r="Y16" s="1327"/>
      <c r="Z16" s="1327"/>
      <c r="AA16" s="1327"/>
      <c r="AB16" s="1327"/>
      <c r="AC16" s="1328"/>
      <c r="AD16" s="2966"/>
      <c r="AE16" s="2966"/>
      <c r="AF16" s="2966"/>
      <c r="AG16" s="2966"/>
      <c r="AH16" s="2966"/>
      <c r="AI16" s="2966"/>
      <c r="AJ16" s="2967"/>
    </row>
    <row r="17" spans="1:37" ht="13.5" thickBot="1">
      <c r="A17" s="3563"/>
      <c r="B17" s="2329" t="s">
        <v>2465</v>
      </c>
      <c r="C17" s="2330">
        <f>SUMPRODUCT((修正!A2:A7=E2)*(修正!B1:M1=G2)*(修正!B2:M7))</f>
        <v>0</v>
      </c>
      <c r="D17" s="192"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29"/>
      <c r="R17" s="1229"/>
      <c r="S17" s="1229"/>
      <c r="T17" s="1229"/>
      <c r="U17" s="1229"/>
      <c r="V17" s="1229"/>
      <c r="W17" s="1229"/>
      <c r="X17" s="1229"/>
      <c r="Y17" s="1229"/>
      <c r="Z17" s="1230"/>
      <c r="AA17" s="1230"/>
      <c r="AB17" s="1230"/>
      <c r="AC17" s="1230"/>
      <c r="AD17" s="1230"/>
      <c r="AE17" s="1229"/>
      <c r="AF17" s="1229"/>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6"/>
      <c r="L18" s="2965"/>
      <c r="M18" s="2965"/>
      <c r="N18" s="2965"/>
      <c r="O18" s="1234"/>
      <c r="P18" s="1234"/>
      <c r="Q18" s="1235"/>
      <c r="R18" s="1235"/>
      <c r="S18" s="1235"/>
      <c r="T18" s="1230"/>
      <c r="U18" s="1230"/>
      <c r="V18" s="1230"/>
      <c r="W18" s="1229"/>
      <c r="X18" s="1229"/>
      <c r="Y18" s="1229"/>
      <c r="Z18" s="1236"/>
      <c r="AA18" s="1236"/>
      <c r="AB18" s="1236"/>
      <c r="AC18" s="1236"/>
      <c r="AD18" s="1236"/>
      <c r="AE18" s="1230"/>
      <c r="AF18" s="1230"/>
      <c r="AG18" s="2287"/>
      <c r="AH18" s="2287"/>
      <c r="AI18" s="2287"/>
      <c r="AJ18" s="2965"/>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44805</v>
      </c>
      <c r="H19" s="2199"/>
      <c r="I19" s="845" t="str">
        <f>IF(H19="季度增幅（自定义）",SUMIF(N21:N24,E2,O21:O24),"")</f>
        <v/>
      </c>
      <c r="J19" s="2196"/>
      <c r="K19" s="1236"/>
      <c r="L19" s="2200" t="s">
        <v>2472</v>
      </c>
      <c r="M19" s="1445">
        <f>ROUND(SUMIF(地价!B2:F2,E2,地价!B37:F37),0)</f>
        <v>0</v>
      </c>
      <c r="N19" s="2201" t="s">
        <v>2473</v>
      </c>
      <c r="O19" s="846">
        <f>ROUNDDOWN(DATEDIF(E19,G19,"M")/3,0)</f>
        <v>34</v>
      </c>
      <c r="P19" s="1233"/>
      <c r="Q19" s="1235"/>
      <c r="R19" s="1235"/>
      <c r="S19" s="1235"/>
      <c r="T19" s="1230"/>
      <c r="U19" s="1230"/>
      <c r="V19" s="1230"/>
      <c r="W19" s="1229"/>
      <c r="X19" s="1229"/>
      <c r="Y19" s="1229"/>
      <c r="Z19" s="1236"/>
      <c r="AA19" s="1236"/>
      <c r="AB19" s="1236"/>
      <c r="AC19" s="1236"/>
      <c r="AD19" s="1236"/>
      <c r="AE19" s="1236"/>
      <c r="AF19" s="1235"/>
      <c r="AG19" s="2968"/>
      <c r="AH19" s="2287"/>
      <c r="AI19" s="2969"/>
      <c r="AJ19" s="2969"/>
      <c r="AK19" s="2202"/>
    </row>
    <row r="20" spans="1:37" s="2149" customFormat="1" ht="27.75" thickBot="1">
      <c r="A20" s="2203" t="s">
        <v>629</v>
      </c>
      <c r="B20" s="2204" t="s">
        <v>2474</v>
      </c>
      <c r="C20" s="847" t="e">
        <f>ROUND(POWER(1+G20,J20-I20)*(POWER(1+G20,I20)-1)/(POWER(1+G20,J20)-1),4)</f>
        <v>#DIV/0!</v>
      </c>
      <c r="D20" s="2205" t="s">
        <v>2475</v>
      </c>
      <c r="E20" s="1452">
        <f>存贷款利率!E22/100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6"/>
      <c r="L20" s="2206" t="s">
        <v>2477</v>
      </c>
      <c r="M20" s="1446">
        <f>ROUND(SUMPRODUCT((地价!A4:A37=YEAR(G19)&amp;"-"&amp;ROUNDUP(MONTH(G19)/3,0))*(地价!B2:F2=E2)*(地价!B4:F37)),0)</f>
        <v>0</v>
      </c>
      <c r="N20" s="2207" t="s">
        <v>2478</v>
      </c>
      <c r="O20" s="2208" t="s">
        <v>2479</v>
      </c>
      <c r="P20" s="2209" t="s">
        <v>2480</v>
      </c>
      <c r="Q20" s="2965"/>
      <c r="R20" s="1235"/>
      <c r="S20" s="1235"/>
      <c r="T20" s="1230"/>
      <c r="U20" s="1230"/>
      <c r="V20" s="1230"/>
      <c r="W20" s="1229"/>
      <c r="X20" s="1229"/>
      <c r="Y20" s="1229"/>
      <c r="Z20" s="1236"/>
      <c r="AA20" s="1236"/>
      <c r="AB20" s="1236"/>
      <c r="AC20" s="1236"/>
      <c r="AD20" s="1236"/>
      <c r="AE20" s="1236"/>
      <c r="AF20" s="1236"/>
      <c r="AG20" s="2965"/>
      <c r="AH20" s="2965"/>
      <c r="AI20" s="2965"/>
      <c r="AJ20" s="2965"/>
    </row>
    <row r="21" spans="1:37" s="2149" customFormat="1" ht="15">
      <c r="A21" s="2210" t="s">
        <v>630</v>
      </c>
      <c r="B21" s="2211" t="s">
        <v>2481</v>
      </c>
      <c r="C21" s="854">
        <f>IF(B21="容积率修正",IF(G3&lt;=10,D22,J22),C23)</f>
        <v>0</v>
      </c>
      <c r="D21" s="2212"/>
      <c r="E21" s="2212"/>
      <c r="F21" s="2212"/>
      <c r="G21" s="2212"/>
      <c r="H21" s="2212"/>
      <c r="I21" s="2212"/>
      <c r="J21" s="2213"/>
      <c r="K21" s="1236"/>
      <c r="L21" s="2965"/>
      <c r="M21" s="2965"/>
      <c r="N21" s="2214" t="s">
        <v>2482</v>
      </c>
      <c r="O21" s="1284"/>
      <c r="P21" s="1285">
        <f>SUMPRODUCT((地价!A3:A37=YEAR(G19)&amp;"-"&amp;ROUNDUP(MONTH(G19)/3,0))*(地价!AD2:AH2=N21)*(地价!AD3:AH37))</f>
        <v>0</v>
      </c>
      <c r="Q21" s="2965"/>
      <c r="R21" s="1235"/>
      <c r="S21" s="1235"/>
      <c r="T21" s="1230"/>
      <c r="U21" s="1230"/>
      <c r="V21" s="1230"/>
      <c r="W21" s="1229"/>
      <c r="X21" s="1229"/>
      <c r="Y21" s="1229"/>
      <c r="Z21" s="1236"/>
      <c r="AA21" s="1236"/>
      <c r="AB21" s="1236"/>
      <c r="AC21" s="1236"/>
      <c r="AD21" s="1236"/>
      <c r="AE21" s="1236"/>
      <c r="AF21" s="1236"/>
      <c r="AG21" s="2965"/>
      <c r="AH21" s="2965"/>
      <c r="AI21" s="2965"/>
      <c r="AJ21" s="2965"/>
    </row>
    <row r="22" spans="1:37" s="2149" customFormat="1" ht="14.25">
      <c r="A22" s="2088" t="s">
        <v>2483</v>
      </c>
      <c r="B22" s="2215" t="s">
        <v>2484</v>
      </c>
      <c r="C22" s="1483" t="s">
        <v>2485</v>
      </c>
      <c r="D22" s="1483">
        <f>IF(E22=G22,F22,IF(G3&lt;=10,ROUND(F22+(H22-F22)*(G3-E22)/(G22-E22),4),"——"))</f>
        <v>0</v>
      </c>
      <c r="E22" s="834">
        <f>ROUNDDOWN(G3,1)</f>
        <v>9.6</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9.6999999999999993</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5"/>
      <c r="M22" s="2965"/>
      <c r="N22" s="2214" t="s">
        <v>2486</v>
      </c>
      <c r="O22" s="1284"/>
      <c r="P22" s="1285">
        <f>SUMPRODUCT((地价!A3:A37=YEAR(G19)&amp;"-"&amp;ROUNDUP(MONTH(G19)/3,0))*(地价!AD2:AH2=N22)*(地价!AD3:AH37))</f>
        <v>0</v>
      </c>
      <c r="Q22" s="2965"/>
      <c r="R22" s="1235"/>
      <c r="S22" s="1235"/>
      <c r="T22" s="1230"/>
      <c r="U22" s="1230"/>
      <c r="V22" s="1230"/>
      <c r="W22" s="1229"/>
      <c r="X22" s="1229"/>
      <c r="Y22" s="1229"/>
      <c r="Z22" s="1236"/>
      <c r="AA22" s="1236"/>
      <c r="AB22" s="1236"/>
      <c r="AC22" s="1236"/>
      <c r="AD22" s="1236"/>
      <c r="AE22" s="1236"/>
      <c r="AF22" s="1236"/>
      <c r="AG22" s="2965"/>
      <c r="AH22" s="2965"/>
      <c r="AI22" s="2965"/>
      <c r="AJ22" s="2965"/>
    </row>
    <row r="23" spans="1:37" ht="27.75" thickBot="1">
      <c r="A23" s="2088" t="s">
        <v>2487</v>
      </c>
      <c r="B23" s="2216" t="s">
        <v>2488</v>
      </c>
      <c r="C23" s="928">
        <f>ROUND(IF(G3&gt;1,IF(I3&lt;7,SUMPRODUCT((B93:B98=I3)*(C92:N92=G2)*(C93:N98)),SUMIF(C92:N92,G2,C100:N100)),IF(I3&lt;7,SUMPRODUCT((B102:B107=I3)*(C92:N92=G2)*(C102:N107)),SUMIF(C92:N92,G2,C109:N109))),4)</f>
        <v>0</v>
      </c>
      <c r="D23" s="2184"/>
      <c r="E23" s="2184"/>
      <c r="F23" s="2217"/>
      <c r="G23" s="2218"/>
      <c r="H23" s="2219"/>
      <c r="I23" s="2220"/>
      <c r="J23" s="2221"/>
      <c r="K23" s="1229"/>
      <c r="L23" s="2130"/>
      <c r="M23" s="2130"/>
      <c r="N23" s="2214" t="s">
        <v>2489</v>
      </c>
      <c r="O23" s="1284"/>
      <c r="P23" s="1285">
        <f>SUMPRODUCT((地价!A3:A37=YEAR(G19)&amp;"-"&amp;ROUNDUP(MONTH(G19)/3,0))*(地价!AD2:AH2=N23)*(地价!AD3:AH37))</f>
        <v>0</v>
      </c>
      <c r="Q23" s="2130"/>
      <c r="R23" s="1235"/>
      <c r="S23" s="1235"/>
      <c r="T23" s="1230"/>
      <c r="U23" s="1230"/>
      <c r="V23" s="1230"/>
      <c r="W23" s="1229"/>
      <c r="X23" s="1229"/>
      <c r="Y23" s="1229"/>
      <c r="Z23" s="1236"/>
      <c r="AA23" s="1236"/>
      <c r="AB23" s="1236"/>
      <c r="AC23" s="1236"/>
      <c r="AD23" s="1236"/>
      <c r="AE23" s="1230"/>
      <c r="AF23" s="1230"/>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6"/>
      <c r="L24" s="2965"/>
      <c r="M24" s="2965"/>
      <c r="N24" s="2224" t="s">
        <v>2491</v>
      </c>
      <c r="O24" s="1286"/>
      <c r="P24" s="1287">
        <f>SUMPRODUCT((地价!A3:A37=YEAR(G19)&amp;"-"&amp;ROUNDUP(MONTH(G19)/3,0))*(地价!AD2:AH2=N24)*(地价!AD3:AH37))</f>
        <v>0</v>
      </c>
      <c r="Q24" s="2965"/>
      <c r="R24" s="1235"/>
      <c r="S24" s="1235"/>
      <c r="T24" s="1230"/>
      <c r="U24" s="1230"/>
      <c r="V24" s="1230"/>
      <c r="W24" s="1229"/>
      <c r="X24" s="1229"/>
      <c r="Y24" s="1229"/>
      <c r="Z24" s="1236"/>
      <c r="AA24" s="1236"/>
      <c r="AB24" s="1236"/>
      <c r="AC24" s="1236"/>
      <c r="AD24" s="1236"/>
      <c r="AE24" s="1236"/>
      <c r="AF24" s="1236"/>
      <c r="AG24" s="2965"/>
      <c r="AH24" s="2965"/>
      <c r="AI24" s="2965"/>
      <c r="AJ24" s="2965"/>
    </row>
    <row r="25" spans="1:37" ht="15.75" thickBot="1">
      <c r="A25" s="2203" t="s">
        <v>632</v>
      </c>
      <c r="B25" s="2225" t="s">
        <v>2492</v>
      </c>
      <c r="C25" s="848"/>
      <c r="D25" s="2159"/>
      <c r="E25" s="2159"/>
      <c r="F25" s="2226"/>
      <c r="G25" s="2159"/>
      <c r="H25" s="2159"/>
      <c r="I25" s="2159"/>
      <c r="J25" s="2160"/>
      <c r="K25" s="1229"/>
      <c r="L25" s="2130"/>
      <c r="M25" s="2130"/>
      <c r="N25" s="2960" t="s">
        <v>2493</v>
      </c>
      <c r="O25" s="2961"/>
      <c r="P25" s="2962">
        <f>SUMPRODUCT((地价!A3:A37=YEAR(G19)&amp;"-"&amp;ROUNDUP(MONTH(G19)/3,0))*(地价!AD2:AH2=N25)*(地价!AD3:AH37))</f>
        <v>0</v>
      </c>
      <c r="Q25" s="2130"/>
      <c r="R25" s="1235"/>
      <c r="S25" s="1235"/>
      <c r="T25" s="1230"/>
      <c r="U25" s="1230"/>
      <c r="V25" s="1230"/>
      <c r="W25" s="1229"/>
      <c r="X25" s="1229"/>
      <c r="Y25" s="1229"/>
      <c r="Z25" s="1236"/>
      <c r="AA25" s="1236"/>
      <c r="AB25" s="1236"/>
      <c r="AC25" s="1236"/>
      <c r="AD25" s="1236"/>
      <c r="AE25" s="1230"/>
      <c r="AF25" s="1230"/>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29"/>
      <c r="L26" s="2963" t="s">
        <v>2392</v>
      </c>
      <c r="M26" s="2157" t="s">
        <v>2457</v>
      </c>
      <c r="N26" s="2157" t="s">
        <v>2458</v>
      </c>
      <c r="O26" s="2157" t="s">
        <v>2459</v>
      </c>
      <c r="P26" s="2964" t="s">
        <v>2460</v>
      </c>
      <c r="Q26" s="2130"/>
      <c r="R26" s="1235"/>
      <c r="S26" s="1235"/>
      <c r="T26" s="1230"/>
      <c r="U26" s="1230"/>
      <c r="V26" s="1230"/>
      <c r="W26" s="1229"/>
      <c r="X26" s="1229"/>
      <c r="Y26" s="1229"/>
      <c r="Z26" s="1236"/>
      <c r="AA26" s="1236"/>
      <c r="AB26" s="1236"/>
      <c r="AC26" s="1236"/>
      <c r="AD26" s="1236"/>
      <c r="AE26" s="1230"/>
      <c r="AF26" s="1230"/>
      <c r="AG26" s="2287"/>
      <c r="AH26" s="2287"/>
      <c r="AI26" s="2287"/>
      <c r="AJ26" s="2287"/>
    </row>
    <row r="27" spans="1:37" ht="15.75" thickBot="1">
      <c r="A27" s="2227"/>
      <c r="B27" s="2231" t="s">
        <v>2495</v>
      </c>
      <c r="C27" s="849" t="e">
        <f>E30+SUM(I33:I39)</f>
        <v>#DIV/0!</v>
      </c>
      <c r="D27" s="2232"/>
      <c r="E27" s="2233"/>
      <c r="F27" s="2234"/>
      <c r="G27" s="2233"/>
      <c r="H27" s="2233"/>
      <c r="I27" s="2233"/>
      <c r="J27" s="2235"/>
      <c r="K27" s="1229"/>
      <c r="L27" s="2190" t="s">
        <v>2464</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29"/>
      <c r="L28" s="2191" t="s">
        <v>2467</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7"/>
      <c r="AH28" s="2287"/>
      <c r="AI28" s="2287"/>
      <c r="AJ28" s="2287"/>
    </row>
    <row r="29" spans="1:37" ht="22.5" customHeight="1">
      <c r="A29" s="2241"/>
      <c r="B29" s="2242" t="s">
        <v>2500</v>
      </c>
      <c r="C29" s="179" t="e">
        <f>ROUND(C5*C18*C19*C20*C21*C24,0)</f>
        <v>#DIV/0!</v>
      </c>
      <c r="D29" s="2243"/>
      <c r="E29" s="857" t="e">
        <f>ROUND(C29*D29/10000,0)</f>
        <v>#DIV/0!</v>
      </c>
      <c r="F29" s="2244" t="s">
        <v>2501</v>
      </c>
      <c r="G29" s="2245"/>
      <c r="H29" s="2245"/>
      <c r="I29" s="2245"/>
      <c r="J29" s="2246"/>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30"/>
      <c r="AH29" s="2130"/>
      <c r="AI29" s="2130"/>
      <c r="AJ29" s="2130"/>
    </row>
    <row r="30" spans="1:37" ht="25.5" thickBot="1">
      <c r="A30" s="2247"/>
      <c r="B30" s="2248" t="s">
        <v>2502</v>
      </c>
      <c r="C30" s="192" t="e">
        <f>ROUND(IF(E2="工业",C29*M39,C29*M38),0)</f>
        <v>#DIV/0!</v>
      </c>
      <c r="D30" s="2249"/>
      <c r="E30" s="857" t="e">
        <f>ROUND(C30*D30/10000,0)</f>
        <v>#DIV/0!</v>
      </c>
      <c r="F30" s="2250" t="s">
        <v>2503</v>
      </c>
      <c r="G30" s="2251"/>
      <c r="H30" s="2251"/>
      <c r="I30" s="2251"/>
      <c r="J30" s="2252"/>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30"/>
      <c r="AH30" s="2130"/>
      <c r="AI30" s="2130"/>
      <c r="AJ30" s="2130"/>
    </row>
    <row r="31" spans="1:37" ht="14.25">
      <c r="A31" s="2253"/>
      <c r="B31" s="2254" t="s">
        <v>2504</v>
      </c>
      <c r="C31" s="2255" t="s">
        <v>2505</v>
      </c>
      <c r="D31" s="2172"/>
      <c r="E31" s="2255"/>
      <c r="F31" s="2255"/>
      <c r="G31" s="2170" t="s">
        <v>2506</v>
      </c>
      <c r="H31" s="2172"/>
      <c r="I31" s="2256"/>
      <c r="J31" s="2173"/>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30"/>
      <c r="AH31" s="2130"/>
      <c r="AI31" s="2130"/>
      <c r="AJ31" s="2130"/>
    </row>
    <row r="32" spans="1:37" ht="24">
      <c r="A32" s="2241"/>
      <c r="B32" s="2257"/>
      <c r="C32" s="457" t="s">
        <v>2497</v>
      </c>
      <c r="D32" s="454" t="s">
        <v>2498</v>
      </c>
      <c r="E32" s="454" t="s">
        <v>2499</v>
      </c>
      <c r="F32" s="347" t="s">
        <v>2507</v>
      </c>
      <c r="G32" s="2258" t="s">
        <v>2497</v>
      </c>
      <c r="H32" s="2258" t="s">
        <v>2498</v>
      </c>
      <c r="I32" s="2258" t="s">
        <v>2499</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30"/>
      <c r="AH32" s="2130"/>
      <c r="AI32" s="2130"/>
      <c r="AJ32" s="2130"/>
    </row>
    <row r="33" spans="1:37" ht="36" customHeight="1">
      <c r="A33" s="3572"/>
      <c r="B33" s="2259" t="s">
        <v>2508</v>
      </c>
      <c r="C33" s="179" t="e">
        <f>ROUND(D5*C19*C20*C24*F33,0)</f>
        <v>#DIV/0!</v>
      </c>
      <c r="D33" s="2243"/>
      <c r="E33" s="175" t="e">
        <f>ROUND(C33*D33/10000,0)</f>
        <v>#DIV/0!</v>
      </c>
      <c r="F33" s="175">
        <f>SUMIF(修正!A57:A68,G2,修正!B57:B68)</f>
        <v>0</v>
      </c>
      <c r="G33" s="175" t="e">
        <f t="shared" ref="G33" si="6">ROUND(IF(E2="工业",C33*$M$39,C33*$M$38),0)</f>
        <v>#DIV/0!</v>
      </c>
      <c r="H33" s="175">
        <f>D33</f>
        <v>0</v>
      </c>
      <c r="I33" s="175" t="e">
        <f>ROUND(G33*H33/10000,0)</f>
        <v>#DIV/0!</v>
      </c>
      <c r="J33" s="3577" t="s">
        <v>2809</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7"/>
      <c r="AH33" s="2287"/>
      <c r="AI33" s="2287"/>
      <c r="AJ33" s="2287"/>
    </row>
    <row r="34" spans="1:37" ht="14.25">
      <c r="A34" s="3573"/>
      <c r="B34" s="2176" t="s">
        <v>2509</v>
      </c>
      <c r="C34" s="179" t="e">
        <f>ROUND(D5*C19*C20*C24*F34,0)</f>
        <v>#DIV/0!</v>
      </c>
      <c r="D34" s="2243"/>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73"/>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7"/>
      <c r="AH34" s="2287"/>
      <c r="AI34" s="2287"/>
      <c r="AJ34" s="2287"/>
    </row>
    <row r="35" spans="1:37">
      <c r="A35" s="3573"/>
      <c r="B35" s="2176" t="s">
        <v>2510</v>
      </c>
      <c r="C35" s="179" t="e">
        <f>ROUND(D5*C19*C20*C24*F35,0)</f>
        <v>#DIV/0!</v>
      </c>
      <c r="D35" s="2243"/>
      <c r="E35" s="175" t="e">
        <f t="shared" si="7"/>
        <v>#DIV/0!</v>
      </c>
      <c r="F35" s="175">
        <f>SUMIF(修正!A57:A68,G2,修正!D57:D68)</f>
        <v>0</v>
      </c>
      <c r="G35" s="175" t="e">
        <f>ROUND(IF(E2="工业",C35*$M$39,C35*$M$38),0)</f>
        <v>#DIV/0!</v>
      </c>
      <c r="H35" s="175">
        <f t="shared" si="8"/>
        <v>0</v>
      </c>
      <c r="I35" s="175" t="e">
        <f t="shared" si="9"/>
        <v>#DIV/0!</v>
      </c>
      <c r="J35" s="3573"/>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7"/>
      <c r="AH35" s="2287"/>
      <c r="AI35" s="2287"/>
      <c r="AJ35" s="2287"/>
    </row>
    <row r="36" spans="1:37" ht="13.5" thickBot="1">
      <c r="A36" s="3574"/>
      <c r="B36" s="2176" t="s">
        <v>2511</v>
      </c>
      <c r="C36" s="179" t="e">
        <f>ROUND(D5*C19*C20*C24*F36,0)</f>
        <v>#DIV/0!</v>
      </c>
      <c r="D36" s="2243"/>
      <c r="E36" s="175" t="e">
        <f t="shared" si="7"/>
        <v>#DIV/0!</v>
      </c>
      <c r="F36" s="175" t="e">
        <f>SUMIF(修正!A57:A68,G2,修正!#REF!)</f>
        <v>#REF!</v>
      </c>
      <c r="G36" s="175" t="e">
        <f>ROUND(IF(E2="工业",C36*$M$39,C36*$M$38),0)</f>
        <v>#DIV/0!</v>
      </c>
      <c r="H36" s="175">
        <f t="shared" si="8"/>
        <v>0</v>
      </c>
      <c r="I36" s="175" t="e">
        <f t="shared" si="9"/>
        <v>#DIV/0!</v>
      </c>
      <c r="J36" s="3574"/>
      <c r="K36" s="1229"/>
      <c r="L36" s="2130"/>
      <c r="M36" s="2130"/>
      <c r="N36" s="1229"/>
      <c r="O36" s="1229"/>
      <c r="P36" s="1229"/>
      <c r="Q36" s="1229"/>
      <c r="R36" s="1229"/>
      <c r="S36" s="1229"/>
      <c r="T36" s="1229"/>
      <c r="U36" s="1229"/>
      <c r="V36" s="1229"/>
      <c r="W36" s="1229"/>
      <c r="X36" s="1229"/>
      <c r="Y36" s="1229"/>
      <c r="Z36" s="1230"/>
      <c r="AA36" s="1230"/>
      <c r="AB36" s="1230"/>
      <c r="AC36" s="1230"/>
      <c r="AD36" s="1230"/>
      <c r="AE36" s="1230"/>
      <c r="AF36" s="1230"/>
      <c r="AG36" s="2287"/>
      <c r="AH36" s="2287"/>
      <c r="AI36" s="2287"/>
      <c r="AJ36" s="2287"/>
    </row>
    <row r="37" spans="1:37">
      <c r="A37" s="2261"/>
      <c r="B37" s="2176" t="s">
        <v>2512</v>
      </c>
      <c r="C37" s="175" t="e">
        <f>ROUND(D5*C19*C20*C24*F37,0)</f>
        <v>#DIV/0!</v>
      </c>
      <c r="D37" s="2243"/>
      <c r="E37" s="175" t="e">
        <f t="shared" si="7"/>
        <v>#DIV/0!</v>
      </c>
      <c r="F37" s="179">
        <f>SUMIF(修正!A57:A68,G2,修正!E57:E68)</f>
        <v>0</v>
      </c>
      <c r="G37" s="175" t="e">
        <f>ROUND(IF(E2="工业",C37*$M$39,C37*$M$38),0)</f>
        <v>#DIV/0!</v>
      </c>
      <c r="H37" s="175">
        <f t="shared" si="8"/>
        <v>0</v>
      </c>
      <c r="I37" s="175" t="e">
        <f t="shared" si="9"/>
        <v>#DIV/0!</v>
      </c>
      <c r="J37" s="2260"/>
      <c r="K37" s="1229"/>
      <c r="L37" s="2262" t="s">
        <v>2513</v>
      </c>
      <c r="M37" s="2263"/>
      <c r="N37" s="1229"/>
      <c r="O37" s="1229"/>
      <c r="P37" s="1229"/>
      <c r="Q37" s="1229"/>
      <c r="R37" s="1229"/>
      <c r="S37" s="1229"/>
      <c r="T37" s="1229"/>
      <c r="U37" s="1229"/>
      <c r="V37" s="1229"/>
      <c r="W37" s="1229"/>
      <c r="X37" s="1229"/>
      <c r="Y37" s="1229"/>
      <c r="Z37" s="1230"/>
      <c r="AA37" s="1230"/>
      <c r="AB37" s="1230"/>
      <c r="AC37" s="1230"/>
      <c r="AD37" s="1230"/>
      <c r="AE37" s="1230"/>
      <c r="AF37" s="1230"/>
      <c r="AG37" s="2287"/>
      <c r="AH37" s="2287"/>
      <c r="AI37" s="2287"/>
      <c r="AJ37" s="2287"/>
    </row>
    <row r="38" spans="1:37">
      <c r="A38" s="2261"/>
      <c r="B38" s="2176" t="s">
        <v>2514</v>
      </c>
      <c r="C38" s="175" t="e">
        <f>ROUND(D5*C19*C41*C24*F38,0)</f>
        <v>#DIV/0!</v>
      </c>
      <c r="D38" s="2243"/>
      <c r="E38" s="175" t="e">
        <f t="shared" si="7"/>
        <v>#DIV/0!</v>
      </c>
      <c r="F38" s="179">
        <f>SUMIF(修正!A57:A68,G2,修正!F57:F68)</f>
        <v>0</v>
      </c>
      <c r="G38" s="175" t="e">
        <f>ROUND(IF(E2="工业",C38*$M$39,C38*$M$38),0)</f>
        <v>#DIV/0!</v>
      </c>
      <c r="H38" s="175">
        <f t="shared" si="8"/>
        <v>0</v>
      </c>
      <c r="I38" s="175" t="e">
        <f t="shared" si="9"/>
        <v>#DIV/0!</v>
      </c>
      <c r="J38" s="2260"/>
      <c r="K38" s="1229"/>
      <c r="L38" s="1552" t="s">
        <v>2515</v>
      </c>
      <c r="M38" s="2264">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7"/>
      <c r="B39" s="2265" t="s">
        <v>2516</v>
      </c>
      <c r="C39" s="192" t="e">
        <f>ROUND(D5*C19*C41*C24*F39,0)</f>
        <v>#DIV/0!</v>
      </c>
      <c r="D39" s="2249"/>
      <c r="E39" s="192" t="e">
        <f t="shared" si="7"/>
        <v>#DIV/0!</v>
      </c>
      <c r="F39" s="850">
        <f>SUMIF(修正!A57:A68,G2,修正!G57:G68)</f>
        <v>0</v>
      </c>
      <c r="G39" s="192" t="e">
        <f>ROUND(IF(E2="工业",C39*$M$39,C39*$M$38),0)</f>
        <v>#DIV/0!</v>
      </c>
      <c r="H39" s="192">
        <f t="shared" si="8"/>
        <v>0</v>
      </c>
      <c r="I39" s="192" t="e">
        <f t="shared" si="9"/>
        <v>#DIV/0!</v>
      </c>
      <c r="J39" s="2266"/>
      <c r="K39" s="1229"/>
      <c r="L39" s="2267" t="s">
        <v>2460</v>
      </c>
      <c r="M39" s="2268">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7" t="s">
        <v>2620</v>
      </c>
      <c r="C41" s="347" t="e">
        <f>ROUND(POWER(1+E41,H41-G41)*(POWER(1+E41,G41)-1)/(POWER(1+E41,H41)-1),4)</f>
        <v>#DIV/0!</v>
      </c>
      <c r="D41" s="175" t="s">
        <v>2467</v>
      </c>
      <c r="E41" s="2316">
        <f>G20</f>
        <v>0</v>
      </c>
      <c r="F41" s="175" t="s">
        <v>2476</v>
      </c>
      <c r="G41" s="188"/>
      <c r="H41" s="175">
        <v>50</v>
      </c>
      <c r="Z41" s="1230"/>
      <c r="AA41" s="1230"/>
      <c r="AB41" s="1230"/>
      <c r="AC41" s="1230"/>
      <c r="AD41" s="1230"/>
      <c r="AE41" s="1230"/>
      <c r="AF41" s="1230"/>
      <c r="AG41" s="1230"/>
      <c r="AH41" s="1230"/>
      <c r="AI41" s="1230"/>
      <c r="AJ41" s="1230"/>
    </row>
    <row r="42" spans="1:37" s="1229" customFormat="1">
      <c r="A42" s="1230"/>
      <c r="B42" s="2269"/>
      <c r="Z42" s="1230"/>
      <c r="AA42" s="1230"/>
      <c r="AB42" s="1230"/>
      <c r="AC42" s="1230"/>
      <c r="AD42" s="1230"/>
      <c r="AE42" s="1230"/>
      <c r="AF42" s="1230"/>
      <c r="AG42" s="1230"/>
      <c r="AH42" s="1230"/>
      <c r="AI42" s="1230"/>
      <c r="AJ42" s="1230"/>
    </row>
    <row r="43" spans="1:37" s="1229" customFormat="1">
      <c r="A43" s="1230"/>
      <c r="B43" s="2269"/>
      <c r="Z43" s="1230"/>
      <c r="AA43" s="1230"/>
      <c r="AB43" s="1230"/>
      <c r="AC43" s="1230"/>
      <c r="AD43" s="1230"/>
      <c r="AE43" s="1230"/>
      <c r="AF43" s="1230"/>
      <c r="AG43" s="1230"/>
      <c r="AH43" s="1230"/>
      <c r="AI43" s="1230"/>
      <c r="AJ43" s="1230"/>
    </row>
    <row r="44" spans="1:37" s="1229" customFormat="1">
      <c r="A44" s="1230"/>
      <c r="B44" s="2269"/>
      <c r="Z44" s="1230"/>
      <c r="AA44" s="1230"/>
      <c r="AB44" s="1230"/>
      <c r="AC44" s="1230"/>
      <c r="AD44" s="1230"/>
      <c r="AE44" s="1230"/>
      <c r="AF44" s="1230"/>
      <c r="AG44" s="1230"/>
      <c r="AH44" s="1230"/>
      <c r="AI44" s="1230"/>
      <c r="AJ44" s="1230"/>
    </row>
    <row r="45" spans="1:37" s="1229" customFormat="1" ht="15.75" thickBot="1">
      <c r="A45" s="2270" t="s">
        <v>2517</v>
      </c>
      <c r="B45" s="2271"/>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2" t="s">
        <v>2518</v>
      </c>
      <c r="B46" s="2273">
        <f>1+E48</f>
        <v>1</v>
      </c>
      <c r="C46" s="2274"/>
      <c r="D46" s="750"/>
      <c r="E46" s="751"/>
      <c r="F46" s="2275"/>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6" t="s">
        <v>2519</v>
      </c>
      <c r="B47" s="1482" t="s">
        <v>2520</v>
      </c>
      <c r="C47" s="1482" t="s">
        <v>2521</v>
      </c>
      <c r="D47" s="1482" t="s">
        <v>2522</v>
      </c>
      <c r="E47" s="755" t="s">
        <v>2523</v>
      </c>
      <c r="F47" s="2277" t="s">
        <v>2524</v>
      </c>
      <c r="G47" s="1482" t="s">
        <v>574</v>
      </c>
      <c r="H47" s="2278" t="s">
        <v>2525</v>
      </c>
      <c r="I47" s="1482" t="s">
        <v>2526</v>
      </c>
      <c r="J47" s="559" t="s">
        <v>2176</v>
      </c>
      <c r="K47" s="559" t="s">
        <v>2177</v>
      </c>
      <c r="L47" s="559" t="s">
        <v>2178</v>
      </c>
      <c r="M47" s="559" t="s">
        <v>2179</v>
      </c>
      <c r="N47" s="559" t="s">
        <v>2180</v>
      </c>
      <c r="AA47" s="1230"/>
      <c r="AB47" s="1230"/>
      <c r="AC47" s="1230"/>
      <c r="AD47" s="1230"/>
      <c r="AE47" s="1230"/>
      <c r="AF47" s="1230"/>
      <c r="AG47" s="1230"/>
      <c r="AH47" s="1230"/>
      <c r="AI47" s="1230"/>
      <c r="AJ47" s="1230"/>
      <c r="AK47" s="1230"/>
    </row>
    <row r="48" spans="1:37" s="1229" customFormat="1" ht="38.25">
      <c r="A48" s="2276" t="s">
        <v>2527</v>
      </c>
      <c r="B48" s="2279" t="str">
        <f>估价对象房地状况!C4</f>
        <v>估价对象位于XX商圈，周边商业氛围成熟，人流量大，商业繁华度好</v>
      </c>
      <c r="C48" s="2181"/>
      <c r="D48" s="1173">
        <f t="shared" ref="D48:D56" si="10">SUMIF($J$47:$N$47,C48,J48:N48)</f>
        <v>0</v>
      </c>
      <c r="E48" s="757">
        <f>ROUND(SUM(D48:D56),4)</f>
        <v>0</v>
      </c>
      <c r="F48" s="1947" t="str">
        <f>IF(E2="商业",SUMIF(L1:L12,G2,N1:N12),"——")</f>
        <v>——</v>
      </c>
      <c r="G48" s="1171"/>
      <c r="H48" s="1175" t="str">
        <f t="shared" ref="H48:H56" si="11">IFERROR(ROUNDDOWN($F$48*I48/2,4),"——")</f>
        <v>——</v>
      </c>
      <c r="I48" s="756">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6" t="s">
        <v>2528</v>
      </c>
      <c r="B49" s="2280" t="str">
        <f>估价对象房地状况!C18</f>
        <v>估价对象周边道路状况、公共交通通达情况、停车便捷程度，综合评价交通便捷度较好</v>
      </c>
      <c r="C49" s="2181"/>
      <c r="D49" s="1173">
        <f t="shared" si="10"/>
        <v>0</v>
      </c>
      <c r="E49" s="758"/>
      <c r="F49" s="1947"/>
      <c r="G49" s="1171"/>
      <c r="H49" s="1175" t="str">
        <f t="shared" si="11"/>
        <v>——</v>
      </c>
      <c r="I49" s="756">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6" t="s">
        <v>2529</v>
      </c>
      <c r="B50" s="2280">
        <f>估价对象房地状况!C19</f>
        <v>0</v>
      </c>
      <c r="C50" s="2181"/>
      <c r="D50" s="1173">
        <f t="shared" si="10"/>
        <v>0</v>
      </c>
      <c r="E50" s="758"/>
      <c r="F50" s="1947"/>
      <c r="G50" s="1171"/>
      <c r="H50" s="1175" t="str">
        <f t="shared" si="11"/>
        <v>——</v>
      </c>
      <c r="I50" s="756">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6" t="s">
        <v>2530</v>
      </c>
      <c r="B51" s="2281" t="s">
        <v>2531</v>
      </c>
      <c r="C51" s="2181"/>
      <c r="D51" s="1173">
        <f t="shared" si="10"/>
        <v>0</v>
      </c>
      <c r="E51" s="758"/>
      <c r="F51" s="1947"/>
      <c r="G51" s="1171"/>
      <c r="H51" s="1175" t="str">
        <f t="shared" si="11"/>
        <v>——</v>
      </c>
      <c r="I51" s="756">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6" t="s">
        <v>2532</v>
      </c>
      <c r="B52" s="2280">
        <f>估价对象房地状况!C24</f>
        <v>0</v>
      </c>
      <c r="C52" s="2181"/>
      <c r="D52" s="1173">
        <f t="shared" si="10"/>
        <v>0</v>
      </c>
      <c r="E52" s="758"/>
      <c r="F52" s="1947"/>
      <c r="G52" s="1171"/>
      <c r="H52" s="1175" t="str">
        <f t="shared" si="11"/>
        <v>——</v>
      </c>
      <c r="I52" s="756">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6" t="s">
        <v>2533</v>
      </c>
      <c r="B53" s="2282" t="s">
        <v>2534</v>
      </c>
      <c r="C53" s="2181"/>
      <c r="D53" s="1173">
        <f t="shared" si="10"/>
        <v>0</v>
      </c>
      <c r="E53" s="758"/>
      <c r="F53" s="1947"/>
      <c r="G53" s="1171"/>
      <c r="H53" s="1175" t="str">
        <f t="shared" si="11"/>
        <v>——</v>
      </c>
      <c r="I53" s="756">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3" t="s">
        <v>2535</v>
      </c>
      <c r="B54" s="1443" t="str">
        <f>估价对象房地状况!C21</f>
        <v>估价对象所在区域公共配套设施齐备情况</v>
      </c>
      <c r="C54" s="2181"/>
      <c r="D54" s="1173">
        <f t="shared" si="10"/>
        <v>0</v>
      </c>
      <c r="E54" s="758"/>
      <c r="F54" s="1947"/>
      <c r="G54" s="1171"/>
      <c r="H54" s="1175" t="str">
        <f t="shared" si="11"/>
        <v>——</v>
      </c>
      <c r="I54" s="756">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3" t="s">
        <v>2536</v>
      </c>
      <c r="B55" s="2280" t="str">
        <f>估价对象房地状况!C22</f>
        <v>估价对象所在区域基础设施水平</v>
      </c>
      <c r="C55" s="2181"/>
      <c r="D55" s="1173">
        <f t="shared" si="10"/>
        <v>0</v>
      </c>
      <c r="E55" s="758"/>
      <c r="F55" s="1947"/>
      <c r="G55" s="1171"/>
      <c r="H55" s="1175" t="str">
        <f t="shared" si="11"/>
        <v>——</v>
      </c>
      <c r="I55" s="756">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4" t="s">
        <v>2537</v>
      </c>
      <c r="B56" s="2285" t="str">
        <f>估价对象房地状况!C20</f>
        <v>区域自然环境：；人文环境；综合评价环境状况一般</v>
      </c>
      <c r="C56" s="2181"/>
      <c r="D56" s="1173">
        <f t="shared" si="10"/>
        <v>0</v>
      </c>
      <c r="E56" s="761"/>
      <c r="F56" s="1947"/>
      <c r="G56" s="1171"/>
      <c r="H56" s="1175" t="str">
        <f t="shared" si="11"/>
        <v>——</v>
      </c>
      <c r="I56" s="760">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2" t="s">
        <v>2538</v>
      </c>
      <c r="B57" s="2273">
        <f>1+E59</f>
        <v>1</v>
      </c>
      <c r="C57" s="750"/>
      <c r="D57" s="750"/>
      <c r="E57" s="751"/>
      <c r="F57" s="2275"/>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6" t="s">
        <v>2519</v>
      </c>
      <c r="B58" s="1482"/>
      <c r="C58" s="1482" t="s">
        <v>2521</v>
      </c>
      <c r="D58" s="1482" t="s">
        <v>2522</v>
      </c>
      <c r="E58" s="755" t="s">
        <v>2523</v>
      </c>
      <c r="F58" s="2277" t="s">
        <v>2539</v>
      </c>
      <c r="G58" s="1482" t="s">
        <v>574</v>
      </c>
      <c r="H58" s="2278" t="s">
        <v>2525</v>
      </c>
      <c r="I58" s="1482" t="s">
        <v>2526</v>
      </c>
      <c r="J58" s="559" t="s">
        <v>2176</v>
      </c>
      <c r="K58" s="559" t="s">
        <v>2177</v>
      </c>
      <c r="L58" s="559" t="s">
        <v>2178</v>
      </c>
      <c r="M58" s="559" t="s">
        <v>2179</v>
      </c>
      <c r="N58" s="559" t="s">
        <v>2180</v>
      </c>
      <c r="AA58" s="1230"/>
      <c r="AB58" s="1230"/>
      <c r="AC58" s="1230"/>
      <c r="AD58" s="1230"/>
      <c r="AE58" s="1230"/>
      <c r="AF58" s="1230"/>
      <c r="AG58" s="1230"/>
      <c r="AH58" s="1230"/>
      <c r="AI58" s="1230"/>
      <c r="AJ58" s="1230"/>
      <c r="AK58" s="1230"/>
    </row>
    <row r="59" spans="1:37" s="1229" customFormat="1" ht="38.25">
      <c r="A59" s="2276" t="s">
        <v>2540</v>
      </c>
      <c r="B59" s="2279" t="str">
        <f>估价对象房地状况!C17</f>
        <v>估价对象位于XX商圈，周边办公楼项目较多，入驻率高，办公集聚程度较好</v>
      </c>
      <c r="C59" s="2181"/>
      <c r="D59" s="1173">
        <f t="shared" ref="D59:D67" si="15">SUMIF($J$58:$N$58,C59,J59:N59)</f>
        <v>0</v>
      </c>
      <c r="E59" s="757">
        <f>ROUND(SUM(D59:D67),4)</f>
        <v>0</v>
      </c>
      <c r="F59" s="1947" t="str">
        <f>IF(E2="办公",SUMIF(L1:L12,G2,N1:N12),"——")</f>
        <v>——</v>
      </c>
      <c r="G59" s="1171"/>
      <c r="H59" s="1175" t="str">
        <f t="shared" ref="H59:H67" si="16">IFERROR(ROUNDDOWN($F$59*I59/2,4),"——")</f>
        <v>——</v>
      </c>
      <c r="I59" s="756">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6" t="s">
        <v>2528</v>
      </c>
      <c r="B60" s="2280" t="str">
        <f>估价对象房地状况!C18</f>
        <v>估价对象周边道路状况、公共交通通达情况、停车便捷程度，综合评价交通便捷度较好</v>
      </c>
      <c r="C60" s="2181"/>
      <c r="D60" s="1173">
        <f t="shared" si="15"/>
        <v>0</v>
      </c>
      <c r="E60" s="758"/>
      <c r="F60" s="1947"/>
      <c r="G60" s="1171"/>
      <c r="H60" s="1175" t="str">
        <f t="shared" si="16"/>
        <v>——</v>
      </c>
      <c r="I60" s="756">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6" t="s">
        <v>2529</v>
      </c>
      <c r="B61" s="2280">
        <f>估价对象房地状况!C19</f>
        <v>0</v>
      </c>
      <c r="C61" s="2181"/>
      <c r="D61" s="1173">
        <f t="shared" si="15"/>
        <v>0</v>
      </c>
      <c r="E61" s="758"/>
      <c r="F61" s="1947"/>
      <c r="G61" s="1171"/>
      <c r="H61" s="1175" t="str">
        <f t="shared" si="16"/>
        <v>——</v>
      </c>
      <c r="I61" s="756">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6" t="s">
        <v>2530</v>
      </c>
      <c r="B62" s="2281" t="s">
        <v>2531</v>
      </c>
      <c r="C62" s="2181"/>
      <c r="D62" s="1173">
        <f t="shared" si="15"/>
        <v>0</v>
      </c>
      <c r="E62" s="758"/>
      <c r="F62" s="1947"/>
      <c r="G62" s="1171"/>
      <c r="H62" s="1175" t="str">
        <f t="shared" si="16"/>
        <v>——</v>
      </c>
      <c r="I62" s="756">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6" t="s">
        <v>2532</v>
      </c>
      <c r="B63" s="2280">
        <f>估价对象房地状况!C24</f>
        <v>0</v>
      </c>
      <c r="C63" s="2181"/>
      <c r="D63" s="1173">
        <f t="shared" si="15"/>
        <v>0</v>
      </c>
      <c r="E63" s="758"/>
      <c r="F63" s="1947"/>
      <c r="G63" s="1171"/>
      <c r="H63" s="1175" t="str">
        <f t="shared" si="16"/>
        <v>——</v>
      </c>
      <c r="I63" s="756">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6" t="s">
        <v>2533</v>
      </c>
      <c r="B64" s="2282" t="s">
        <v>2534</v>
      </c>
      <c r="C64" s="2181"/>
      <c r="D64" s="1173">
        <f t="shared" si="15"/>
        <v>0</v>
      </c>
      <c r="E64" s="758"/>
      <c r="F64" s="1947"/>
      <c r="G64" s="1171"/>
      <c r="H64" s="1175" t="str">
        <f t="shared" si="16"/>
        <v>——</v>
      </c>
      <c r="I64" s="756">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6" t="s">
        <v>2535</v>
      </c>
      <c r="B65" s="1443" t="str">
        <f>估价对象房地状况!C21</f>
        <v>估价对象所在区域公共配套设施齐备情况</v>
      </c>
      <c r="C65" s="2181"/>
      <c r="D65" s="1173">
        <f t="shared" si="15"/>
        <v>0</v>
      </c>
      <c r="E65" s="758"/>
      <c r="F65" s="1947"/>
      <c r="G65" s="1171"/>
      <c r="H65" s="1175" t="str">
        <f t="shared" si="16"/>
        <v>——</v>
      </c>
      <c r="I65" s="756">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6" t="s">
        <v>2536</v>
      </c>
      <c r="B66" s="1443" t="str">
        <f>估价对象房地状况!C22</f>
        <v>估价对象所在区域基础设施水平</v>
      </c>
      <c r="C66" s="2181"/>
      <c r="D66" s="1173">
        <f t="shared" si="15"/>
        <v>0</v>
      </c>
      <c r="E66" s="758"/>
      <c r="F66" s="1947"/>
      <c r="G66" s="1171"/>
      <c r="H66" s="1175" t="str">
        <f t="shared" si="16"/>
        <v>——</v>
      </c>
      <c r="I66" s="756">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4" t="s">
        <v>2537</v>
      </c>
      <c r="B67" s="2286" t="str">
        <f>估价对象房地状况!C20</f>
        <v>区域自然环境：；人文环境；综合评价环境状况一般</v>
      </c>
      <c r="C67" s="2181"/>
      <c r="D67" s="1173">
        <f t="shared" si="15"/>
        <v>0</v>
      </c>
      <c r="E67" s="761"/>
      <c r="F67" s="1947"/>
      <c r="G67" s="1171"/>
      <c r="H67" s="1175" t="str">
        <f t="shared" si="16"/>
        <v>——</v>
      </c>
      <c r="I67" s="760">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2" t="s">
        <v>2541</v>
      </c>
      <c r="B68" s="2273">
        <f>1+E70</f>
        <v>1</v>
      </c>
      <c r="C68" s="750"/>
      <c r="D68" s="750"/>
      <c r="E68" s="751"/>
      <c r="F68" s="2275"/>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6" t="s">
        <v>2519</v>
      </c>
      <c r="B69" s="1482"/>
      <c r="C69" s="1482" t="s">
        <v>2521</v>
      </c>
      <c r="D69" s="1482" t="s">
        <v>2522</v>
      </c>
      <c r="E69" s="755" t="s">
        <v>2523</v>
      </c>
      <c r="F69" s="2277" t="s">
        <v>2539</v>
      </c>
      <c r="G69" s="1482" t="s">
        <v>574</v>
      </c>
      <c r="H69" s="2278" t="s">
        <v>2525</v>
      </c>
      <c r="I69" s="1482" t="s">
        <v>2526</v>
      </c>
      <c r="J69" s="559" t="s">
        <v>2176</v>
      </c>
      <c r="K69" s="559" t="s">
        <v>2177</v>
      </c>
      <c r="L69" s="559" t="s">
        <v>2178</v>
      </c>
      <c r="M69" s="559" t="s">
        <v>2179</v>
      </c>
      <c r="N69" s="559" t="s">
        <v>2180</v>
      </c>
      <c r="AA69" s="1230"/>
      <c r="AB69" s="1230"/>
      <c r="AC69" s="1230"/>
      <c r="AD69" s="1230"/>
      <c r="AE69" s="1230"/>
      <c r="AF69" s="1230"/>
      <c r="AG69" s="1230"/>
      <c r="AH69" s="1230"/>
      <c r="AI69" s="1230"/>
      <c r="AJ69" s="1230"/>
      <c r="AK69" s="1230"/>
    </row>
    <row r="70" spans="1:37" s="1229" customFormat="1" ht="51">
      <c r="A70" s="2276" t="s">
        <v>2542</v>
      </c>
      <c r="B70" s="2279" t="str">
        <f>估价对象房地状况!C15</f>
        <v>估价对象周边居住用地比例、居住小区规模和社区发展完善程度，综合评价居住社区成熟度一般</v>
      </c>
      <c r="C70" s="2181"/>
      <c r="D70" s="1173">
        <f t="shared" ref="D70:D78" si="20">SUMIF($J$69:$N$69,C70,J70:N70)</f>
        <v>0</v>
      </c>
      <c r="E70" s="757">
        <f>ROUND(SUM(D70:D78),4)</f>
        <v>0</v>
      </c>
      <c r="F70" s="1947" t="str">
        <f>IF(E2="住宅",SUMIF(L1:L12,G2,N1:N12),"——")</f>
        <v>——</v>
      </c>
      <c r="G70" s="1171"/>
      <c r="H70" s="1175" t="str">
        <f t="shared" ref="H70:H78" si="21">IFERROR(ROUNDDOWN($F$70*I70/2,4),"——")</f>
        <v>——</v>
      </c>
      <c r="I70" s="756">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6" t="s">
        <v>2528</v>
      </c>
      <c r="B71" s="2280" t="str">
        <f>估价对象房地状况!C18</f>
        <v>估价对象周边道路状况、公共交通通达情况、停车便捷程度，综合评价交通便捷度较好</v>
      </c>
      <c r="C71" s="2181"/>
      <c r="D71" s="1173">
        <f t="shared" si="20"/>
        <v>0</v>
      </c>
      <c r="E71" s="762"/>
      <c r="F71" s="1947"/>
      <c r="G71" s="1171"/>
      <c r="H71" s="1175" t="str">
        <f t="shared" si="21"/>
        <v>——</v>
      </c>
      <c r="I71" s="756">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6" t="s">
        <v>2529</v>
      </c>
      <c r="B72" s="2280">
        <f>估价对象房地状况!C19</f>
        <v>0</v>
      </c>
      <c r="C72" s="2181"/>
      <c r="D72" s="1173">
        <f t="shared" si="20"/>
        <v>0</v>
      </c>
      <c r="E72" s="762"/>
      <c r="F72" s="1947"/>
      <c r="G72" s="1171"/>
      <c r="H72" s="1175" t="str">
        <f t="shared" si="21"/>
        <v>——</v>
      </c>
      <c r="I72" s="756">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6" t="s">
        <v>2543</v>
      </c>
      <c r="B73" s="2280">
        <f>估价对象房地状况!C24</f>
        <v>0</v>
      </c>
      <c r="C73" s="2181"/>
      <c r="D73" s="1173">
        <f t="shared" si="20"/>
        <v>0</v>
      </c>
      <c r="E73" s="762"/>
      <c r="F73" s="1947"/>
      <c r="G73" s="1171"/>
      <c r="H73" s="1175" t="str">
        <f t="shared" si="21"/>
        <v>——</v>
      </c>
      <c r="I73" s="756">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6" t="s">
        <v>2535</v>
      </c>
      <c r="B74" s="1443" t="str">
        <f>估价对象房地状况!C21</f>
        <v>估价对象所在区域公共配套设施齐备情况</v>
      </c>
      <c r="C74" s="2181"/>
      <c r="D74" s="1173">
        <f t="shared" si="20"/>
        <v>0</v>
      </c>
      <c r="E74" s="762"/>
      <c r="F74" s="1947"/>
      <c r="G74" s="1171"/>
      <c r="H74" s="1175" t="str">
        <f t="shared" si="21"/>
        <v>——</v>
      </c>
      <c r="I74" s="756">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6" t="s">
        <v>2536</v>
      </c>
      <c r="B75" s="1443" t="str">
        <f>估价对象房地状况!C22</f>
        <v>估价对象所在区域基础设施水平</v>
      </c>
      <c r="C75" s="2181"/>
      <c r="D75" s="1173">
        <f t="shared" si="20"/>
        <v>0</v>
      </c>
      <c r="E75" s="762"/>
      <c r="F75" s="1947"/>
      <c r="G75" s="1171"/>
      <c r="H75" s="1175" t="str">
        <f t="shared" si="21"/>
        <v>——</v>
      </c>
      <c r="I75" s="756">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30" customFormat="1" ht="24">
      <c r="A76" s="2276" t="s">
        <v>2533</v>
      </c>
      <c r="B76" s="2282" t="s">
        <v>2534</v>
      </c>
      <c r="C76" s="2181"/>
      <c r="D76" s="1173">
        <f t="shared" si="20"/>
        <v>0</v>
      </c>
      <c r="E76" s="762"/>
      <c r="F76" s="1947"/>
      <c r="G76" s="1171"/>
      <c r="H76" s="1175" t="str">
        <f t="shared" si="21"/>
        <v>——</v>
      </c>
      <c r="I76" s="756">
        <v>0.05</v>
      </c>
      <c r="J76" s="1172">
        <f t="shared" si="22"/>
        <v>0</v>
      </c>
      <c r="K76" s="1172">
        <f t="shared" si="23"/>
        <v>0</v>
      </c>
      <c r="L76" s="1172">
        <v>0</v>
      </c>
      <c r="M76" s="1172">
        <f t="shared" si="24"/>
        <v>0</v>
      </c>
      <c r="N76" s="1172">
        <f t="shared" si="24"/>
        <v>0</v>
      </c>
      <c r="AA76" s="2287"/>
      <c r="AB76" s="1230"/>
      <c r="AC76" s="1230"/>
      <c r="AD76" s="1230"/>
      <c r="AE76" s="1230"/>
      <c r="AF76" s="1230"/>
      <c r="AG76" s="1230"/>
      <c r="AH76" s="2287"/>
      <c r="AI76" s="2287"/>
      <c r="AJ76" s="2287"/>
      <c r="AK76" s="2287"/>
    </row>
    <row r="77" spans="1:37" ht="38.25">
      <c r="A77" s="2276" t="s">
        <v>2537</v>
      </c>
      <c r="B77" s="2279" t="str">
        <f>估价对象房地状况!C20</f>
        <v>区域自然环境：；人文环境；综合评价环境状况一般</v>
      </c>
      <c r="C77" s="2181"/>
      <c r="D77" s="1173">
        <f t="shared" si="20"/>
        <v>0</v>
      </c>
      <c r="E77" s="762"/>
      <c r="F77" s="1947"/>
      <c r="G77" s="1171"/>
      <c r="H77" s="1175" t="str">
        <f t="shared" si="21"/>
        <v>——</v>
      </c>
      <c r="I77" s="756">
        <v>0.15</v>
      </c>
      <c r="J77" s="1172">
        <f t="shared" si="22"/>
        <v>0</v>
      </c>
      <c r="K77" s="1172">
        <f t="shared" si="23"/>
        <v>0</v>
      </c>
      <c r="L77" s="1172">
        <v>0</v>
      </c>
      <c r="M77" s="1172">
        <f t="shared" si="24"/>
        <v>0</v>
      </c>
      <c r="N77" s="1172">
        <f t="shared" si="24"/>
        <v>0</v>
      </c>
      <c r="Z77" s="2131"/>
      <c r="AA77" s="2197"/>
      <c r="AG77" s="1231"/>
      <c r="AK77" s="2197"/>
    </row>
    <row r="78" spans="1:37" ht="24.75" thickBot="1">
      <c r="A78" s="2284" t="s">
        <v>2544</v>
      </c>
      <c r="B78" s="2288"/>
      <c r="C78" s="2181"/>
      <c r="D78" s="1173">
        <f t="shared" si="20"/>
        <v>0</v>
      </c>
      <c r="E78" s="763"/>
      <c r="F78" s="1947"/>
      <c r="G78" s="1171"/>
      <c r="H78" s="1175" t="str">
        <f t="shared" si="21"/>
        <v>——</v>
      </c>
      <c r="I78" s="760">
        <v>0.04</v>
      </c>
      <c r="J78" s="1172">
        <f t="shared" si="22"/>
        <v>0</v>
      </c>
      <c r="K78" s="1172">
        <f t="shared" si="23"/>
        <v>0</v>
      </c>
      <c r="L78" s="1172">
        <v>0</v>
      </c>
      <c r="M78" s="1172">
        <f t="shared" si="24"/>
        <v>0</v>
      </c>
      <c r="N78" s="1172">
        <f t="shared" si="24"/>
        <v>0</v>
      </c>
      <c r="Z78" s="2131"/>
      <c r="AA78" s="2197"/>
      <c r="AG78" s="1231"/>
      <c r="AK78" s="2197"/>
    </row>
    <row r="79" spans="1:37" ht="15">
      <c r="A79" s="2272" t="s">
        <v>2545</v>
      </c>
      <c r="B79" s="2273">
        <f>1+E81</f>
        <v>1</v>
      </c>
      <c r="C79" s="750"/>
      <c r="D79" s="750"/>
      <c r="E79" s="751"/>
      <c r="F79" s="2275"/>
      <c r="G79" s="6"/>
      <c r="H79" s="6"/>
      <c r="I79" s="6"/>
      <c r="J79" s="7"/>
      <c r="K79" s="7"/>
      <c r="L79" s="7"/>
      <c r="M79" s="7"/>
      <c r="N79" s="7"/>
      <c r="Z79" s="2131"/>
      <c r="AA79" s="2197"/>
      <c r="AG79" s="1231"/>
      <c r="AK79" s="2197"/>
    </row>
    <row r="80" spans="1:37" ht="24.75">
      <c r="A80" s="2276" t="s">
        <v>2519</v>
      </c>
      <c r="B80" s="1482"/>
      <c r="C80" s="1482" t="s">
        <v>2521</v>
      </c>
      <c r="D80" s="1482" t="s">
        <v>2522</v>
      </c>
      <c r="E80" s="755" t="s">
        <v>2523</v>
      </c>
      <c r="F80" s="2277" t="s">
        <v>2539</v>
      </c>
      <c r="G80" s="1482" t="s">
        <v>574</v>
      </c>
      <c r="H80" s="2278" t="s">
        <v>2525</v>
      </c>
      <c r="I80" s="1482" t="s">
        <v>2526</v>
      </c>
      <c r="J80" s="559" t="s">
        <v>2176</v>
      </c>
      <c r="K80" s="559" t="s">
        <v>2177</v>
      </c>
      <c r="L80" s="559" t="s">
        <v>2178</v>
      </c>
      <c r="M80" s="559" t="s">
        <v>2179</v>
      </c>
      <c r="N80" s="559" t="s">
        <v>2180</v>
      </c>
      <c r="Z80" s="2131"/>
      <c r="AA80" s="2197"/>
      <c r="AG80" s="1231"/>
      <c r="AK80" s="2197"/>
    </row>
    <row r="81" spans="1:37" ht="38.25">
      <c r="A81" s="2276" t="s">
        <v>2546</v>
      </c>
      <c r="B81" s="2280" t="str">
        <f>估价对象房地状况!G15</f>
        <v>估价对象位于XX开发区，园区建设成熟度XX，产业集聚程度XX</v>
      </c>
      <c r="C81" s="2181"/>
      <c r="D81" s="1173">
        <f t="shared" ref="D81:D88" si="25">SUMIF($J$80:$N$80,C81,J81:N81)</f>
        <v>0</v>
      </c>
      <c r="E81" s="757">
        <f>ROUND(SUM(D81:D88),4)</f>
        <v>0</v>
      </c>
      <c r="F81" s="1947" t="str">
        <f>IF(E2="工业",SUMIF(L1:L12,G2,N1:N12),"——")</f>
        <v>——</v>
      </c>
      <c r="G81" s="1171"/>
      <c r="H81" s="1175" t="str">
        <f t="shared" ref="H81:H88" si="26">IFERROR(ROUNDDOWN($F$81*I81/2,4),"——")</f>
        <v>——</v>
      </c>
      <c r="I81" s="756">
        <v>0.26</v>
      </c>
      <c r="J81" s="1172">
        <f t="shared" ref="J81:J88" si="27">K81+$G81</f>
        <v>0</v>
      </c>
      <c r="K81" s="1172">
        <f t="shared" ref="K81:K88" si="28">$L81+$G81</f>
        <v>0</v>
      </c>
      <c r="L81" s="1172">
        <v>0</v>
      </c>
      <c r="M81" s="1172">
        <f t="shared" ref="M81:N88" si="29">L81-$G81</f>
        <v>0</v>
      </c>
      <c r="N81" s="1172">
        <f t="shared" si="29"/>
        <v>0</v>
      </c>
      <c r="Z81" s="2131"/>
      <c r="AA81" s="2197"/>
      <c r="AG81" s="1231"/>
      <c r="AK81" s="2197"/>
    </row>
    <row r="82" spans="1:37" ht="51">
      <c r="A82" s="2276" t="s">
        <v>2528</v>
      </c>
      <c r="B82" s="2280" t="str">
        <f>估价对象房地状况!G16</f>
        <v>估价对象周边道路状况、公共交通通达情况、停车便捷程度，综合评价交通便捷度较好</v>
      </c>
      <c r="C82" s="2181"/>
      <c r="D82" s="1173">
        <f t="shared" si="25"/>
        <v>0</v>
      </c>
      <c r="E82" s="762"/>
      <c r="F82" s="1947"/>
      <c r="G82" s="1171"/>
      <c r="H82" s="1175" t="str">
        <f t="shared" si="26"/>
        <v>——</v>
      </c>
      <c r="I82" s="756">
        <v>0.33</v>
      </c>
      <c r="J82" s="1172">
        <f t="shared" si="27"/>
        <v>0</v>
      </c>
      <c r="K82" s="1172">
        <f t="shared" si="28"/>
        <v>0</v>
      </c>
      <c r="L82" s="1172">
        <v>0</v>
      </c>
      <c r="M82" s="1172">
        <f t="shared" si="29"/>
        <v>0</v>
      </c>
      <c r="N82" s="1172">
        <f t="shared" si="29"/>
        <v>0</v>
      </c>
      <c r="Z82" s="2131"/>
      <c r="AA82" s="2197"/>
      <c r="AG82" s="1231"/>
      <c r="AK82" s="2197"/>
    </row>
    <row r="83" spans="1:37" ht="24">
      <c r="A83" s="2276" t="s">
        <v>2529</v>
      </c>
      <c r="B83" s="2280">
        <f>估价对象房地状况!G17</f>
        <v>0</v>
      </c>
      <c r="C83" s="2181"/>
      <c r="D83" s="1173">
        <f t="shared" si="25"/>
        <v>0</v>
      </c>
      <c r="E83" s="762"/>
      <c r="F83" s="1947"/>
      <c r="G83" s="1171"/>
      <c r="H83" s="1175" t="str">
        <f t="shared" si="26"/>
        <v>——</v>
      </c>
      <c r="I83" s="756">
        <v>0.05</v>
      </c>
      <c r="J83" s="1172">
        <f t="shared" si="27"/>
        <v>0</v>
      </c>
      <c r="K83" s="1172">
        <f t="shared" si="28"/>
        <v>0</v>
      </c>
      <c r="L83" s="1172">
        <v>0</v>
      </c>
      <c r="M83" s="1172">
        <f t="shared" si="29"/>
        <v>0</v>
      </c>
      <c r="N83" s="1172">
        <f t="shared" si="29"/>
        <v>0</v>
      </c>
      <c r="Z83" s="2131"/>
      <c r="AA83" s="2197"/>
      <c r="AG83" s="1231"/>
      <c r="AK83" s="2197"/>
    </row>
    <row r="84" spans="1:37" ht="14.25">
      <c r="A84" s="2276" t="s">
        <v>2543</v>
      </c>
      <c r="B84" s="2280">
        <f>估价对象房地状况!G22</f>
        <v>0</v>
      </c>
      <c r="C84" s="2181"/>
      <c r="D84" s="1173">
        <f t="shared" si="25"/>
        <v>0</v>
      </c>
      <c r="E84" s="762"/>
      <c r="F84" s="1947"/>
      <c r="G84" s="1171"/>
      <c r="H84" s="1175" t="str">
        <f t="shared" si="26"/>
        <v>——</v>
      </c>
      <c r="I84" s="756">
        <v>0.04</v>
      </c>
      <c r="J84" s="1172">
        <f t="shared" si="27"/>
        <v>0</v>
      </c>
      <c r="K84" s="1172">
        <f t="shared" si="28"/>
        <v>0</v>
      </c>
      <c r="L84" s="1172">
        <v>0</v>
      </c>
      <c r="M84" s="1172">
        <f t="shared" si="29"/>
        <v>0</v>
      </c>
      <c r="N84" s="1172">
        <f t="shared" si="29"/>
        <v>0</v>
      </c>
      <c r="Z84" s="2131"/>
      <c r="AA84" s="2197"/>
      <c r="AG84" s="1231"/>
      <c r="AK84" s="2197"/>
    </row>
    <row r="85" spans="1:37" ht="25.5">
      <c r="A85" s="2276" t="s">
        <v>2535</v>
      </c>
      <c r="B85" s="1443" t="str">
        <f>估价对象房地状况!G19</f>
        <v>估价对象所在区域公共配套设施齐备情况</v>
      </c>
      <c r="C85" s="2181"/>
      <c r="D85" s="1173">
        <f t="shared" si="25"/>
        <v>0</v>
      </c>
      <c r="E85" s="762"/>
      <c r="F85" s="1947"/>
      <c r="G85" s="1171"/>
      <c r="H85" s="1175" t="str">
        <f t="shared" si="26"/>
        <v>——</v>
      </c>
      <c r="I85" s="756">
        <v>0.06</v>
      </c>
      <c r="J85" s="1172">
        <f t="shared" si="27"/>
        <v>0</v>
      </c>
      <c r="K85" s="1172">
        <f t="shared" si="28"/>
        <v>0</v>
      </c>
      <c r="L85" s="1172">
        <v>0</v>
      </c>
      <c r="M85" s="1172">
        <f t="shared" si="29"/>
        <v>0</v>
      </c>
      <c r="N85" s="1172">
        <f t="shared" si="29"/>
        <v>0</v>
      </c>
      <c r="Z85" s="2131"/>
      <c r="AA85" s="2197"/>
      <c r="AG85" s="1231"/>
      <c r="AK85" s="2197"/>
    </row>
    <row r="86" spans="1:37" ht="25.5">
      <c r="A86" s="2276" t="s">
        <v>2536</v>
      </c>
      <c r="B86" s="1443" t="str">
        <f>估价对象房地状况!G20</f>
        <v>估价对象所在区域基础设施水平</v>
      </c>
      <c r="C86" s="2181"/>
      <c r="D86" s="1173">
        <f t="shared" si="25"/>
        <v>0</v>
      </c>
      <c r="E86" s="762"/>
      <c r="F86" s="1947"/>
      <c r="G86" s="1171"/>
      <c r="H86" s="1175" t="str">
        <f t="shared" si="26"/>
        <v>——</v>
      </c>
      <c r="I86" s="756">
        <v>0.15</v>
      </c>
      <c r="J86" s="1172">
        <f t="shared" si="27"/>
        <v>0</v>
      </c>
      <c r="K86" s="1172">
        <f t="shared" si="28"/>
        <v>0</v>
      </c>
      <c r="L86" s="1172">
        <v>0</v>
      </c>
      <c r="M86" s="1172">
        <f t="shared" si="29"/>
        <v>0</v>
      </c>
      <c r="N86" s="1172">
        <f t="shared" si="29"/>
        <v>0</v>
      </c>
      <c r="Z86" s="2131"/>
      <c r="AA86" s="2197"/>
      <c r="AG86" s="1231"/>
      <c r="AK86" s="2197"/>
    </row>
    <row r="87" spans="1:37" ht="24">
      <c r="A87" s="2276" t="s">
        <v>2533</v>
      </c>
      <c r="B87" s="2282" t="s">
        <v>2547</v>
      </c>
      <c r="C87" s="2181"/>
      <c r="D87" s="1173">
        <f t="shared" si="25"/>
        <v>0</v>
      </c>
      <c r="E87" s="762"/>
      <c r="F87" s="1947"/>
      <c r="G87" s="1171"/>
      <c r="H87" s="1175" t="str">
        <f t="shared" si="26"/>
        <v>——</v>
      </c>
      <c r="I87" s="756">
        <v>0.05</v>
      </c>
      <c r="J87" s="1172">
        <f t="shared" si="27"/>
        <v>0</v>
      </c>
      <c r="K87" s="1172">
        <f t="shared" si="28"/>
        <v>0</v>
      </c>
      <c r="L87" s="1172">
        <v>0</v>
      </c>
      <c r="M87" s="1172">
        <f t="shared" si="29"/>
        <v>0</v>
      </c>
      <c r="N87" s="1172">
        <f t="shared" si="29"/>
        <v>0</v>
      </c>
      <c r="Z87" s="2131"/>
      <c r="AA87" s="2197"/>
      <c r="AG87" s="1231"/>
      <c r="AK87" s="2197"/>
    </row>
    <row r="88" spans="1:37" ht="39" thickBot="1">
      <c r="A88" s="2284" t="s">
        <v>2548</v>
      </c>
      <c r="B88" s="2289" t="str">
        <f>估价对象房地状况!G18</f>
        <v>该园区内是否有污染型企业，绿化情况，卫生条件，整体环境状况判断</v>
      </c>
      <c r="C88" s="2181"/>
      <c r="D88" s="1173">
        <f t="shared" si="25"/>
        <v>0</v>
      </c>
      <c r="E88" s="763"/>
      <c r="F88" s="1947"/>
      <c r="G88" s="1171"/>
      <c r="H88" s="1175" t="str">
        <f t="shared" si="26"/>
        <v>——</v>
      </c>
      <c r="I88" s="760">
        <v>0.06</v>
      </c>
      <c r="J88" s="1172">
        <f t="shared" si="27"/>
        <v>0</v>
      </c>
      <c r="K88" s="1172">
        <f t="shared" si="28"/>
        <v>0</v>
      </c>
      <c r="L88" s="1172">
        <v>0</v>
      </c>
      <c r="M88" s="1172">
        <f t="shared" si="29"/>
        <v>0</v>
      </c>
      <c r="N88" s="1172">
        <f t="shared" si="29"/>
        <v>0</v>
      </c>
      <c r="Z88" s="2131"/>
      <c r="AA88" s="2197"/>
      <c r="AG88" s="1231"/>
      <c r="AK88" s="2197"/>
    </row>
    <row r="90" spans="1:37">
      <c r="A90" s="3564" t="s">
        <v>2549</v>
      </c>
      <c r="B90" s="3564"/>
      <c r="C90" s="3564"/>
      <c r="D90" s="3564"/>
      <c r="E90" s="3564"/>
      <c r="F90" s="3564"/>
      <c r="G90" s="3564"/>
      <c r="H90" s="3564"/>
      <c r="I90" s="3564"/>
      <c r="J90" s="3564"/>
      <c r="K90" s="2290"/>
      <c r="L90" s="2290"/>
      <c r="M90" s="2290"/>
      <c r="N90" s="2290"/>
    </row>
    <row r="91" spans="1:37">
      <c r="A91" s="3566" t="s">
        <v>2550</v>
      </c>
      <c r="B91" s="3566" t="s">
        <v>2551</v>
      </c>
      <c r="C91" s="2244" t="s">
        <v>2552</v>
      </c>
      <c r="D91" s="2245"/>
      <c r="E91" s="2245"/>
      <c r="F91" s="2245"/>
      <c r="G91" s="2245"/>
      <c r="H91" s="2245"/>
      <c r="I91" s="2245"/>
      <c r="J91" s="2291"/>
      <c r="K91" s="2292"/>
      <c r="L91" s="2292"/>
      <c r="M91" s="2292"/>
      <c r="N91" s="2292"/>
    </row>
    <row r="92" spans="1:37">
      <c r="A92" s="3566"/>
      <c r="B92" s="3566"/>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67"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68"/>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68"/>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68"/>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68"/>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68"/>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68"/>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69"/>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67" t="s">
        <v>2554</v>
      </c>
      <c r="B101" s="2297" t="s">
        <v>2555</v>
      </c>
      <c r="C101" s="2298">
        <f>$G$3</f>
        <v>9.61</v>
      </c>
      <c r="D101" s="2298">
        <f t="shared" ref="D101:N101" si="31">$G$3</f>
        <v>9.61</v>
      </c>
      <c r="E101" s="2298">
        <f t="shared" si="31"/>
        <v>9.61</v>
      </c>
      <c r="F101" s="2298">
        <f t="shared" si="31"/>
        <v>9.61</v>
      </c>
      <c r="G101" s="2298">
        <f t="shared" si="31"/>
        <v>9.61</v>
      </c>
      <c r="H101" s="2298">
        <f t="shared" si="31"/>
        <v>9.61</v>
      </c>
      <c r="I101" s="2298">
        <f t="shared" si="31"/>
        <v>9.61</v>
      </c>
      <c r="J101" s="2298">
        <f t="shared" si="31"/>
        <v>9.61</v>
      </c>
      <c r="K101" s="2298">
        <f t="shared" si="31"/>
        <v>9.61</v>
      </c>
      <c r="L101" s="2298">
        <f t="shared" si="31"/>
        <v>9.61</v>
      </c>
      <c r="M101" s="2298">
        <f t="shared" si="31"/>
        <v>9.61</v>
      </c>
      <c r="N101" s="2298">
        <f t="shared" si="31"/>
        <v>9.61</v>
      </c>
    </row>
    <row r="102" spans="1:14">
      <c r="A102" s="3568"/>
      <c r="B102" s="2293">
        <v>1</v>
      </c>
      <c r="C102" s="2294">
        <f>1.9362/C101</f>
        <v>0.20147762747138398</v>
      </c>
      <c r="D102" s="2294">
        <f>1.9362/D101</f>
        <v>0.20147762747138398</v>
      </c>
      <c r="E102" s="2294">
        <f>1.8629/E101</f>
        <v>0.19385015608740896</v>
      </c>
      <c r="F102" s="2294">
        <f>1.8629/F101</f>
        <v>0.19385015608740896</v>
      </c>
      <c r="G102" s="2294">
        <f>1.8629/G101</f>
        <v>0.19385015608740896</v>
      </c>
      <c r="H102" s="2294">
        <f>1.8629/H101</f>
        <v>0.19385015608740896</v>
      </c>
      <c r="I102" s="2294">
        <f>1.8629/I101</f>
        <v>0.19385015608740896</v>
      </c>
      <c r="J102" s="2294">
        <f>1.942/J101</f>
        <v>0.20208116545265351</v>
      </c>
      <c r="K102" s="2294">
        <f>1.942/K101</f>
        <v>0.20208116545265351</v>
      </c>
      <c r="L102" s="2294">
        <f>1.942/L101</f>
        <v>0.20208116545265351</v>
      </c>
      <c r="M102" s="2294">
        <f>1.942/M101</f>
        <v>0.20208116545265351</v>
      </c>
      <c r="N102" s="2294">
        <f>1.942/N101</f>
        <v>0.20208116545265351</v>
      </c>
    </row>
    <row r="103" spans="1:14">
      <c r="A103" s="3568"/>
      <c r="B103" s="2293">
        <v>2</v>
      </c>
      <c r="C103" s="2294">
        <f>1.4198/C101</f>
        <v>0.14774193548387096</v>
      </c>
      <c r="D103" s="2294">
        <f>1.4198/D101</f>
        <v>0.14774193548387096</v>
      </c>
      <c r="E103" s="2294">
        <f>1.3372/E101</f>
        <v>0.13914672216441207</v>
      </c>
      <c r="F103" s="2294">
        <f>1.3372/F101</f>
        <v>0.13914672216441207</v>
      </c>
      <c r="G103" s="2294">
        <f>1.3372/G101</f>
        <v>0.13914672216441207</v>
      </c>
      <c r="H103" s="2294">
        <f>1.3372/H101</f>
        <v>0.13914672216441207</v>
      </c>
      <c r="I103" s="2294">
        <f>1.3372/I101</f>
        <v>0.13914672216441207</v>
      </c>
      <c r="J103" s="2294">
        <f>1.2799/J101</f>
        <v>0.13318418314255984</v>
      </c>
      <c r="K103" s="2294">
        <f>1.2799/K101</f>
        <v>0.13318418314255984</v>
      </c>
      <c r="L103" s="2294">
        <f>1.2799/L101</f>
        <v>0.13318418314255984</v>
      </c>
      <c r="M103" s="2294">
        <f>1.2799/M101</f>
        <v>0.13318418314255984</v>
      </c>
      <c r="N103" s="2294">
        <f>1.2799/N101</f>
        <v>0.13318418314255984</v>
      </c>
    </row>
    <row r="104" spans="1:14">
      <c r="A104" s="3568"/>
      <c r="B104" s="2293">
        <v>3</v>
      </c>
      <c r="C104" s="2294">
        <f>1.1594/C101</f>
        <v>0.12064516129032259</v>
      </c>
      <c r="D104" s="2294">
        <f>1.1594/D101</f>
        <v>0.12064516129032259</v>
      </c>
      <c r="E104" s="2294">
        <f>1.0788/E101</f>
        <v>0.11225806451612903</v>
      </c>
      <c r="F104" s="2294">
        <f>1.0788/F101</f>
        <v>0.11225806451612903</v>
      </c>
      <c r="G104" s="2294">
        <f>1.0788/G101</f>
        <v>0.11225806451612903</v>
      </c>
      <c r="H104" s="2294">
        <f>1.0788/H101</f>
        <v>0.11225806451612903</v>
      </c>
      <c r="I104" s="2294">
        <f>1.0788/I101</f>
        <v>0.11225806451612903</v>
      </c>
      <c r="J104" s="2294">
        <f>1.0072/J101</f>
        <v>0.10480749219562957</v>
      </c>
      <c r="K104" s="2294">
        <f>1.0072/K101</f>
        <v>0.10480749219562957</v>
      </c>
      <c r="L104" s="2294">
        <f>1.0072/L101</f>
        <v>0.10480749219562957</v>
      </c>
      <c r="M104" s="2294">
        <f>1.0072/M101</f>
        <v>0.10480749219562957</v>
      </c>
      <c r="N104" s="2294">
        <f>1.0072/N101</f>
        <v>0.10480749219562957</v>
      </c>
    </row>
    <row r="105" spans="1:14">
      <c r="A105" s="3568"/>
      <c r="B105" s="2293">
        <v>4</v>
      </c>
      <c r="C105" s="2294">
        <f>0.9622/C101</f>
        <v>0.10012486992715922</v>
      </c>
      <c r="D105" s="2294">
        <f>0.9622/D101</f>
        <v>0.10012486992715922</v>
      </c>
      <c r="E105" s="2294">
        <f>0.8656/E101</f>
        <v>9.0072840790842879E-2</v>
      </c>
      <c r="F105" s="2294">
        <f>0.8656/F101</f>
        <v>9.0072840790842879E-2</v>
      </c>
      <c r="G105" s="2294">
        <f>0.8656/G101</f>
        <v>9.0072840790842879E-2</v>
      </c>
      <c r="H105" s="2294">
        <f>0.8656/H101</f>
        <v>9.0072840790842879E-2</v>
      </c>
      <c r="I105" s="2294">
        <f>0.8656/I101</f>
        <v>9.0072840790842879E-2</v>
      </c>
      <c r="J105" s="2294">
        <f>0.7525/J101</f>
        <v>7.8303850156087401E-2</v>
      </c>
      <c r="K105" s="2294">
        <f>0.7525/K101</f>
        <v>7.8303850156087401E-2</v>
      </c>
      <c r="L105" s="2294">
        <f>0.7525/L101</f>
        <v>7.8303850156087401E-2</v>
      </c>
      <c r="M105" s="2294">
        <f>0.7525/M101</f>
        <v>7.8303850156087401E-2</v>
      </c>
      <c r="N105" s="2294">
        <f>0.7525/N101</f>
        <v>7.8303850156087401E-2</v>
      </c>
    </row>
    <row r="106" spans="1:14">
      <c r="A106" s="3568"/>
      <c r="B106" s="2293">
        <v>5</v>
      </c>
      <c r="C106" s="2294">
        <f>0.8417/C101</f>
        <v>8.7585848074921965E-2</v>
      </c>
      <c r="D106" s="2294">
        <f>0.8417/D101</f>
        <v>8.7585848074921965E-2</v>
      </c>
      <c r="E106" s="2294">
        <f>0.7371/E101</f>
        <v>7.6701352757544222E-2</v>
      </c>
      <c r="F106" s="2294">
        <f>0.7371/F101</f>
        <v>7.6701352757544222E-2</v>
      </c>
      <c r="G106" s="2294">
        <f>0.7371/G101</f>
        <v>7.6701352757544222E-2</v>
      </c>
      <c r="H106" s="2294">
        <f>0.7371/H101</f>
        <v>7.6701352757544222E-2</v>
      </c>
      <c r="I106" s="2294">
        <f>0.7371/I101</f>
        <v>7.6701352757544222E-2</v>
      </c>
      <c r="J106" s="2294">
        <f>0.5659/J101</f>
        <v>5.8886576482830383E-2</v>
      </c>
      <c r="K106" s="2294">
        <f>0.5659/K101</f>
        <v>5.8886576482830383E-2</v>
      </c>
      <c r="L106" s="2294">
        <f>0.5659/L101</f>
        <v>5.8886576482830383E-2</v>
      </c>
      <c r="M106" s="2294">
        <f>0.5659/M101</f>
        <v>5.8886576482830383E-2</v>
      </c>
      <c r="N106" s="2294">
        <f>0.5659/N101</f>
        <v>5.8886576482830383E-2</v>
      </c>
    </row>
    <row r="107" spans="1:14">
      <c r="A107" s="3568"/>
      <c r="B107" s="2293">
        <v>6</v>
      </c>
      <c r="C107" s="2294">
        <f>0.7608/C101</f>
        <v>7.916753381893861E-2</v>
      </c>
      <c r="D107" s="2294">
        <f>0.7608/D101</f>
        <v>7.916753381893861E-2</v>
      </c>
      <c r="E107" s="2294">
        <f>0.6482/E101</f>
        <v>6.7450572320499488E-2</v>
      </c>
      <c r="F107" s="2294">
        <f>0.6482/F101</f>
        <v>6.7450572320499488E-2</v>
      </c>
      <c r="G107" s="2294">
        <f>0.6482/G101</f>
        <v>6.7450572320499488E-2</v>
      </c>
      <c r="H107" s="2294">
        <f>0.6482/H101</f>
        <v>6.7450572320499488E-2</v>
      </c>
      <c r="I107" s="2294">
        <f>0.6482/I101</f>
        <v>6.7450572320499488E-2</v>
      </c>
      <c r="J107" s="2294">
        <f>0.4525/J101</f>
        <v>4.7086368366285124E-2</v>
      </c>
      <c r="K107" s="2294">
        <f>0.4525/K101</f>
        <v>4.7086368366285124E-2</v>
      </c>
      <c r="L107" s="2294">
        <f>0.4525/L101</f>
        <v>4.7086368366285124E-2</v>
      </c>
      <c r="M107" s="2294">
        <f>0.4525/M101</f>
        <v>4.7086368366285124E-2</v>
      </c>
      <c r="N107" s="2294">
        <f>0.4525/N101</f>
        <v>4.7086368366285124E-2</v>
      </c>
    </row>
    <row r="108" spans="1:14">
      <c r="A108" s="3568"/>
      <c r="B108" s="3570"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69"/>
      <c r="B109" s="3571"/>
      <c r="C109" s="2296">
        <f>(-0.163*(C108^2)-0.59*C108+7617)*(10^(-4))/C101</f>
        <v>7.9261186264308017E-2</v>
      </c>
      <c r="D109" s="2296">
        <f>(-0.163*(D108^2)-0.59*D108+7617)*(10^(-4))/D101</f>
        <v>7.9261186264308017E-2</v>
      </c>
      <c r="E109" s="2296">
        <f>(-0.161*(E108^2)-7.509*E108+6533)*(10^(-4))/E101</f>
        <v>6.7981269510926118E-2</v>
      </c>
      <c r="F109" s="2296">
        <f>(-0.161*(F108^2)-7.509*F108+6533)*(10^(-4))/F101</f>
        <v>6.7981269510926118E-2</v>
      </c>
      <c r="G109" s="2296">
        <f>(-0.161*(G108^2)-7.509*G108+6533)*(10^(-4))/G101</f>
        <v>6.7981269510926118E-2</v>
      </c>
      <c r="H109" s="2296">
        <f>(-0.161*(H108^2)-7.509*H108+6533)*(10^(-4))/H101</f>
        <v>6.7981269510926118E-2</v>
      </c>
      <c r="I109" s="2296">
        <f>(-0.161*(I108^2)-7.509*I108+6533)*(10^(-4))/I101</f>
        <v>6.7981269510926118E-2</v>
      </c>
      <c r="J109" s="2296">
        <f>(-0.214*(J108^2)-21.991*J108+4665)*(10^(-4))/J101</f>
        <v>4.8543184183142567E-2</v>
      </c>
      <c r="K109" s="2296">
        <f>(-0.214*(K108^2)-21.991*K108+4665)*(10^(-4))/K101</f>
        <v>4.8543184183142567E-2</v>
      </c>
      <c r="L109" s="2296">
        <f>(-0.214*(L108^2)-21.991*L108+4665)*(10^(-4))/L101</f>
        <v>4.8543184183142567E-2</v>
      </c>
      <c r="M109" s="2296">
        <f>(-0.214*(M108^2)-21.991*M108+4665)*(10^(-4))/M101</f>
        <v>4.8543184183142567E-2</v>
      </c>
      <c r="N109" s="2296">
        <f>(-0.214*(N108^2)-21.991*N108+4665)*(10^(-4))/N101</f>
        <v>4.8543184183142567E-2</v>
      </c>
    </row>
    <row r="110" spans="1:14">
      <c r="A110" s="3565" t="s">
        <v>2557</v>
      </c>
      <c r="B110" s="3565"/>
      <c r="C110" s="3565"/>
      <c r="D110" s="3565"/>
      <c r="E110" s="3565"/>
      <c r="F110" s="3565"/>
      <c r="G110" s="3565"/>
      <c r="H110" s="3565"/>
      <c r="I110" s="3565"/>
      <c r="J110" s="3565"/>
      <c r="K110" s="2299"/>
      <c r="L110" s="2299"/>
      <c r="M110" s="2299"/>
      <c r="N110" s="2299"/>
    </row>
    <row r="112" spans="1:14" ht="13.5" thickBot="1"/>
    <row r="113" spans="1:13" ht="25.5" thickBot="1">
      <c r="A113" s="821" t="s">
        <v>2558</v>
      </c>
      <c r="B113" s="1174">
        <f>G3</f>
        <v>9.61</v>
      </c>
      <c r="C113" s="822" t="s">
        <v>2559</v>
      </c>
      <c r="D113" s="823">
        <f>SUMPRODUCT((A115:A118=F113)*(B114:M114=H113)*B115:M118)</f>
        <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f>ROUND(0.9335-0.0094*B113,4)</f>
        <v>0.84319999999999995</v>
      </c>
      <c r="C115" s="828">
        <f>B115</f>
        <v>0.84319999999999995</v>
      </c>
      <c r="D115" s="828">
        <f>ROUND(0.8331-0.0109*B113,4)</f>
        <v>0.72840000000000005</v>
      </c>
      <c r="E115" s="828">
        <f>D115</f>
        <v>0.72840000000000005</v>
      </c>
      <c r="F115" s="828">
        <f>E115</f>
        <v>0.72840000000000005</v>
      </c>
      <c r="G115" s="828">
        <f>F115</f>
        <v>0.72840000000000005</v>
      </c>
      <c r="H115" s="828">
        <f>G115</f>
        <v>0.72840000000000005</v>
      </c>
      <c r="I115" s="828">
        <f>ROUND(0.689-0.0155*B113,4)</f>
        <v>0.54</v>
      </c>
      <c r="J115" s="828">
        <f t="shared" ref="J115:M118" si="33">I115</f>
        <v>0.54</v>
      </c>
      <c r="K115" s="828">
        <f t="shared" si="33"/>
        <v>0.54</v>
      </c>
      <c r="L115" s="828">
        <f t="shared" si="33"/>
        <v>0.54</v>
      </c>
      <c r="M115" s="829">
        <f t="shared" si="33"/>
        <v>0.54</v>
      </c>
    </row>
    <row r="116" spans="1:13">
      <c r="A116" s="827" t="s">
        <v>2458</v>
      </c>
      <c r="B116" s="828">
        <f>ROUND(0.949-0.012*B113,4)</f>
        <v>0.8337</v>
      </c>
      <c r="C116" s="828">
        <f>B116</f>
        <v>0.8337</v>
      </c>
      <c r="D116" s="828">
        <f>ROUND(0.8567-0.013*B113,4)</f>
        <v>0.73180000000000001</v>
      </c>
      <c r="E116" s="828">
        <f t="shared" ref="E116:H117" si="34">D116</f>
        <v>0.73180000000000001</v>
      </c>
      <c r="F116" s="828">
        <f t="shared" si="34"/>
        <v>0.73180000000000001</v>
      </c>
      <c r="G116" s="828">
        <f t="shared" si="34"/>
        <v>0.73180000000000001</v>
      </c>
      <c r="H116" s="828">
        <f t="shared" si="34"/>
        <v>0.73180000000000001</v>
      </c>
      <c r="I116" s="828">
        <f>ROUND(0.7694-0.014*B113,4)</f>
        <v>0.63490000000000002</v>
      </c>
      <c r="J116" s="828">
        <f t="shared" si="33"/>
        <v>0.63490000000000002</v>
      </c>
      <c r="K116" s="828">
        <f t="shared" si="33"/>
        <v>0.63490000000000002</v>
      </c>
      <c r="L116" s="828">
        <f t="shared" si="33"/>
        <v>0.63490000000000002</v>
      </c>
      <c r="M116" s="829">
        <f t="shared" si="33"/>
        <v>0.63490000000000002</v>
      </c>
    </row>
    <row r="117" spans="1:13">
      <c r="A117" s="827" t="s">
        <v>2459</v>
      </c>
      <c r="B117" s="828">
        <f>ROUND(0.8808-0.006*B113,4)</f>
        <v>0.82310000000000005</v>
      </c>
      <c r="C117" s="828">
        <f>B117</f>
        <v>0.82310000000000005</v>
      </c>
      <c r="D117" s="828">
        <f>ROUND(0.8748-0.008*B113,4)</f>
        <v>0.79790000000000005</v>
      </c>
      <c r="E117" s="828">
        <f t="shared" si="34"/>
        <v>0.79790000000000005</v>
      </c>
      <c r="F117" s="828">
        <f t="shared" si="34"/>
        <v>0.79790000000000005</v>
      </c>
      <c r="G117" s="828">
        <f t="shared" si="34"/>
        <v>0.79790000000000005</v>
      </c>
      <c r="H117" s="828">
        <f t="shared" si="34"/>
        <v>0.79790000000000005</v>
      </c>
      <c r="I117" s="828">
        <f>ROUND(0.7412-0.0095*B113,4)</f>
        <v>0.64990000000000003</v>
      </c>
      <c r="J117" s="828">
        <f t="shared" si="33"/>
        <v>0.64990000000000003</v>
      </c>
      <c r="K117" s="828">
        <f t="shared" si="33"/>
        <v>0.64990000000000003</v>
      </c>
      <c r="L117" s="828">
        <f t="shared" si="33"/>
        <v>0.64990000000000003</v>
      </c>
      <c r="M117" s="829">
        <f t="shared" si="33"/>
        <v>0.64990000000000003</v>
      </c>
    </row>
    <row r="118" spans="1:13" ht="13.5" thickBot="1">
      <c r="A118" s="667" t="s">
        <v>2460</v>
      </c>
      <c r="B118" s="830">
        <f>ROUND(0.7275-0.01*B113,4)</f>
        <v>0.63139999999999996</v>
      </c>
      <c r="C118" s="830">
        <f>B118</f>
        <v>0.63139999999999996</v>
      </c>
      <c r="D118" s="830">
        <f>ROUND(0.7043-0.012*B113,4)</f>
        <v>0.58899999999999997</v>
      </c>
      <c r="E118" s="830">
        <f>D118</f>
        <v>0.58899999999999997</v>
      </c>
      <c r="F118" s="830">
        <f>E118</f>
        <v>0.58899999999999997</v>
      </c>
      <c r="G118" s="830">
        <f>ROUND(0.6299-0.0122*B113,4)</f>
        <v>0.51270000000000004</v>
      </c>
      <c r="H118" s="830">
        <f>G118</f>
        <v>0.51270000000000004</v>
      </c>
      <c r="I118" s="830">
        <f>ROUND(0.5667-0.0136*B113,4)</f>
        <v>0.436</v>
      </c>
      <c r="J118" s="830">
        <f t="shared" si="33"/>
        <v>0.436</v>
      </c>
      <c r="K118" s="830">
        <f t="shared" si="33"/>
        <v>0.436</v>
      </c>
      <c r="L118" s="830">
        <f t="shared" si="33"/>
        <v>0.436</v>
      </c>
      <c r="M118" s="831">
        <f t="shared" si="33"/>
        <v>0.436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3" t="s">
        <v>2943</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2944</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2945</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2946</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2947</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2948</v>
      </c>
      <c r="B7" s="3197">
        <v>2.5</v>
      </c>
      <c r="C7" s="3197">
        <v>2.5</v>
      </c>
      <c r="D7" s="3197">
        <v>2</v>
      </c>
      <c r="E7" s="3197">
        <v>2</v>
      </c>
      <c r="F7" s="3197">
        <v>2</v>
      </c>
      <c r="G7" s="3197">
        <v>2</v>
      </c>
      <c r="H7" s="3197">
        <v>2</v>
      </c>
      <c r="I7" s="3198">
        <v>1.5</v>
      </c>
      <c r="J7" s="3198">
        <v>1.5</v>
      </c>
      <c r="K7" s="3198">
        <v>1.5</v>
      </c>
      <c r="L7" s="3198">
        <v>1.5</v>
      </c>
      <c r="M7" s="3199">
        <v>1.5</v>
      </c>
    </row>
    <row r="8" spans="1:13" ht="19.5" customHeight="1">
      <c r="A8" s="793"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3"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3"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3"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3"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3"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3"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4"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2622</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4" t="s">
        <v>2949</v>
      </c>
      <c r="B19" s="3206" t="s">
        <v>2950</v>
      </c>
      <c r="C19" s="3207" t="s">
        <v>2951</v>
      </c>
      <c r="D19" s="3208"/>
      <c r="E19" s="3202" t="s">
        <v>2952</v>
      </c>
      <c r="F19" s="800"/>
      <c r="G19" s="800"/>
    </row>
    <row r="20" spans="1:13" s="805" customFormat="1" ht="19.5" customHeight="1">
      <c r="A20" s="3587" t="s">
        <v>2953</v>
      </c>
      <c r="B20" s="3582" t="s">
        <v>2954</v>
      </c>
      <c r="C20" s="3209" t="s">
        <v>2955</v>
      </c>
      <c r="D20" s="3210"/>
      <c r="E20" s="3211">
        <v>1</v>
      </c>
      <c r="F20" s="3212" t="s">
        <v>2956</v>
      </c>
      <c r="G20" s="804"/>
      <c r="H20" s="798"/>
      <c r="I20" s="798"/>
    </row>
    <row r="21" spans="1:13" s="805" customFormat="1" ht="19.5" customHeight="1">
      <c r="A21" s="3588"/>
      <c r="B21" s="3581"/>
      <c r="C21" s="802" t="s">
        <v>2957</v>
      </c>
      <c r="D21" s="803"/>
      <c r="E21" s="3213">
        <v>1</v>
      </c>
      <c r="F21" s="3212" t="s">
        <v>2958</v>
      </c>
      <c r="G21" s="804"/>
      <c r="H21" s="798"/>
      <c r="I21" s="798"/>
    </row>
    <row r="22" spans="1:13" s="805" customFormat="1" ht="19.5" customHeight="1">
      <c r="A22" s="3588"/>
      <c r="B22" s="3581"/>
      <c r="C22" s="802" t="s">
        <v>2959</v>
      </c>
      <c r="D22" s="803"/>
      <c r="E22" s="3213">
        <v>0.9</v>
      </c>
      <c r="F22" s="3212" t="s">
        <v>2960</v>
      </c>
      <c r="G22" s="804"/>
      <c r="H22" s="798"/>
      <c r="I22" s="798"/>
    </row>
    <row r="23" spans="1:13" s="805" customFormat="1" ht="19.5" customHeight="1">
      <c r="A23" s="3588"/>
      <c r="B23" s="3581"/>
      <c r="C23" s="802" t="s">
        <v>2961</v>
      </c>
      <c r="D23" s="803"/>
      <c r="E23" s="3213">
        <v>0.9</v>
      </c>
      <c r="F23" s="3212" t="s">
        <v>2962</v>
      </c>
      <c r="G23" s="804"/>
      <c r="H23" s="798"/>
      <c r="I23" s="798"/>
    </row>
    <row r="24" spans="1:13" s="805" customFormat="1" ht="19.5" customHeight="1">
      <c r="A24" s="3588"/>
      <c r="B24" s="3581"/>
      <c r="C24" s="802" t="s">
        <v>2963</v>
      </c>
      <c r="D24" s="803"/>
      <c r="E24" s="3213">
        <v>0.8</v>
      </c>
      <c r="F24" s="3212" t="s">
        <v>2964</v>
      </c>
      <c r="G24" s="804"/>
      <c r="H24" s="798"/>
      <c r="I24" s="798"/>
    </row>
    <row r="25" spans="1:13" s="805" customFormat="1" ht="19.5" customHeight="1" thickBot="1">
      <c r="A25" s="3589"/>
      <c r="B25" s="3583"/>
      <c r="C25" s="3214" t="s">
        <v>2965</v>
      </c>
      <c r="D25" s="3215"/>
      <c r="E25" s="3216">
        <v>0.8</v>
      </c>
      <c r="F25" s="3212" t="s">
        <v>2966</v>
      </c>
      <c r="G25" s="804"/>
      <c r="H25" s="798"/>
      <c r="I25" s="798"/>
    </row>
    <row r="26" spans="1:13" s="805" customFormat="1" ht="19.5" customHeight="1" thickBot="1">
      <c r="A26" s="3217" t="s">
        <v>2967</v>
      </c>
      <c r="B26" s="3218" t="s">
        <v>2954</v>
      </c>
      <c r="C26" s="3219" t="s">
        <v>2968</v>
      </c>
      <c r="D26" s="3220"/>
      <c r="E26" s="3221">
        <v>1</v>
      </c>
      <c r="F26" s="3212" t="s">
        <v>2969</v>
      </c>
      <c r="G26" s="804"/>
      <c r="H26" s="798"/>
      <c r="I26" s="798"/>
    </row>
    <row r="27" spans="1:13" s="805" customFormat="1" ht="19.5" customHeight="1">
      <c r="A27" s="3584" t="s">
        <v>2970</v>
      </c>
      <c r="B27" s="3582" t="s">
        <v>2970</v>
      </c>
      <c r="C27" s="3209" t="s">
        <v>2971</v>
      </c>
      <c r="D27" s="3210"/>
      <c r="E27" s="3211">
        <v>1</v>
      </c>
      <c r="F27" s="3212" t="s">
        <v>2972</v>
      </c>
      <c r="G27" s="804"/>
      <c r="H27" s="798"/>
      <c r="I27" s="798"/>
    </row>
    <row r="28" spans="1:13" s="805" customFormat="1" ht="19.5" customHeight="1">
      <c r="A28" s="3585"/>
      <c r="B28" s="3581"/>
      <c r="C28" s="802" t="s">
        <v>2973</v>
      </c>
      <c r="D28" s="803"/>
      <c r="E28" s="3213">
        <v>1</v>
      </c>
      <c r="F28" s="3212" t="s">
        <v>2974</v>
      </c>
      <c r="G28" s="804"/>
      <c r="H28" s="798"/>
      <c r="I28" s="798"/>
    </row>
    <row r="29" spans="1:13" s="805" customFormat="1" ht="19.5" customHeight="1">
      <c r="A29" s="3585"/>
      <c r="B29" s="3581"/>
      <c r="C29" s="802" t="s">
        <v>2975</v>
      </c>
      <c r="D29" s="803"/>
      <c r="E29" s="3213">
        <v>0.8</v>
      </c>
      <c r="F29" s="3212" t="s">
        <v>2976</v>
      </c>
      <c r="G29" s="804"/>
      <c r="H29" s="798"/>
      <c r="I29" s="798"/>
    </row>
    <row r="30" spans="1:13" s="805" customFormat="1" ht="19.5" customHeight="1">
      <c r="A30" s="3585"/>
      <c r="B30" s="3581"/>
      <c r="C30" s="802" t="s">
        <v>2977</v>
      </c>
      <c r="D30" s="803"/>
      <c r="E30" s="3213">
        <v>0.8</v>
      </c>
      <c r="F30" s="3212" t="s">
        <v>2978</v>
      </c>
      <c r="G30" s="804"/>
      <c r="H30" s="798"/>
      <c r="I30" s="798"/>
    </row>
    <row r="31" spans="1:13" s="805" customFormat="1" ht="19.5" customHeight="1">
      <c r="A31" s="3585"/>
      <c r="B31" s="3581"/>
      <c r="C31" s="802" t="s">
        <v>2979</v>
      </c>
      <c r="D31" s="803"/>
      <c r="E31" s="3213">
        <v>0.8</v>
      </c>
      <c r="F31" s="3212" t="s">
        <v>2980</v>
      </c>
      <c r="G31" s="804"/>
      <c r="H31" s="798"/>
      <c r="I31" s="798"/>
    </row>
    <row r="32" spans="1:13" s="805" customFormat="1" ht="19.5" customHeight="1">
      <c r="A32" s="3585"/>
      <c r="B32" s="3581"/>
      <c r="C32" s="802" t="s">
        <v>2981</v>
      </c>
      <c r="D32" s="803"/>
      <c r="E32" s="3213">
        <v>0.7</v>
      </c>
      <c r="F32" s="3212" t="s">
        <v>2982</v>
      </c>
      <c r="G32" s="804"/>
      <c r="H32" s="798"/>
      <c r="I32" s="798"/>
    </row>
    <row r="33" spans="1:9" s="805" customFormat="1" ht="19.5" customHeight="1">
      <c r="A33" s="3585"/>
      <c r="B33" s="3581"/>
      <c r="C33" s="802" t="s">
        <v>2983</v>
      </c>
      <c r="D33" s="803"/>
      <c r="E33" s="3213">
        <v>0.8</v>
      </c>
      <c r="F33" s="3212" t="s">
        <v>2984</v>
      </c>
      <c r="G33" s="804"/>
      <c r="H33" s="798"/>
      <c r="I33" s="798"/>
    </row>
    <row r="34" spans="1:9" s="805" customFormat="1" ht="19.5" customHeight="1">
      <c r="A34" s="3585"/>
      <c r="B34" s="3581"/>
      <c r="C34" s="802" t="s">
        <v>2985</v>
      </c>
      <c r="D34" s="803"/>
      <c r="E34" s="3213">
        <v>0.6</v>
      </c>
      <c r="F34" s="3212" t="s">
        <v>2986</v>
      </c>
      <c r="G34" s="804"/>
      <c r="H34" s="798"/>
      <c r="I34" s="798"/>
    </row>
    <row r="35" spans="1:9" s="805" customFormat="1" ht="19.5" customHeight="1">
      <c r="A35" s="3585"/>
      <c r="B35" s="3581"/>
      <c r="C35" s="802" t="s">
        <v>2987</v>
      </c>
      <c r="D35" s="803"/>
      <c r="E35" s="3213">
        <v>0.2</v>
      </c>
      <c r="F35" s="3212" t="s">
        <v>2988</v>
      </c>
      <c r="G35" s="804"/>
      <c r="H35" s="798"/>
      <c r="I35" s="798"/>
    </row>
    <row r="36" spans="1:9" s="805" customFormat="1" ht="19.5" customHeight="1">
      <c r="A36" s="3585"/>
      <c r="B36" s="3581"/>
      <c r="C36" s="802" t="s">
        <v>2989</v>
      </c>
      <c r="D36" s="803"/>
      <c r="E36" s="3213">
        <v>0.2</v>
      </c>
      <c r="F36" s="3212" t="s">
        <v>2990</v>
      </c>
      <c r="G36" s="804"/>
      <c r="H36" s="798"/>
      <c r="I36" s="798"/>
    </row>
    <row r="37" spans="1:9" s="805" customFormat="1" ht="19.5" customHeight="1">
      <c r="A37" s="3585"/>
      <c r="B37" s="3579" t="s">
        <v>2991</v>
      </c>
      <c r="C37" s="802" t="s">
        <v>2992</v>
      </c>
      <c r="D37" s="803"/>
      <c r="E37" s="3213">
        <v>0.6</v>
      </c>
      <c r="F37" s="3212" t="s">
        <v>2993</v>
      </c>
      <c r="G37" s="804"/>
      <c r="H37" s="798"/>
      <c r="I37" s="798"/>
    </row>
    <row r="38" spans="1:9" s="805" customFormat="1" ht="19.5" customHeight="1">
      <c r="A38" s="3585"/>
      <c r="B38" s="3581"/>
      <c r="C38" s="802" t="s">
        <v>2994</v>
      </c>
      <c r="D38" s="803"/>
      <c r="E38" s="3213">
        <v>0.6</v>
      </c>
      <c r="F38" s="3212" t="s">
        <v>2995</v>
      </c>
      <c r="G38" s="804"/>
      <c r="H38" s="798"/>
      <c r="I38" s="798"/>
    </row>
    <row r="39" spans="1:9" s="805" customFormat="1" ht="19.5" customHeight="1" thickBot="1">
      <c r="A39" s="3586"/>
      <c r="B39" s="3583"/>
      <c r="C39" s="3214" t="s">
        <v>2996</v>
      </c>
      <c r="D39" s="3215"/>
      <c r="E39" s="3216">
        <v>0.6</v>
      </c>
      <c r="F39" s="3212" t="s">
        <v>2997</v>
      </c>
      <c r="G39" s="804"/>
      <c r="H39" s="798"/>
      <c r="I39" s="798"/>
    </row>
    <row r="40" spans="1:9" s="805" customFormat="1" ht="19.5" customHeight="1" thickBot="1">
      <c r="A40" s="3217" t="s">
        <v>2998</v>
      </c>
      <c r="B40" s="3218" t="s">
        <v>2998</v>
      </c>
      <c r="C40" s="3219" t="s">
        <v>2999</v>
      </c>
      <c r="D40" s="3220"/>
      <c r="E40" s="3221">
        <v>1</v>
      </c>
      <c r="F40" s="3212" t="s">
        <v>3000</v>
      </c>
      <c r="G40" s="804"/>
      <c r="H40" s="798"/>
      <c r="I40" s="798"/>
    </row>
    <row r="41" spans="1:9" s="805" customFormat="1" ht="19.5" customHeight="1">
      <c r="A41" s="3587" t="s">
        <v>3001</v>
      </c>
      <c r="B41" s="3582" t="s">
        <v>3002</v>
      </c>
      <c r="C41" s="3209" t="s">
        <v>3003</v>
      </c>
      <c r="D41" s="3210"/>
      <c r="E41" s="3211">
        <v>1</v>
      </c>
      <c r="F41" s="3212" t="s">
        <v>3004</v>
      </c>
      <c r="G41" s="804"/>
      <c r="H41" s="798"/>
      <c r="I41" s="798"/>
    </row>
    <row r="42" spans="1:9" s="805" customFormat="1" ht="19.5" customHeight="1">
      <c r="A42" s="3588"/>
      <c r="B42" s="3581"/>
      <c r="C42" s="802" t="s">
        <v>3005</v>
      </c>
      <c r="D42" s="803"/>
      <c r="E42" s="3213">
        <v>1</v>
      </c>
      <c r="F42" s="3212" t="s">
        <v>3006</v>
      </c>
      <c r="G42" s="804"/>
      <c r="H42" s="798"/>
      <c r="I42" s="798"/>
    </row>
    <row r="43" spans="1:9" s="805" customFormat="1" ht="19.5" customHeight="1">
      <c r="A43" s="3588"/>
      <c r="B43" s="3580"/>
      <c r="C43" s="802" t="s">
        <v>3007</v>
      </c>
      <c r="D43" s="803"/>
      <c r="E43" s="3213">
        <v>1.5</v>
      </c>
      <c r="F43" s="3212" t="s">
        <v>3008</v>
      </c>
      <c r="G43" s="804"/>
      <c r="H43" s="798"/>
      <c r="I43" s="798"/>
    </row>
    <row r="44" spans="1:9" s="805" customFormat="1" ht="19.5" customHeight="1">
      <c r="A44" s="3588"/>
      <c r="B44" s="3222" t="s">
        <v>2970</v>
      </c>
      <c r="C44" s="802" t="s">
        <v>3009</v>
      </c>
      <c r="D44" s="803"/>
      <c r="E44" s="3213">
        <v>2</v>
      </c>
      <c r="F44" s="3212" t="s">
        <v>3010</v>
      </c>
      <c r="G44" s="804"/>
      <c r="H44" s="798"/>
      <c r="I44" s="798"/>
    </row>
    <row r="45" spans="1:9" s="805" customFormat="1" ht="19.5" customHeight="1">
      <c r="A45" s="3588"/>
      <c r="B45" s="3579" t="s">
        <v>3011</v>
      </c>
      <c r="C45" s="802" t="s">
        <v>3012</v>
      </c>
      <c r="D45" s="803"/>
      <c r="E45" s="3213">
        <v>1</v>
      </c>
      <c r="F45" s="3212" t="s">
        <v>3013</v>
      </c>
      <c r="G45" s="804"/>
      <c r="H45" s="798"/>
      <c r="I45" s="798"/>
    </row>
    <row r="46" spans="1:9" s="805" customFormat="1" ht="19.5" customHeight="1">
      <c r="A46" s="3588"/>
      <c r="B46" s="3581"/>
      <c r="C46" s="802" t="s">
        <v>3014</v>
      </c>
      <c r="D46" s="803"/>
      <c r="E46" s="3213">
        <v>1</v>
      </c>
      <c r="F46" s="3212" t="s">
        <v>3015</v>
      </c>
      <c r="G46" s="804"/>
      <c r="H46" s="798"/>
      <c r="I46" s="798"/>
    </row>
    <row r="47" spans="1:9" s="805" customFormat="1" ht="19.5" customHeight="1">
      <c r="A47" s="3588"/>
      <c r="B47" s="3581"/>
      <c r="C47" s="802" t="s">
        <v>3016</v>
      </c>
      <c r="D47" s="803"/>
      <c r="E47" s="3213">
        <v>1</v>
      </c>
      <c r="F47" s="3212" t="s">
        <v>3017</v>
      </c>
      <c r="G47" s="804"/>
      <c r="H47" s="798"/>
      <c r="I47" s="798"/>
    </row>
    <row r="48" spans="1:9" s="805" customFormat="1" ht="19.5" customHeight="1">
      <c r="A48" s="3588"/>
      <c r="B48" s="3581"/>
      <c r="C48" s="802" t="s">
        <v>3018</v>
      </c>
      <c r="D48" s="803"/>
      <c r="E48" s="3213">
        <v>1</v>
      </c>
      <c r="F48" s="3212" t="s">
        <v>3019</v>
      </c>
      <c r="G48" s="804"/>
      <c r="H48" s="798"/>
      <c r="I48" s="798"/>
    </row>
    <row r="49" spans="1:9" s="805" customFormat="1" ht="19.5" customHeight="1">
      <c r="A49" s="3588"/>
      <c r="B49" s="3581"/>
      <c r="C49" s="802" t="s">
        <v>3020</v>
      </c>
      <c r="D49" s="803"/>
      <c r="E49" s="3213">
        <v>1</v>
      </c>
      <c r="F49" s="3212" t="s">
        <v>3021</v>
      </c>
      <c r="G49" s="804"/>
      <c r="H49" s="798"/>
      <c r="I49" s="798"/>
    </row>
    <row r="50" spans="1:9" s="805" customFormat="1" ht="19.5" customHeight="1">
      <c r="A50" s="3588"/>
      <c r="B50" s="3581"/>
      <c r="C50" s="802" t="s">
        <v>3022</v>
      </c>
      <c r="D50" s="803"/>
      <c r="E50" s="3213">
        <v>1</v>
      </c>
      <c r="F50" s="3212" t="s">
        <v>3023</v>
      </c>
      <c r="G50" s="804"/>
      <c r="H50" s="798"/>
      <c r="I50" s="798"/>
    </row>
    <row r="51" spans="1:9" s="805" customFormat="1" ht="19.5" customHeight="1" thickBot="1">
      <c r="A51" s="3589"/>
      <c r="B51" s="3583"/>
      <c r="C51" s="3214" t="s">
        <v>3024</v>
      </c>
      <c r="D51" s="3215"/>
      <c r="E51" s="3216">
        <v>1</v>
      </c>
      <c r="F51" s="3212" t="s">
        <v>3025</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2">
        <v>0.7</v>
      </c>
      <c r="C57" s="3202">
        <v>0.4</v>
      </c>
      <c r="D57" s="3202">
        <v>0.3</v>
      </c>
      <c r="E57" s="3208">
        <v>0.3</v>
      </c>
      <c r="F57" s="3202">
        <v>0.3</v>
      </c>
      <c r="G57" s="3202">
        <v>0.2</v>
      </c>
      <c r="I57" s="752"/>
    </row>
    <row r="58" spans="1:9" ht="19.5" customHeight="1">
      <c r="A58" s="811" t="s">
        <v>158</v>
      </c>
      <c r="B58" s="3202">
        <v>0.7</v>
      </c>
      <c r="C58" s="3202">
        <v>0.4</v>
      </c>
      <c r="D58" s="3202">
        <v>0.3</v>
      </c>
      <c r="E58" s="3202">
        <v>0.3</v>
      </c>
      <c r="F58" s="3202">
        <v>0.3</v>
      </c>
      <c r="G58" s="3202">
        <v>0.2</v>
      </c>
      <c r="I58" s="752"/>
    </row>
    <row r="59" spans="1:9" ht="19.5" customHeight="1">
      <c r="A59" s="811" t="s">
        <v>159</v>
      </c>
      <c r="B59" s="3202">
        <v>0.6</v>
      </c>
      <c r="C59" s="3202">
        <v>0.3</v>
      </c>
      <c r="D59" s="3202">
        <v>0.25</v>
      </c>
      <c r="E59" s="3202">
        <v>0.25</v>
      </c>
      <c r="F59" s="3202">
        <v>0.25</v>
      </c>
      <c r="G59" s="3202">
        <v>0.15</v>
      </c>
      <c r="I59" s="752"/>
    </row>
    <row r="60" spans="1:9" ht="19.5" customHeight="1">
      <c r="A60" s="811" t="s">
        <v>160</v>
      </c>
      <c r="B60" s="3202">
        <v>0.6</v>
      </c>
      <c r="C60" s="3202">
        <v>0.3</v>
      </c>
      <c r="D60" s="3202">
        <v>0.25</v>
      </c>
      <c r="E60" s="3202">
        <v>0.25</v>
      </c>
      <c r="F60" s="3202">
        <v>0.25</v>
      </c>
      <c r="G60" s="3202">
        <v>0.15</v>
      </c>
      <c r="I60" s="752"/>
    </row>
    <row r="61" spans="1:9" s="798" customFormat="1" ht="19.5" customHeight="1">
      <c r="A61" s="811" t="s">
        <v>161</v>
      </c>
      <c r="B61" s="3202">
        <v>0.6</v>
      </c>
      <c r="C61" s="3202">
        <v>0.3</v>
      </c>
      <c r="D61" s="3202">
        <v>0.25</v>
      </c>
      <c r="E61" s="3202">
        <v>0.25</v>
      </c>
      <c r="F61" s="3202">
        <v>0.25</v>
      </c>
      <c r="G61" s="3202">
        <v>0.15</v>
      </c>
    </row>
    <row r="62" spans="1:9" s="798" customFormat="1" ht="19.5" customHeight="1">
      <c r="A62" s="811" t="s">
        <v>162</v>
      </c>
      <c r="B62" s="3202">
        <v>0.6</v>
      </c>
      <c r="C62" s="3202">
        <v>0.3</v>
      </c>
      <c r="D62" s="3202">
        <v>0.25</v>
      </c>
      <c r="E62" s="3202">
        <v>0.25</v>
      </c>
      <c r="F62" s="3202">
        <v>0.25</v>
      </c>
      <c r="G62" s="3202">
        <v>0.15</v>
      </c>
    </row>
    <row r="63" spans="1:9" s="798" customFormat="1" ht="19.5" customHeight="1">
      <c r="A63" s="811" t="s">
        <v>163</v>
      </c>
      <c r="B63" s="3202">
        <v>0.6</v>
      </c>
      <c r="C63" s="3202">
        <v>0.3</v>
      </c>
      <c r="D63" s="3202">
        <v>0.25</v>
      </c>
      <c r="E63" s="3202">
        <v>0.25</v>
      </c>
      <c r="F63" s="3202">
        <v>0.25</v>
      </c>
      <c r="G63" s="3202">
        <v>0.15</v>
      </c>
    </row>
    <row r="64" spans="1:9" s="798" customFormat="1" ht="19.5" customHeight="1">
      <c r="A64" s="811" t="s">
        <v>164</v>
      </c>
      <c r="B64" s="3202">
        <v>0.5</v>
      </c>
      <c r="C64" s="3202">
        <v>0.2</v>
      </c>
      <c r="D64" s="3202">
        <v>0.2</v>
      </c>
      <c r="E64" s="3202">
        <v>0.2</v>
      </c>
      <c r="F64" s="3202">
        <v>0.2</v>
      </c>
      <c r="G64" s="3202">
        <v>0.1</v>
      </c>
    </row>
    <row r="65" spans="1:7" s="798" customFormat="1" ht="19.5" customHeight="1">
      <c r="A65" s="811" t="s">
        <v>165</v>
      </c>
      <c r="B65" s="3202">
        <v>0.5</v>
      </c>
      <c r="C65" s="3202">
        <v>0.2</v>
      </c>
      <c r="D65" s="3202">
        <v>0.2</v>
      </c>
      <c r="E65" s="3202">
        <v>0.2</v>
      </c>
      <c r="F65" s="3202">
        <v>0.2</v>
      </c>
      <c r="G65" s="3202">
        <v>0.1</v>
      </c>
    </row>
    <row r="66" spans="1:7" s="798" customFormat="1" ht="19.5" customHeight="1">
      <c r="A66" s="811" t="s">
        <v>166</v>
      </c>
      <c r="B66" s="3202">
        <v>0.5</v>
      </c>
      <c r="C66" s="3202">
        <v>0.2</v>
      </c>
      <c r="D66" s="3202">
        <v>0.2</v>
      </c>
      <c r="E66" s="3202">
        <v>0.2</v>
      </c>
      <c r="F66" s="3202">
        <v>0.2</v>
      </c>
      <c r="G66" s="3202">
        <v>0.1</v>
      </c>
    </row>
    <row r="67" spans="1:7" s="798" customFormat="1" ht="19.5" customHeight="1">
      <c r="A67" s="811" t="s">
        <v>167</v>
      </c>
      <c r="B67" s="3202">
        <v>0.5</v>
      </c>
      <c r="C67" s="3202">
        <v>0.2</v>
      </c>
      <c r="D67" s="3202">
        <v>0.2</v>
      </c>
      <c r="E67" s="3202">
        <v>0.2</v>
      </c>
      <c r="F67" s="3202">
        <v>0.2</v>
      </c>
      <c r="G67" s="3202">
        <v>0.1</v>
      </c>
    </row>
    <row r="68" spans="1:7" s="798" customFormat="1" ht="19.5" customHeight="1">
      <c r="A68" s="811" t="s">
        <v>168</v>
      </c>
      <c r="B68" s="3202">
        <v>0.5</v>
      </c>
      <c r="C68" s="3202">
        <v>0.2</v>
      </c>
      <c r="D68" s="3202">
        <v>0.2</v>
      </c>
      <c r="E68" s="3202">
        <v>0.2</v>
      </c>
      <c r="F68" s="3202">
        <v>0.2</v>
      </c>
      <c r="G68" s="3202">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3026</v>
      </c>
      <c r="D72" s="856"/>
      <c r="E72" s="813" t="s">
        <v>1</v>
      </c>
      <c r="F72" s="856" t="s">
        <v>1</v>
      </c>
    </row>
    <row r="73" spans="1:7" s="798" customFormat="1" ht="13.5">
      <c r="A73" s="3222">
        <v>1</v>
      </c>
      <c r="B73" s="3579" t="s">
        <v>3027</v>
      </c>
      <c r="C73" s="3202" t="s">
        <v>3028</v>
      </c>
      <c r="D73" s="3202" t="s">
        <v>3029</v>
      </c>
      <c r="E73" s="3223">
        <v>0.2</v>
      </c>
      <c r="F73" s="3222">
        <v>25</v>
      </c>
    </row>
    <row r="74" spans="1:7" s="798" customFormat="1" ht="24">
      <c r="A74" s="3222">
        <v>2</v>
      </c>
      <c r="B74" s="3581"/>
      <c r="C74" s="3202" t="s">
        <v>3030</v>
      </c>
      <c r="D74" s="3202" t="s">
        <v>3031</v>
      </c>
      <c r="E74" s="3223">
        <v>0.2</v>
      </c>
      <c r="F74" s="3222">
        <v>25</v>
      </c>
    </row>
    <row r="75" spans="1:7" s="798" customFormat="1" ht="24">
      <c r="A75" s="3222">
        <v>3</v>
      </c>
      <c r="B75" s="3581"/>
      <c r="C75" s="3202" t="s">
        <v>3032</v>
      </c>
      <c r="D75" s="3202" t="s">
        <v>3033</v>
      </c>
      <c r="E75" s="3223">
        <v>0.2</v>
      </c>
      <c r="F75" s="3222">
        <v>25</v>
      </c>
    </row>
    <row r="76" spans="1:7" s="798" customFormat="1" ht="13.5">
      <c r="A76" s="3222">
        <v>4</v>
      </c>
      <c r="B76" s="3581"/>
      <c r="C76" s="3202" t="s">
        <v>3034</v>
      </c>
      <c r="D76" s="3202" t="s">
        <v>3035</v>
      </c>
      <c r="E76" s="3223">
        <v>0.15</v>
      </c>
      <c r="F76" s="3222">
        <v>20</v>
      </c>
    </row>
    <row r="77" spans="1:7" s="798" customFormat="1" ht="24">
      <c r="A77" s="3222">
        <v>5</v>
      </c>
      <c r="B77" s="3581"/>
      <c r="C77" s="3202" t="s">
        <v>3036</v>
      </c>
      <c r="D77" s="3202" t="s">
        <v>3037</v>
      </c>
      <c r="E77" s="3223">
        <v>0.15</v>
      </c>
      <c r="F77" s="3222">
        <v>20</v>
      </c>
    </row>
    <row r="78" spans="1:7" s="798" customFormat="1" ht="24">
      <c r="A78" s="3222">
        <v>6</v>
      </c>
      <c r="B78" s="3581"/>
      <c r="C78" s="3202" t="s">
        <v>3038</v>
      </c>
      <c r="D78" s="3202" t="s">
        <v>3039</v>
      </c>
      <c r="E78" s="3223">
        <v>0.15</v>
      </c>
      <c r="F78" s="3222">
        <v>20</v>
      </c>
    </row>
    <row r="79" spans="1:7" s="798" customFormat="1" ht="24">
      <c r="A79" s="3222">
        <v>7</v>
      </c>
      <c r="B79" s="3581"/>
      <c r="C79" s="3202" t="s">
        <v>3040</v>
      </c>
      <c r="D79" s="3202" t="s">
        <v>3041</v>
      </c>
      <c r="E79" s="3223">
        <v>0.15</v>
      </c>
      <c r="F79" s="3222">
        <v>20</v>
      </c>
    </row>
    <row r="80" spans="1:7" s="798" customFormat="1" ht="24">
      <c r="A80" s="3222">
        <v>8</v>
      </c>
      <c r="B80" s="3581"/>
      <c r="C80" s="3202" t="s">
        <v>3042</v>
      </c>
      <c r="D80" s="3202" t="s">
        <v>3043</v>
      </c>
      <c r="E80" s="3223">
        <v>0.1</v>
      </c>
      <c r="F80" s="3222">
        <v>15</v>
      </c>
    </row>
    <row r="81" spans="1:6" s="798" customFormat="1" ht="24">
      <c r="A81" s="3222">
        <v>9</v>
      </c>
      <c r="B81" s="3581"/>
      <c r="C81" s="3202" t="s">
        <v>3044</v>
      </c>
      <c r="D81" s="3202" t="s">
        <v>3045</v>
      </c>
      <c r="E81" s="3223">
        <v>0.1</v>
      </c>
      <c r="F81" s="3222">
        <v>15</v>
      </c>
    </row>
    <row r="82" spans="1:6" s="798" customFormat="1" ht="24">
      <c r="A82" s="3222">
        <v>10</v>
      </c>
      <c r="B82" s="3581"/>
      <c r="C82" s="3202" t="s">
        <v>3046</v>
      </c>
      <c r="D82" s="3202" t="s">
        <v>3047</v>
      </c>
      <c r="E82" s="3223">
        <v>0.1</v>
      </c>
      <c r="F82" s="3222">
        <v>15</v>
      </c>
    </row>
    <row r="83" spans="1:6" s="798" customFormat="1" ht="24">
      <c r="A83" s="3222">
        <v>11</v>
      </c>
      <c r="B83" s="3581"/>
      <c r="C83" s="3202" t="s">
        <v>3048</v>
      </c>
      <c r="D83" s="3202" t="s">
        <v>3049</v>
      </c>
      <c r="E83" s="3223">
        <v>0.1</v>
      </c>
      <c r="F83" s="3222">
        <v>15</v>
      </c>
    </row>
    <row r="84" spans="1:6" s="798" customFormat="1" ht="24">
      <c r="A84" s="3222">
        <v>12</v>
      </c>
      <c r="B84" s="3581"/>
      <c r="C84" s="3202" t="s">
        <v>3050</v>
      </c>
      <c r="D84" s="3202" t="s">
        <v>3051</v>
      </c>
      <c r="E84" s="3223">
        <v>0.1</v>
      </c>
      <c r="F84" s="3222">
        <v>15</v>
      </c>
    </row>
    <row r="85" spans="1:6" s="798" customFormat="1" ht="13.5">
      <c r="A85" s="3222">
        <v>13</v>
      </c>
      <c r="B85" s="3581"/>
      <c r="C85" s="3202" t="s">
        <v>3052</v>
      </c>
      <c r="D85" s="3202" t="s">
        <v>3053</v>
      </c>
      <c r="E85" s="3223">
        <v>0.1</v>
      </c>
      <c r="F85" s="3222">
        <v>15</v>
      </c>
    </row>
    <row r="86" spans="1:6" s="798" customFormat="1" ht="13.5">
      <c r="A86" s="3222">
        <v>14</v>
      </c>
      <c r="B86" s="3581"/>
      <c r="C86" s="3202" t="s">
        <v>3054</v>
      </c>
      <c r="D86" s="3202" t="s">
        <v>3055</v>
      </c>
      <c r="E86" s="3223">
        <v>0.1</v>
      </c>
      <c r="F86" s="3222">
        <v>15</v>
      </c>
    </row>
    <row r="87" spans="1:6" s="798" customFormat="1" ht="13.5">
      <c r="A87" s="3222">
        <v>15</v>
      </c>
      <c r="B87" s="3581"/>
      <c r="C87" s="3202" t="s">
        <v>3056</v>
      </c>
      <c r="D87" s="3202" t="s">
        <v>3057</v>
      </c>
      <c r="E87" s="3223">
        <v>0.1</v>
      </c>
      <c r="F87" s="3222">
        <v>15</v>
      </c>
    </row>
    <row r="88" spans="1:6" s="798" customFormat="1" ht="24">
      <c r="A88" s="3222">
        <v>16</v>
      </c>
      <c r="B88" s="3581"/>
      <c r="C88" s="3202" t="s">
        <v>3058</v>
      </c>
      <c r="D88" s="3202" t="s">
        <v>3059</v>
      </c>
      <c r="E88" s="3223">
        <v>0.1</v>
      </c>
      <c r="F88" s="3222">
        <v>15</v>
      </c>
    </row>
    <row r="89" spans="1:6" s="798" customFormat="1" ht="24">
      <c r="A89" s="3222">
        <v>17</v>
      </c>
      <c r="B89" s="3580"/>
      <c r="C89" s="3202" t="s">
        <v>3060</v>
      </c>
      <c r="D89" s="3202" t="s">
        <v>3061</v>
      </c>
      <c r="E89" s="3223">
        <v>0.1</v>
      </c>
      <c r="F89" s="3222">
        <v>15</v>
      </c>
    </row>
    <row r="90" spans="1:6" s="798" customFormat="1" ht="13.5">
      <c r="A90" s="3222">
        <v>18</v>
      </c>
      <c r="B90" s="3579" t="s">
        <v>3062</v>
      </c>
      <c r="C90" s="3202" t="s">
        <v>3063</v>
      </c>
      <c r="D90" s="3202" t="s">
        <v>3064</v>
      </c>
      <c r="E90" s="3223">
        <v>0.2</v>
      </c>
      <c r="F90" s="3222">
        <v>25</v>
      </c>
    </row>
    <row r="91" spans="1:6" s="798" customFormat="1" ht="24">
      <c r="A91" s="3222">
        <v>19</v>
      </c>
      <c r="B91" s="3581"/>
      <c r="C91" s="3202" t="s">
        <v>3065</v>
      </c>
      <c r="D91" s="3202" t="s">
        <v>3066</v>
      </c>
      <c r="E91" s="3223">
        <v>0.2</v>
      </c>
      <c r="F91" s="3222">
        <v>25</v>
      </c>
    </row>
    <row r="92" spans="1:6" s="798" customFormat="1" ht="13.5">
      <c r="A92" s="3222">
        <v>20</v>
      </c>
      <c r="B92" s="3581"/>
      <c r="C92" s="3202" t="s">
        <v>3067</v>
      </c>
      <c r="D92" s="3202" t="s">
        <v>3068</v>
      </c>
      <c r="E92" s="3223">
        <v>0.15</v>
      </c>
      <c r="F92" s="3222">
        <v>20</v>
      </c>
    </row>
    <row r="93" spans="1:6" s="798" customFormat="1" ht="24">
      <c r="A93" s="3222">
        <v>21</v>
      </c>
      <c r="B93" s="3581"/>
      <c r="C93" s="3202" t="s">
        <v>3069</v>
      </c>
      <c r="D93" s="3202" t="s">
        <v>3070</v>
      </c>
      <c r="E93" s="3223">
        <v>0.15</v>
      </c>
      <c r="F93" s="3222">
        <v>20</v>
      </c>
    </row>
    <row r="94" spans="1:6" s="798" customFormat="1" ht="24">
      <c r="A94" s="3222">
        <v>22</v>
      </c>
      <c r="B94" s="3581"/>
      <c r="C94" s="3202" t="s">
        <v>3071</v>
      </c>
      <c r="D94" s="3202" t="s">
        <v>3072</v>
      </c>
      <c r="E94" s="3223">
        <v>0.15</v>
      </c>
      <c r="F94" s="3222">
        <v>20</v>
      </c>
    </row>
    <row r="95" spans="1:6" s="798" customFormat="1" ht="36">
      <c r="A95" s="3222">
        <v>23</v>
      </c>
      <c r="B95" s="3581"/>
      <c r="C95" s="3202" t="s">
        <v>3073</v>
      </c>
      <c r="D95" s="3202" t="s">
        <v>3074</v>
      </c>
      <c r="E95" s="3223">
        <v>0.15</v>
      </c>
      <c r="F95" s="3222">
        <v>20</v>
      </c>
    </row>
    <row r="96" spans="1:6" s="798" customFormat="1" ht="13.5">
      <c r="A96" s="3222">
        <v>24</v>
      </c>
      <c r="B96" s="3581"/>
      <c r="C96" s="3202" t="s">
        <v>3075</v>
      </c>
      <c r="D96" s="3202" t="s">
        <v>3076</v>
      </c>
      <c r="E96" s="3223">
        <v>0.1</v>
      </c>
      <c r="F96" s="3222">
        <v>15</v>
      </c>
    </row>
    <row r="97" spans="1:6" s="798" customFormat="1" ht="24">
      <c r="A97" s="3222">
        <v>25</v>
      </c>
      <c r="B97" s="3581"/>
      <c r="C97" s="3202" t="s">
        <v>3077</v>
      </c>
      <c r="D97" s="3202" t="s">
        <v>3078</v>
      </c>
      <c r="E97" s="3223">
        <v>0.1</v>
      </c>
      <c r="F97" s="3222">
        <v>15</v>
      </c>
    </row>
    <row r="98" spans="1:6" s="798" customFormat="1" ht="24">
      <c r="A98" s="3222">
        <v>26</v>
      </c>
      <c r="B98" s="3581"/>
      <c r="C98" s="3202" t="s">
        <v>3079</v>
      </c>
      <c r="D98" s="3202" t="s">
        <v>3080</v>
      </c>
      <c r="E98" s="3223">
        <v>0.1</v>
      </c>
      <c r="F98" s="3222">
        <v>15</v>
      </c>
    </row>
    <row r="99" spans="1:6" s="798" customFormat="1" ht="24">
      <c r="A99" s="3222">
        <v>27</v>
      </c>
      <c r="B99" s="3581"/>
      <c r="C99" s="3202" t="s">
        <v>3081</v>
      </c>
      <c r="D99" s="3202" t="s">
        <v>3082</v>
      </c>
      <c r="E99" s="3223">
        <v>0.1</v>
      </c>
      <c r="F99" s="3222">
        <v>15</v>
      </c>
    </row>
    <row r="100" spans="1:6" s="798" customFormat="1" ht="24">
      <c r="A100" s="3222">
        <v>28</v>
      </c>
      <c r="B100" s="3581"/>
      <c r="C100" s="3202" t="s">
        <v>3083</v>
      </c>
      <c r="D100" s="3202" t="s">
        <v>3084</v>
      </c>
      <c r="E100" s="3223">
        <v>0.1</v>
      </c>
      <c r="F100" s="3222">
        <v>15</v>
      </c>
    </row>
    <row r="101" spans="1:6" s="798" customFormat="1" ht="24">
      <c r="A101" s="3222">
        <v>29</v>
      </c>
      <c r="B101" s="3581"/>
      <c r="C101" s="3202" t="s">
        <v>3085</v>
      </c>
      <c r="D101" s="3202" t="s">
        <v>3086</v>
      </c>
      <c r="E101" s="3223">
        <v>0.1</v>
      </c>
      <c r="F101" s="3222">
        <v>15</v>
      </c>
    </row>
    <row r="102" spans="1:6" s="798" customFormat="1" ht="24">
      <c r="A102" s="3222">
        <v>30</v>
      </c>
      <c r="B102" s="3581"/>
      <c r="C102" s="3202" t="s">
        <v>3087</v>
      </c>
      <c r="D102" s="3202" t="s">
        <v>3088</v>
      </c>
      <c r="E102" s="3223">
        <v>0.1</v>
      </c>
      <c r="F102" s="3222">
        <v>15</v>
      </c>
    </row>
    <row r="103" spans="1:6" s="798" customFormat="1" ht="24">
      <c r="A103" s="3222">
        <v>31</v>
      </c>
      <c r="B103" s="3581"/>
      <c r="C103" s="3202" t="s">
        <v>3089</v>
      </c>
      <c r="D103" s="3202" t="s">
        <v>3090</v>
      </c>
      <c r="E103" s="3223">
        <v>0.1</v>
      </c>
      <c r="F103" s="3222">
        <v>15</v>
      </c>
    </row>
    <row r="104" spans="1:6" s="798" customFormat="1" ht="24">
      <c r="A104" s="3222">
        <v>32</v>
      </c>
      <c r="B104" s="3581"/>
      <c r="C104" s="3202" t="s">
        <v>3091</v>
      </c>
      <c r="D104" s="3202" t="s">
        <v>3092</v>
      </c>
      <c r="E104" s="3223">
        <v>0.1</v>
      </c>
      <c r="F104" s="3222">
        <v>15</v>
      </c>
    </row>
    <row r="105" spans="1:6" s="798" customFormat="1" ht="24">
      <c r="A105" s="3222">
        <v>33</v>
      </c>
      <c r="B105" s="3581"/>
      <c r="C105" s="3202" t="s">
        <v>3093</v>
      </c>
      <c r="D105" s="3202" t="s">
        <v>3094</v>
      </c>
      <c r="E105" s="3223">
        <v>0.1</v>
      </c>
      <c r="F105" s="3222">
        <v>15</v>
      </c>
    </row>
    <row r="106" spans="1:6" s="798" customFormat="1" ht="24">
      <c r="A106" s="3222">
        <v>34</v>
      </c>
      <c r="B106" s="3580"/>
      <c r="C106" s="3202" t="s">
        <v>3095</v>
      </c>
      <c r="D106" s="3202" t="s">
        <v>3096</v>
      </c>
      <c r="E106" s="3223">
        <v>0.1</v>
      </c>
      <c r="F106" s="3222">
        <v>15</v>
      </c>
    </row>
    <row r="107" spans="1:6" s="798" customFormat="1" ht="24">
      <c r="A107" s="3222">
        <v>35</v>
      </c>
      <c r="B107" s="3579" t="s">
        <v>3097</v>
      </c>
      <c r="C107" s="3222" t="s">
        <v>3098</v>
      </c>
      <c r="D107" s="3202" t="s">
        <v>3099</v>
      </c>
      <c r="E107" s="3223">
        <v>0.15</v>
      </c>
      <c r="F107" s="3222">
        <v>20</v>
      </c>
    </row>
    <row r="108" spans="1:6" s="798" customFormat="1" ht="24">
      <c r="A108" s="3222">
        <v>36</v>
      </c>
      <c r="B108" s="3581"/>
      <c r="C108" s="3222" t="s">
        <v>3100</v>
      </c>
      <c r="D108" s="3202" t="s">
        <v>3101</v>
      </c>
      <c r="E108" s="3223">
        <v>0.15</v>
      </c>
      <c r="F108" s="3222">
        <v>20</v>
      </c>
    </row>
    <row r="109" spans="1:6" s="798" customFormat="1" ht="24">
      <c r="A109" s="3222">
        <v>37</v>
      </c>
      <c r="B109" s="3581"/>
      <c r="C109" s="3222" t="s">
        <v>3102</v>
      </c>
      <c r="D109" s="3202" t="s">
        <v>3103</v>
      </c>
      <c r="E109" s="3223">
        <v>0.15</v>
      </c>
      <c r="F109" s="3222">
        <v>20</v>
      </c>
    </row>
    <row r="110" spans="1:6" s="798" customFormat="1" ht="13.5">
      <c r="A110" s="3222">
        <v>38</v>
      </c>
      <c r="B110" s="3581"/>
      <c r="C110" s="3222" t="s">
        <v>3104</v>
      </c>
      <c r="D110" s="3202" t="s">
        <v>3105</v>
      </c>
      <c r="E110" s="3223">
        <v>0.1</v>
      </c>
      <c r="F110" s="3222">
        <v>15</v>
      </c>
    </row>
    <row r="111" spans="1:6" s="798" customFormat="1" ht="24">
      <c r="A111" s="3222">
        <v>39</v>
      </c>
      <c r="B111" s="3581"/>
      <c r="C111" s="3222" t="s">
        <v>3106</v>
      </c>
      <c r="D111" s="3202" t="s">
        <v>3107</v>
      </c>
      <c r="E111" s="3223">
        <v>0.1</v>
      </c>
      <c r="F111" s="3222">
        <v>15</v>
      </c>
    </row>
    <row r="112" spans="1:6" s="798" customFormat="1" ht="24">
      <c r="A112" s="3222">
        <v>40</v>
      </c>
      <c r="B112" s="3580"/>
      <c r="C112" s="3222" t="s">
        <v>3108</v>
      </c>
      <c r="D112" s="3202" t="s">
        <v>3109</v>
      </c>
      <c r="E112" s="3223">
        <v>0.1</v>
      </c>
      <c r="F112" s="3222">
        <v>15</v>
      </c>
    </row>
    <row r="113" spans="1:6" s="798" customFormat="1" ht="24">
      <c r="A113" s="3222">
        <v>41</v>
      </c>
      <c r="B113" s="3578" t="s">
        <v>3110</v>
      </c>
      <c r="C113" s="3222" t="s">
        <v>3111</v>
      </c>
      <c r="D113" s="3202" t="s">
        <v>3112</v>
      </c>
      <c r="E113" s="3223">
        <v>0.1</v>
      </c>
      <c r="F113" s="3222">
        <v>15</v>
      </c>
    </row>
    <row r="114" spans="1:6" s="798" customFormat="1" ht="13.5">
      <c r="A114" s="3222">
        <v>42</v>
      </c>
      <c r="B114" s="3578"/>
      <c r="C114" s="3222" t="s">
        <v>3113</v>
      </c>
      <c r="D114" s="3202" t="s">
        <v>3114</v>
      </c>
      <c r="E114" s="3223">
        <v>0.1</v>
      </c>
      <c r="F114" s="3222">
        <v>15</v>
      </c>
    </row>
    <row r="115" spans="1:6" s="798" customFormat="1" ht="24">
      <c r="A115" s="3222">
        <v>43</v>
      </c>
      <c r="B115" s="3578"/>
      <c r="C115" s="3222" t="s">
        <v>3115</v>
      </c>
      <c r="D115" s="3202" t="s">
        <v>3116</v>
      </c>
      <c r="E115" s="3223">
        <v>0.1</v>
      </c>
      <c r="F115" s="3222">
        <v>15</v>
      </c>
    </row>
    <row r="116" spans="1:6" s="798" customFormat="1" ht="24">
      <c r="A116" s="3222">
        <v>44</v>
      </c>
      <c r="B116" s="3579" t="s">
        <v>3117</v>
      </c>
      <c r="C116" s="3222" t="s">
        <v>3118</v>
      </c>
      <c r="D116" s="3202" t="s">
        <v>3119</v>
      </c>
      <c r="E116" s="3223">
        <v>0.1</v>
      </c>
      <c r="F116" s="3222">
        <v>15</v>
      </c>
    </row>
    <row r="117" spans="1:6" s="798" customFormat="1" ht="24">
      <c r="A117" s="3222">
        <v>45</v>
      </c>
      <c r="B117" s="3580"/>
      <c r="C117" s="3202" t="s">
        <v>3120</v>
      </c>
      <c r="D117" s="3202" t="s">
        <v>3121</v>
      </c>
      <c r="E117" s="3223">
        <v>0.1</v>
      </c>
      <c r="F117" s="3222">
        <v>15</v>
      </c>
    </row>
    <row r="118" spans="1:6" s="798" customFormat="1" ht="24">
      <c r="A118" s="3222">
        <v>46</v>
      </c>
      <c r="B118" s="3579" t="s">
        <v>3122</v>
      </c>
      <c r="C118" s="3222" t="s">
        <v>3123</v>
      </c>
      <c r="D118" s="3202" t="s">
        <v>3124</v>
      </c>
      <c r="E118" s="3223">
        <v>0.1</v>
      </c>
      <c r="F118" s="3222">
        <v>15</v>
      </c>
    </row>
    <row r="119" spans="1:6" s="798" customFormat="1" ht="24">
      <c r="A119" s="3222">
        <v>47</v>
      </c>
      <c r="B119" s="3580"/>
      <c r="C119" s="3222" t="s">
        <v>3125</v>
      </c>
      <c r="D119" s="3202" t="s">
        <v>3126</v>
      </c>
      <c r="E119" s="3223">
        <v>0.1</v>
      </c>
      <c r="F119" s="3222">
        <v>15</v>
      </c>
    </row>
    <row r="120" spans="1:6" s="798" customFormat="1" ht="24">
      <c r="A120" s="3222">
        <v>48</v>
      </c>
      <c r="B120" s="3579" t="s">
        <v>3127</v>
      </c>
      <c r="C120" s="3222" t="s">
        <v>3128</v>
      </c>
      <c r="D120" s="3202" t="s">
        <v>3129</v>
      </c>
      <c r="E120" s="3223">
        <v>0.1</v>
      </c>
      <c r="F120" s="3222">
        <v>15</v>
      </c>
    </row>
    <row r="121" spans="1:6" s="798" customFormat="1" ht="13.5">
      <c r="A121" s="3222">
        <v>49</v>
      </c>
      <c r="B121" s="3580"/>
      <c r="C121" s="3222" t="s">
        <v>3130</v>
      </c>
      <c r="D121" s="3202" t="s">
        <v>3131</v>
      </c>
      <c r="E121" s="3223">
        <v>0.1</v>
      </c>
      <c r="F121" s="3222">
        <v>15</v>
      </c>
    </row>
    <row r="122" spans="1:6" s="798" customFormat="1" ht="24">
      <c r="A122" s="3222">
        <v>50</v>
      </c>
      <c r="B122" s="3578" t="s">
        <v>3132</v>
      </c>
      <c r="C122" s="3222" t="s">
        <v>3133</v>
      </c>
      <c r="D122" s="3202" t="s">
        <v>3134</v>
      </c>
      <c r="E122" s="3223">
        <v>0.1</v>
      </c>
      <c r="F122" s="3222">
        <v>15</v>
      </c>
    </row>
    <row r="123" spans="1:6" s="798" customFormat="1" ht="24">
      <c r="A123" s="3222">
        <v>51</v>
      </c>
      <c r="B123" s="3578"/>
      <c r="C123" s="3222" t="s">
        <v>3135</v>
      </c>
      <c r="D123" s="3202" t="s">
        <v>3136</v>
      </c>
      <c r="E123" s="3223">
        <v>0.1</v>
      </c>
      <c r="F123" s="3222">
        <v>15</v>
      </c>
    </row>
    <row r="124" spans="1:6" s="798" customFormat="1" ht="24">
      <c r="A124" s="3222">
        <v>52</v>
      </c>
      <c r="B124" s="3578" t="s">
        <v>3137</v>
      </c>
      <c r="C124" s="3222" t="s">
        <v>3138</v>
      </c>
      <c r="D124" s="3202" t="s">
        <v>3139</v>
      </c>
      <c r="E124" s="3223">
        <v>0.1</v>
      </c>
      <c r="F124" s="3222">
        <v>15</v>
      </c>
    </row>
    <row r="125" spans="1:6" s="798" customFormat="1" ht="24">
      <c r="A125" s="3222">
        <v>53</v>
      </c>
      <c r="B125" s="3578"/>
      <c r="C125" s="3222" t="s">
        <v>3140</v>
      </c>
      <c r="D125" s="3202" t="s">
        <v>3141</v>
      </c>
      <c r="E125" s="3223">
        <v>0.1</v>
      </c>
      <c r="F125" s="3222">
        <v>15</v>
      </c>
    </row>
    <row r="126" spans="1:6" ht="24">
      <c r="A126" s="3222">
        <v>54</v>
      </c>
      <c r="B126" s="3222" t="s">
        <v>3142</v>
      </c>
      <c r="C126" s="3222" t="s">
        <v>3143</v>
      </c>
      <c r="D126" s="3202" t="s">
        <v>3144</v>
      </c>
      <c r="E126" s="3223">
        <v>0.1</v>
      </c>
      <c r="F126" s="3222">
        <v>15</v>
      </c>
    </row>
    <row r="127" spans="1:6" ht="13.5">
      <c r="A127" s="3222">
        <v>55</v>
      </c>
      <c r="B127" s="3578" t="s">
        <v>3145</v>
      </c>
      <c r="C127" s="3222" t="s">
        <v>3146</v>
      </c>
      <c r="D127" s="3202" t="s">
        <v>3147</v>
      </c>
      <c r="E127" s="3223">
        <v>0.1</v>
      </c>
      <c r="F127" s="3222">
        <v>15</v>
      </c>
    </row>
    <row r="128" spans="1:6" ht="13.5">
      <c r="A128" s="3222">
        <v>56</v>
      </c>
      <c r="B128" s="3578"/>
      <c r="C128" s="3222" t="s">
        <v>3148</v>
      </c>
      <c r="D128" s="3202" t="s">
        <v>3149</v>
      </c>
      <c r="E128" s="3223">
        <v>0.1</v>
      </c>
      <c r="F128" s="3222">
        <v>15</v>
      </c>
    </row>
    <row r="129" spans="1:6" ht="24">
      <c r="A129" s="3222">
        <v>57</v>
      </c>
      <c r="B129" s="3578"/>
      <c r="C129" s="3222" t="s">
        <v>3150</v>
      </c>
      <c r="D129" s="3202" t="s">
        <v>3151</v>
      </c>
      <c r="E129" s="3223">
        <v>0.1</v>
      </c>
      <c r="F129" s="3222">
        <v>15</v>
      </c>
    </row>
    <row r="130" spans="1:6" ht="24">
      <c r="A130" s="3222">
        <v>58</v>
      </c>
      <c r="B130" s="3578" t="s">
        <v>3152</v>
      </c>
      <c r="C130" s="3222" t="s">
        <v>3153</v>
      </c>
      <c r="D130" s="3202" t="s">
        <v>3154</v>
      </c>
      <c r="E130" s="3223">
        <v>0.1</v>
      </c>
      <c r="F130" s="3222">
        <v>15</v>
      </c>
    </row>
    <row r="131" spans="1:6" ht="24">
      <c r="A131" s="3222">
        <v>59</v>
      </c>
      <c r="B131" s="3578"/>
      <c r="C131" s="3222" t="s">
        <v>3155</v>
      </c>
      <c r="D131" s="3202" t="s">
        <v>3156</v>
      </c>
      <c r="E131" s="3223">
        <v>0.1</v>
      </c>
      <c r="F131" s="3222">
        <v>15</v>
      </c>
    </row>
    <row r="132" spans="1:6" ht="24">
      <c r="A132" s="3222">
        <v>60</v>
      </c>
      <c r="B132" s="3579" t="s">
        <v>3157</v>
      </c>
      <c r="C132" s="3222" t="s">
        <v>3158</v>
      </c>
      <c r="D132" s="3202" t="s">
        <v>3159</v>
      </c>
      <c r="E132" s="3223">
        <v>0.1</v>
      </c>
      <c r="F132" s="3222">
        <v>15</v>
      </c>
    </row>
    <row r="133" spans="1:6" ht="24">
      <c r="A133" s="3222">
        <v>61</v>
      </c>
      <c r="B133" s="3580"/>
      <c r="C133" s="3222" t="s">
        <v>3160</v>
      </c>
      <c r="D133" s="3202" t="s">
        <v>3161</v>
      </c>
      <c r="E133" s="3223">
        <v>0.1</v>
      </c>
      <c r="F133" s="3222">
        <v>15</v>
      </c>
    </row>
    <row r="134" spans="1:6" ht="24">
      <c r="A134" s="3222">
        <v>62</v>
      </c>
      <c r="B134" s="3222" t="s">
        <v>3162</v>
      </c>
      <c r="C134" s="3222" t="s">
        <v>3163</v>
      </c>
      <c r="D134" s="3202" t="s">
        <v>3164</v>
      </c>
      <c r="E134" s="3223">
        <v>0.1</v>
      </c>
      <c r="F134" s="3222">
        <v>15</v>
      </c>
    </row>
    <row r="135" spans="1:6" ht="24">
      <c r="A135" s="3222">
        <v>63</v>
      </c>
      <c r="B135" s="3578" t="s">
        <v>3165</v>
      </c>
      <c r="C135" s="3222" t="s">
        <v>3166</v>
      </c>
      <c r="D135" s="3202" t="s">
        <v>3167</v>
      </c>
      <c r="E135" s="3223">
        <v>0.1</v>
      </c>
      <c r="F135" s="3222">
        <v>15</v>
      </c>
    </row>
    <row r="136" spans="1:6" ht="13.5">
      <c r="A136" s="3222">
        <v>64</v>
      </c>
      <c r="B136" s="3578"/>
      <c r="C136" s="3222" t="s">
        <v>3168</v>
      </c>
      <c r="D136" s="3202" t="s">
        <v>3169</v>
      </c>
      <c r="E136" s="3223">
        <v>0.1</v>
      </c>
      <c r="F136" s="3222">
        <v>15</v>
      </c>
    </row>
    <row r="137" spans="1:6" ht="24">
      <c r="A137" s="3222">
        <v>65</v>
      </c>
      <c r="B137" s="3222" t="s">
        <v>3170</v>
      </c>
      <c r="C137" s="3222" t="s">
        <v>3171</v>
      </c>
      <c r="D137" s="3202" t="s">
        <v>3172</v>
      </c>
      <c r="E137" s="3223">
        <v>0.1</v>
      </c>
      <c r="F137" s="3222">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2580</v>
      </c>
      <c r="B1" s="2310"/>
      <c r="C1" s="2310"/>
      <c r="D1" s="2310"/>
      <c r="E1" s="2310"/>
      <c r="F1" s="2970"/>
      <c r="G1" s="2970"/>
      <c r="H1" s="2970"/>
      <c r="I1" s="2970"/>
      <c r="J1" s="2970"/>
      <c r="K1" s="2970"/>
      <c r="L1" s="2970"/>
      <c r="M1" s="2970"/>
      <c r="N1" s="2970"/>
      <c r="O1" s="2970"/>
      <c r="P1" s="2970"/>
    </row>
    <row r="2" spans="1:16" ht="15.75">
      <c r="A2" s="2308" t="s">
        <v>2572</v>
      </c>
      <c r="B2" s="2774" t="e">
        <f ca="1">SUMIF(B6:B13,"&lt;&gt;#ref!",B6:B13)</f>
        <v>#DIV/0!</v>
      </c>
      <c r="C2" s="2308" t="s">
        <v>2573</v>
      </c>
      <c r="D2" s="2308" t="s">
        <v>2574</v>
      </c>
      <c r="E2" s="2784">
        <f ca="1">SUMIF(E6:E13,"&lt;&gt;#ref!",E6:E13)</f>
        <v>0</v>
      </c>
      <c r="F2" s="2970"/>
      <c r="G2" s="2970"/>
      <c r="H2" s="2970"/>
      <c r="I2" s="2970"/>
      <c r="J2" s="2970"/>
      <c r="K2" s="2970"/>
      <c r="L2" s="2970"/>
      <c r="M2" s="2970"/>
      <c r="N2" s="2970"/>
      <c r="O2" s="2970"/>
      <c r="P2" s="2970"/>
    </row>
    <row r="3" spans="1:16" ht="15.75">
      <c r="A3" s="2308" t="s">
        <v>2575</v>
      </c>
      <c r="B3" s="2774" t="e">
        <f ca="1">ROUND(B2*10000/E2,0)</f>
        <v>#DIV/0!</v>
      </c>
      <c r="C3" s="2308"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09"/>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08"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595" t="s">
        <v>877</v>
      </c>
      <c r="C1" s="3595"/>
      <c r="D1" s="3595"/>
      <c r="E1" s="3595"/>
      <c r="F1" s="3595"/>
      <c r="G1" s="3594" t="s">
        <v>878</v>
      </c>
      <c r="H1" s="3594"/>
      <c r="I1" s="3594"/>
      <c r="J1" s="3594"/>
      <c r="K1" s="3594"/>
      <c r="L1" s="3594"/>
      <c r="N1" s="3594" t="s">
        <v>879</v>
      </c>
      <c r="O1" s="3594"/>
      <c r="P1" s="3594"/>
      <c r="Q1" s="3594"/>
      <c r="S1" s="3594" t="s">
        <v>880</v>
      </c>
      <c r="T1" s="3594"/>
      <c r="U1" s="3594"/>
      <c r="V1" s="3594"/>
      <c r="X1" s="3593" t="s">
        <v>881</v>
      </c>
      <c r="Y1" s="3594"/>
      <c r="Z1" s="3594"/>
      <c r="AA1" s="3594"/>
      <c r="AB1" s="3594"/>
      <c r="AD1" s="3593" t="s">
        <v>882</v>
      </c>
      <c r="AE1" s="3594"/>
      <c r="AF1" s="3594"/>
      <c r="AG1" s="3594"/>
      <c r="AH1" s="3594"/>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2612</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2940</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2613</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2939</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2816</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2815</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2814</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2812</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2811</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2629</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2627</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2626</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2625</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2623</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2621</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2624</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591">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2619</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591"/>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2618</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591"/>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2611</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00"/>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2609</v>
      </c>
      <c r="B22" s="2385">
        <v>439</v>
      </c>
      <c r="C22" s="2385">
        <v>327</v>
      </c>
      <c r="D22" s="2385">
        <f>C22</f>
        <v>327</v>
      </c>
      <c r="E22" s="2385">
        <v>627</v>
      </c>
      <c r="F22" s="2386">
        <v>283</v>
      </c>
      <c r="G22" s="3596">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2610</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591"/>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591"/>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00"/>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596">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591"/>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591"/>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592"/>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590">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591"/>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591"/>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592"/>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590">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591"/>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591"/>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592"/>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597">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598"/>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598"/>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599"/>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590">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591"/>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591"/>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592"/>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590">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591">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591">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592">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590">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591">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591">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592">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590">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591">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591">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592">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590">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591">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591">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592">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590">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591">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591">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592">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590">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591">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591">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592">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590">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591">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591">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592">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590">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591">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591">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592">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590">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591">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591">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592">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590">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591">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591">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592">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625"/>
      <c r="B4" s="3266" t="s">
        <v>1354</v>
      </c>
      <c r="C4" s="3266"/>
      <c r="D4" s="3266"/>
      <c r="E4" s="1625"/>
    </row>
    <row r="5" spans="1:5" ht="16.5" thickTop="1">
      <c r="A5" s="1623"/>
      <c r="B5" s="3264" t="s">
        <v>1346</v>
      </c>
      <c r="C5" s="1626" t="s">
        <v>1347</v>
      </c>
      <c r="D5" s="937" t="e">
        <f ca="1">结果表!H101</f>
        <v>#REF!</v>
      </c>
      <c r="E5" s="1623"/>
    </row>
    <row r="6" spans="1:5" ht="15.75">
      <c r="A6" s="1623"/>
      <c r="B6" s="3264"/>
      <c r="C6" s="1626" t="s">
        <v>1348</v>
      </c>
      <c r="D6" s="937" t="e">
        <f ca="1">NUMBERSTRING(INT(D5*10000),2)&amp;"元整"</f>
        <v>#REF!</v>
      </c>
      <c r="E6" s="1623"/>
    </row>
    <row r="7" spans="1:5" ht="15.75">
      <c r="A7" s="1623"/>
      <c r="B7" s="3269"/>
      <c r="C7" s="1627" t="s">
        <v>1349</v>
      </c>
      <c r="D7" s="938" t="e">
        <f ca="1">结果表!H102</f>
        <v>#REF!</v>
      </c>
      <c r="E7" s="1623"/>
    </row>
    <row r="8" spans="1:5" ht="15.75">
      <c r="A8" s="1623"/>
      <c r="B8" s="3270" t="str">
        <f>结果表!E103</f>
        <v>2.估价师知悉的法定优先受偿款</v>
      </c>
      <c r="C8" s="1628" t="s">
        <v>1350</v>
      </c>
      <c r="D8" s="938">
        <f>结果表!H103</f>
        <v>0</v>
      </c>
      <c r="E8" s="1623"/>
    </row>
    <row r="9" spans="1:5" ht="15.75">
      <c r="A9" s="1623"/>
      <c r="B9" s="3272"/>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263" t="str">
        <f>结果表!E107</f>
        <v>3.房地产抵押价值</v>
      </c>
      <c r="C13" s="1631" t="s">
        <v>1347</v>
      </c>
      <c r="D13" s="940" t="e">
        <f ca="1">结果表!H107</f>
        <v>#REF!</v>
      </c>
      <c r="E13" s="1623"/>
    </row>
    <row r="14" spans="1:5" ht="15.75">
      <c r="A14" s="1623"/>
      <c r="B14" s="3264"/>
      <c r="C14" s="1626" t="s">
        <v>1348</v>
      </c>
      <c r="D14" s="937" t="e">
        <f ca="1">NUMBERSTRING(INT(D13*10000),2)&amp;"元整"</f>
        <v>#REF!</v>
      </c>
      <c r="E14" s="1623"/>
    </row>
    <row r="15" spans="1:5" ht="15">
      <c r="A15" s="1623"/>
      <c r="B15" s="3269"/>
      <c r="C15" s="1627" t="s">
        <v>1358</v>
      </c>
      <c r="D15" s="946" t="e">
        <f ca="1">结果表!H108</f>
        <v>#REF!</v>
      </c>
      <c r="E15" s="1623"/>
    </row>
    <row r="16" spans="1:5" ht="15">
      <c r="A16" s="1623"/>
      <c r="B16" s="3270" t="str">
        <f>结果表!E109</f>
        <v>——</v>
      </c>
      <c r="C16" s="1631" t="s">
        <v>1359</v>
      </c>
      <c r="D16" s="1632" t="str">
        <f>结果表!H109</f>
        <v>——</v>
      </c>
      <c r="E16" s="1623"/>
    </row>
    <row r="17" spans="1:5" ht="15.75">
      <c r="A17" s="1623"/>
      <c r="B17" s="3271"/>
      <c r="C17" s="1626" t="s">
        <v>1360</v>
      </c>
      <c r="D17" s="937" t="e">
        <f>NUMBERSTRING(INT(D16*10000),2)&amp;"元整"</f>
        <v>#VALUE!</v>
      </c>
      <c r="E17" s="1623"/>
    </row>
    <row r="18" spans="1:5" ht="15">
      <c r="A18" s="1623"/>
      <c r="B18" s="3272"/>
      <c r="C18" s="1627" t="s">
        <v>1349</v>
      </c>
      <c r="D18" s="946" t="str">
        <f>结果表!H110</f>
        <v>——</v>
      </c>
      <c r="E18" s="1623"/>
    </row>
    <row r="19" spans="1:5" ht="15.75">
      <c r="A19" s="1623"/>
      <c r="B19" s="3263" t="str">
        <f>结果表!E111</f>
        <v>——</v>
      </c>
      <c r="C19" s="1631" t="s">
        <v>1347</v>
      </c>
      <c r="D19" s="938" t="str">
        <f>结果表!H111</f>
        <v>——</v>
      </c>
      <c r="E19" s="1623"/>
    </row>
    <row r="20" spans="1:5" ht="15.75">
      <c r="A20" s="1623"/>
      <c r="B20" s="3264"/>
      <c r="C20" s="1626" t="s">
        <v>1360</v>
      </c>
      <c r="D20" s="937" t="e">
        <f>NUMBERSTRING(INT(D19*10000),2)&amp;"元整"</f>
        <v>#VALUE!</v>
      </c>
      <c r="E20" s="1623"/>
    </row>
    <row r="21" spans="1:5" ht="15.75" thickBot="1">
      <c r="A21" s="1623"/>
      <c r="B21" s="3265"/>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K38" sqref="K38"/>
      <selection pane="bottomLeft" activeCell="X34" sqref="X34"/>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1"/>
    <col min="46" max="16384" width="9" style="134"/>
  </cols>
  <sheetData>
    <row r="1" spans="1:45" ht="14.25" customHeight="1" thickBot="1">
      <c r="A1" s="150"/>
      <c r="B1" s="1092" t="s">
        <v>2582</v>
      </c>
      <c r="C1" s="3604" t="s">
        <v>2583</v>
      </c>
      <c r="D1" s="3605"/>
      <c r="E1" s="3605"/>
      <c r="F1" s="3605"/>
      <c r="G1" s="3605"/>
      <c r="H1" s="3605"/>
      <c r="I1" s="3605"/>
      <c r="J1" s="3605"/>
      <c r="K1" s="3605"/>
      <c r="L1" s="3605"/>
      <c r="M1" s="3605"/>
      <c r="N1" s="3605"/>
      <c r="O1" s="3605"/>
      <c r="P1" s="3605"/>
      <c r="Q1" s="3605"/>
      <c r="R1" s="3605"/>
      <c r="S1" s="3606"/>
      <c r="T1" s="1092" t="s">
        <v>2584</v>
      </c>
    </row>
    <row r="2" spans="1:45" s="662" customFormat="1" ht="39" thickBot="1">
      <c r="A2" s="1093"/>
      <c r="B2" s="658" t="s">
        <v>2585</v>
      </c>
      <c r="C2" s="659" t="str">
        <f t="shared" ref="C2:L2" si="0">C3&amp;"(含)"&amp;"-"&amp;D3</f>
        <v>0(含)-300</v>
      </c>
      <c r="D2" s="660" t="str">
        <f t="shared" si="0"/>
        <v>300(含)-500</v>
      </c>
      <c r="E2" s="660" t="str">
        <f t="shared" si="0"/>
        <v>500(含)-1000</v>
      </c>
      <c r="F2" s="660" t="str">
        <f t="shared" si="0"/>
        <v>1000(含)-1500</v>
      </c>
      <c r="G2" s="660" t="str">
        <f t="shared" si="0"/>
        <v>1500(含)-2000</v>
      </c>
      <c r="H2" s="660" t="str">
        <f t="shared" si="0"/>
        <v>2000(含)-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5" thickTop="1">
      <c r="A3" s="1095"/>
      <c r="B3" s="663"/>
      <c r="C3" s="510">
        <v>0</v>
      </c>
      <c r="D3" s="510">
        <v>300</v>
      </c>
      <c r="E3" s="510">
        <v>500</v>
      </c>
      <c r="F3" s="539">
        <v>1000</v>
      </c>
      <c r="G3" s="511">
        <v>1500</v>
      </c>
      <c r="H3" s="511">
        <v>2000</v>
      </c>
      <c r="I3" s="1422"/>
      <c r="J3" s="1422"/>
      <c r="K3" s="1422"/>
      <c r="L3" s="1423"/>
      <c r="M3" s="1424"/>
      <c r="N3" s="1424"/>
      <c r="O3" s="1422"/>
      <c r="P3" s="1422"/>
      <c r="Q3" s="1422"/>
      <c r="R3" s="1422"/>
      <c r="S3" s="142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6">
        <v>99</v>
      </c>
      <c r="D4" s="516">
        <v>100</v>
      </c>
      <c r="E4" s="516">
        <v>99</v>
      </c>
      <c r="F4" s="516">
        <v>98</v>
      </c>
      <c r="G4" s="516">
        <v>97</v>
      </c>
      <c r="H4" s="516">
        <v>96</v>
      </c>
      <c r="I4" s="1426"/>
      <c r="J4" s="1426"/>
      <c r="K4" s="1426"/>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ht="13.5" thickTop="1">
      <c r="A5" s="1103"/>
      <c r="B5" s="1453" t="s">
        <v>2586</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03"/>
      <c r="B7" s="1454" t="s">
        <v>2587</v>
      </c>
      <c r="C7" s="1013"/>
      <c r="D7" s="1007"/>
      <c r="E7" s="1007"/>
      <c r="F7" s="1434"/>
      <c r="G7" s="1434"/>
      <c r="H7" s="1434"/>
      <c r="I7" s="1434"/>
      <c r="J7" s="1434"/>
      <c r="K7" s="1434"/>
      <c r="L7" s="1434"/>
      <c r="M7" s="1435"/>
      <c r="N7" s="1436"/>
      <c r="O7" s="1437"/>
      <c r="P7" s="1438"/>
      <c r="Q7" s="1439"/>
      <c r="R7" s="1440"/>
      <c r="S7" s="144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03"/>
      <c r="B9" s="1454" t="s">
        <v>2588</v>
      </c>
      <c r="C9" s="1013"/>
      <c r="D9" s="1007"/>
      <c r="E9" s="1007"/>
      <c r="F9" s="1434"/>
      <c r="G9" s="1434"/>
      <c r="H9" s="1434"/>
      <c r="I9" s="1434"/>
      <c r="J9" s="1434"/>
      <c r="K9" s="1434"/>
      <c r="L9" s="1442"/>
      <c r="M9" s="1435"/>
      <c r="N9" s="1436"/>
      <c r="O9" s="1437"/>
      <c r="P9" s="1438"/>
      <c r="Q9" s="1439"/>
      <c r="R9" s="1440"/>
      <c r="S9" s="144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03"/>
      <c r="B11" s="1453" t="s">
        <v>2589</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03"/>
      <c r="B13" s="1453" t="s">
        <v>2590</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03"/>
      <c r="B15" s="1453" t="s">
        <v>2591</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2592</v>
      </c>
      <c r="B17" s="2312" t="s">
        <v>2593</v>
      </c>
      <c r="C17" s="3256" t="s">
        <v>3256</v>
      </c>
      <c r="D17" s="3256" t="s">
        <v>3257</v>
      </c>
      <c r="E17" s="3257" t="s">
        <v>3258</v>
      </c>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2"/>
      <c r="AS17" s="732"/>
    </row>
    <row r="18" spans="1:45" s="662" customFormat="1" ht="13.5" thickBot="1">
      <c r="A18" s="1128"/>
      <c r="B18" s="1129"/>
      <c r="C18" s="1130">
        <v>102</v>
      </c>
      <c r="D18" s="1131">
        <v>100</v>
      </c>
      <c r="E18" s="1131">
        <v>98</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3"/>
      <c r="B19" s="163"/>
      <c r="C19" s="163"/>
      <c r="D19" s="2313" t="s">
        <v>2594</v>
      </c>
      <c r="E19" s="1471"/>
      <c r="F19" s="1471"/>
      <c r="G19" s="1471"/>
      <c r="H19" s="1167"/>
      <c r="I19" s="163"/>
      <c r="J19" s="163"/>
      <c r="K19" s="163"/>
      <c r="L19" s="163"/>
      <c r="M19" s="163"/>
      <c r="N19" s="163"/>
      <c r="O19" s="163"/>
      <c r="P19" s="163"/>
      <c r="Q19" s="163"/>
      <c r="R19" s="724"/>
      <c r="S19" s="133"/>
    </row>
    <row r="20" spans="1:45" ht="16.5" thickBot="1">
      <c r="A20" s="668" t="s">
        <v>2595</v>
      </c>
      <c r="B20" s="299">
        <f ca="1">IF(D20="——",S22,S22-F20)</f>
        <v>127301</v>
      </c>
      <c r="C20" s="163"/>
      <c r="D20" s="2314" t="s">
        <v>70</v>
      </c>
      <c r="E20" s="1472"/>
      <c r="F20" s="1092" t="e">
        <f ca="1">SUMIF(INDIRECT("'"&amp;H20&amp;"'"&amp;"!A:A"),"承租人权益价值",INDIRECT("'"&amp;H20&amp;"'"&amp;"!c:c"))</f>
        <v>#REF!</v>
      </c>
      <c r="G20" s="1092" t="s">
        <v>2596</v>
      </c>
      <c r="H20" s="2315"/>
      <c r="I20" s="163"/>
      <c r="J20" s="163"/>
      <c r="K20" s="163"/>
      <c r="L20" s="163"/>
      <c r="M20" s="163"/>
      <c r="N20" s="163"/>
      <c r="O20" s="163"/>
      <c r="P20" s="163"/>
      <c r="Q20" s="163"/>
      <c r="R20" s="724"/>
      <c r="S20" s="133"/>
    </row>
    <row r="21" spans="1:45" ht="15.75">
      <c r="A21" s="668" t="s">
        <v>2597</v>
      </c>
      <c r="B21" s="299">
        <f ca="1">ROUND(B20*10000/B22,0)</f>
        <v>51197</v>
      </c>
      <c r="C21" s="163"/>
      <c r="D21" s="163"/>
      <c r="E21" s="163"/>
      <c r="F21" s="163"/>
      <c r="G21" s="163"/>
      <c r="H21" s="163"/>
      <c r="I21" s="163"/>
      <c r="J21" s="163"/>
      <c r="K21" s="163"/>
      <c r="L21" s="163"/>
      <c r="M21" s="163"/>
      <c r="N21" s="163"/>
      <c r="O21" s="163"/>
      <c r="P21" s="163"/>
      <c r="Q21" s="163"/>
      <c r="R21" s="724"/>
      <c r="S21" s="133"/>
    </row>
    <row r="22" spans="1:45">
      <c r="A22" s="321" t="s">
        <v>2598</v>
      </c>
      <c r="B22" s="23">
        <f>SUM(B24:B10000)</f>
        <v>24865.040000000005</v>
      </c>
      <c r="C22" s="3601" t="s">
        <v>33</v>
      </c>
      <c r="D22" s="3602"/>
      <c r="E22" s="3602"/>
      <c r="F22" s="3602"/>
      <c r="G22" s="3602"/>
      <c r="H22" s="3602"/>
      <c r="I22" s="3602"/>
      <c r="J22" s="3602"/>
      <c r="K22" s="3602"/>
      <c r="L22" s="3602"/>
      <c r="M22" s="3602"/>
      <c r="N22" s="3602"/>
      <c r="O22" s="3602"/>
      <c r="P22" s="3602"/>
      <c r="Q22" s="3603"/>
      <c r="R22" s="669">
        <f ca="1">ROUND(S22*10000/B22,0)</f>
        <v>51197</v>
      </c>
      <c r="S22" s="23">
        <f ca="1">SUM(S24:S10000)</f>
        <v>127301</v>
      </c>
      <c r="T22" s="731">
        <v>127619</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0" t="s">
        <v>2602</v>
      </c>
      <c r="S23" s="11" t="s">
        <v>2603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54" t="s">
        <v>3255</v>
      </c>
      <c r="B24" s="671">
        <f>'[3]数据-基础表'!I27</f>
        <v>1506.52</v>
      </c>
      <c r="C24" s="2987">
        <v>1</v>
      </c>
      <c r="D24" s="2988"/>
      <c r="E24" s="2987">
        <v>1</v>
      </c>
      <c r="F24" s="2988"/>
      <c r="G24" s="2987">
        <v>1</v>
      </c>
      <c r="H24" s="2988"/>
      <c r="I24" s="2987">
        <v>1</v>
      </c>
      <c r="J24" s="2988"/>
      <c r="K24" s="2987">
        <v>1</v>
      </c>
      <c r="L24" s="2988"/>
      <c r="M24" s="2987">
        <v>1</v>
      </c>
      <c r="N24" s="2988"/>
      <c r="O24" s="2987">
        <v>1</v>
      </c>
      <c r="P24" s="673" t="s">
        <v>3253</v>
      </c>
      <c r="Q24" s="2987">
        <v>1</v>
      </c>
      <c r="R24" s="674">
        <f ca="1">结果表!G20</f>
        <v>49909</v>
      </c>
      <c r="S24" s="672">
        <f t="shared" ref="S24:S54" ca="1" si="11">ROUND(R24*B24/10000,0)</f>
        <v>7519</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4">
        <f>'[3]数据-基础表'!C24</f>
        <v>101</v>
      </c>
      <c r="B25" s="3255">
        <f>'[3]数据-基础表'!I24</f>
        <v>931.44</v>
      </c>
      <c r="C25" s="23">
        <f>IF(B25="",1,(LOOKUP(B25,$3:$3,$4:$4)-LOOKUP($B$24,$3:$3,$4:$4)+100)/100)</f>
        <v>1.02</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t="s">
        <v>3253</v>
      </c>
      <c r="Q25" s="23">
        <f>(SUMIF($17:$17,P25,$18:$18)-SUMIF($17:$17,$P$24,$18:$18)+100)/100</f>
        <v>1</v>
      </c>
      <c r="R25" s="669">
        <f ca="1">IF(B25="",0,ROUND($R$24*C25*E25*G25*I25*K25*M25*O25*Q25,0))</f>
        <v>50907</v>
      </c>
      <c r="S25" s="321">
        <f t="shared" ca="1" si="11"/>
        <v>4742</v>
      </c>
    </row>
    <row r="26" spans="1:45">
      <c r="A26" s="154">
        <f>'[3]数据-基础表'!C25</f>
        <v>201</v>
      </c>
      <c r="B26" s="3255">
        <f>'[3]数据-基础表'!I25</f>
        <v>950.88</v>
      </c>
      <c r="C26" s="23">
        <f t="shared" ref="C26:C89" si="12">IF(B26="",1,(LOOKUP(B26,$3:$3,$4:$4)-LOOKUP($B$24,$3:$3,$4:$4)+100)/100)</f>
        <v>1.02</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t="s">
        <v>3253</v>
      </c>
      <c r="Q26" s="23">
        <f t="shared" ref="Q26:Q89" si="19">(SUMIF($17:$17,P26,$18:$18)-SUMIF($17:$17,$P$24,$18:$18)+100)/100</f>
        <v>1</v>
      </c>
      <c r="R26" s="669">
        <f t="shared" ref="R26:R89" ca="1" si="20">IF(B26="",0,ROUND($R$24*C26*E26*G26*I26*K26*M26*O26*Q26,0))</f>
        <v>50907</v>
      </c>
      <c r="S26" s="321">
        <f t="shared" ca="1" si="11"/>
        <v>4841</v>
      </c>
    </row>
    <row r="27" spans="1:45">
      <c r="A27" s="154">
        <f>'[3]数据-基础表'!C26</f>
        <v>301</v>
      </c>
      <c r="B27" s="3255">
        <f>'[3]数据-基础表'!I26</f>
        <v>630.82000000000005</v>
      </c>
      <c r="C27" s="23">
        <f t="shared" si="12"/>
        <v>1.02</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t="s">
        <v>3253</v>
      </c>
      <c r="Q27" s="23">
        <f t="shared" si="19"/>
        <v>1</v>
      </c>
      <c r="R27" s="669">
        <f t="shared" ca="1" si="20"/>
        <v>50907</v>
      </c>
      <c r="S27" s="321">
        <f t="shared" ca="1" si="11"/>
        <v>3211</v>
      </c>
    </row>
    <row r="28" spans="1:45">
      <c r="A28" s="154">
        <f>'[3]数据-基础表'!C28</f>
        <v>601</v>
      </c>
      <c r="B28" s="3255">
        <f>'[3]数据-基础表'!I28</f>
        <v>1506.52</v>
      </c>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t="s">
        <v>3253</v>
      </c>
      <c r="Q28" s="23">
        <f t="shared" si="19"/>
        <v>1</v>
      </c>
      <c r="R28" s="669">
        <f t="shared" ca="1" si="20"/>
        <v>49909</v>
      </c>
      <c r="S28" s="321">
        <f t="shared" ca="1" si="11"/>
        <v>7519</v>
      </c>
    </row>
    <row r="29" spans="1:45">
      <c r="A29" s="154">
        <f>'[3]数据-基础表'!C29</f>
        <v>701</v>
      </c>
      <c r="B29" s="3255">
        <f>'[3]数据-基础表'!I29</f>
        <v>1506.52</v>
      </c>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t="s">
        <v>3251</v>
      </c>
      <c r="Q29" s="23">
        <f t="shared" si="19"/>
        <v>1.02</v>
      </c>
      <c r="R29" s="669">
        <f t="shared" ca="1" si="20"/>
        <v>50907</v>
      </c>
      <c r="S29" s="321">
        <f t="shared" ca="1" si="11"/>
        <v>7669</v>
      </c>
    </row>
    <row r="30" spans="1:45">
      <c r="A30" s="154">
        <f>'[3]数据-基础表'!C30</f>
        <v>801</v>
      </c>
      <c r="B30" s="3255">
        <f>'[3]数据-基础表'!I30</f>
        <v>1506.52</v>
      </c>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t="s">
        <v>3251</v>
      </c>
      <c r="Q30" s="23">
        <f t="shared" si="19"/>
        <v>1.02</v>
      </c>
      <c r="R30" s="669">
        <f t="shared" ca="1" si="20"/>
        <v>50907</v>
      </c>
      <c r="S30" s="321">
        <f t="shared" ca="1" si="11"/>
        <v>7669</v>
      </c>
    </row>
    <row r="31" spans="1:45">
      <c r="A31" s="154">
        <f>'[3]数据-基础表'!C31</f>
        <v>901</v>
      </c>
      <c r="B31" s="3255">
        <f>'[3]数据-基础表'!I31</f>
        <v>1506.52</v>
      </c>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t="s">
        <v>3251</v>
      </c>
      <c r="Q31" s="23">
        <f t="shared" si="19"/>
        <v>1.02</v>
      </c>
      <c r="R31" s="669">
        <f t="shared" ca="1" si="20"/>
        <v>50907</v>
      </c>
      <c r="S31" s="321">
        <f t="shared" ca="1" si="11"/>
        <v>7669</v>
      </c>
    </row>
    <row r="32" spans="1:45">
      <c r="A32" s="154">
        <f>'[3]数据-基础表'!C32</f>
        <v>1001</v>
      </c>
      <c r="B32" s="3255">
        <f>'[3]数据-基础表'!I32</f>
        <v>1506.52</v>
      </c>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t="s">
        <v>3251</v>
      </c>
      <c r="Q32" s="23">
        <f t="shared" si="19"/>
        <v>1.02</v>
      </c>
      <c r="R32" s="669">
        <f t="shared" ca="1" si="20"/>
        <v>50907</v>
      </c>
      <c r="S32" s="321">
        <f t="shared" ca="1" si="11"/>
        <v>7669</v>
      </c>
    </row>
    <row r="33" spans="1:19">
      <c r="A33" s="154">
        <f>'[3]数据-基础表'!C33</f>
        <v>1101</v>
      </c>
      <c r="B33" s="3255">
        <f>'[3]数据-基础表'!I33</f>
        <v>1506.52</v>
      </c>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t="s">
        <v>3251</v>
      </c>
      <c r="Q33" s="23">
        <f t="shared" si="19"/>
        <v>1.02</v>
      </c>
      <c r="R33" s="669">
        <f t="shared" ca="1" si="20"/>
        <v>50907</v>
      </c>
      <c r="S33" s="321">
        <f t="shared" ca="1" si="11"/>
        <v>7669</v>
      </c>
    </row>
    <row r="34" spans="1:19">
      <c r="A34" s="154">
        <f>'[3]数据-基础表'!C34</f>
        <v>1201</v>
      </c>
      <c r="B34" s="3255">
        <f>'[3]数据-基础表'!I34</f>
        <v>1506.52</v>
      </c>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t="s">
        <v>3251</v>
      </c>
      <c r="Q34" s="23">
        <f t="shared" si="19"/>
        <v>1.02</v>
      </c>
      <c r="R34" s="669">
        <f t="shared" ca="1" si="20"/>
        <v>50907</v>
      </c>
      <c r="S34" s="321">
        <f t="shared" ca="1" si="11"/>
        <v>7669</v>
      </c>
    </row>
    <row r="35" spans="1:19">
      <c r="A35" s="154">
        <f>'[3]数据-基础表'!C35</f>
        <v>1301</v>
      </c>
      <c r="B35" s="3255">
        <f>'[3]数据-基础表'!I35</f>
        <v>1506.52</v>
      </c>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t="s">
        <v>3251</v>
      </c>
      <c r="Q35" s="23">
        <f t="shared" si="19"/>
        <v>1.02</v>
      </c>
      <c r="R35" s="669">
        <f t="shared" ca="1" si="20"/>
        <v>50907</v>
      </c>
      <c r="S35" s="321">
        <f t="shared" ca="1" si="11"/>
        <v>7669</v>
      </c>
    </row>
    <row r="36" spans="1:19">
      <c r="A36" s="154">
        <f>'[3]数据-基础表'!C36</f>
        <v>1401</v>
      </c>
      <c r="B36" s="3255">
        <f>'[3]数据-基础表'!I36</f>
        <v>1506.52</v>
      </c>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t="s">
        <v>3249</v>
      </c>
      <c r="Q36" s="23">
        <f t="shared" si="19"/>
        <v>1.04</v>
      </c>
      <c r="R36" s="669">
        <f t="shared" ca="1" si="20"/>
        <v>51905</v>
      </c>
      <c r="S36" s="321">
        <f t="shared" ca="1" si="11"/>
        <v>7820</v>
      </c>
    </row>
    <row r="37" spans="1:19">
      <c r="A37" s="154">
        <f>'[3]数据-基础表'!C37</f>
        <v>1501</v>
      </c>
      <c r="B37" s="3255">
        <f>'[3]数据-基础表'!I37</f>
        <v>1506.52</v>
      </c>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t="s">
        <v>3249</v>
      </c>
      <c r="Q37" s="23">
        <f t="shared" si="19"/>
        <v>1.04</v>
      </c>
      <c r="R37" s="669">
        <f t="shared" ca="1" si="20"/>
        <v>51905</v>
      </c>
      <c r="S37" s="321">
        <f t="shared" ca="1" si="11"/>
        <v>7820</v>
      </c>
    </row>
    <row r="38" spans="1:19">
      <c r="A38" s="154">
        <f>'[3]数据-基础表'!C38</f>
        <v>1601</v>
      </c>
      <c r="B38" s="3255">
        <f>'[3]数据-基础表'!I38</f>
        <v>1506.52</v>
      </c>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t="s">
        <v>3249</v>
      </c>
      <c r="Q38" s="23">
        <f t="shared" si="19"/>
        <v>1.04</v>
      </c>
      <c r="R38" s="669">
        <f t="shared" ca="1" si="20"/>
        <v>51905</v>
      </c>
      <c r="S38" s="321">
        <f t="shared" ca="1" si="11"/>
        <v>7820</v>
      </c>
    </row>
    <row r="39" spans="1:19">
      <c r="A39" s="154">
        <f>'[3]数据-基础表'!C39</f>
        <v>1701</v>
      </c>
      <c r="B39" s="3255">
        <f>'[3]数据-基础表'!I39</f>
        <v>1506.52</v>
      </c>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t="s">
        <v>3249</v>
      </c>
      <c r="Q39" s="23">
        <f t="shared" si="19"/>
        <v>1.04</v>
      </c>
      <c r="R39" s="669">
        <f t="shared" ca="1" si="20"/>
        <v>51905</v>
      </c>
      <c r="S39" s="321">
        <f t="shared" ca="1" si="11"/>
        <v>7820</v>
      </c>
    </row>
    <row r="40" spans="1:19">
      <c r="A40" s="154">
        <f>'[3]数据-基础表'!C40</f>
        <v>1801</v>
      </c>
      <c r="B40" s="3255">
        <f>'[3]数据-基础表'!I40</f>
        <v>1383.57</v>
      </c>
      <c r="C40" s="23">
        <f t="shared" si="12"/>
        <v>1.01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t="s">
        <v>3249</v>
      </c>
      <c r="Q40" s="23">
        <f t="shared" si="19"/>
        <v>1.04</v>
      </c>
      <c r="R40" s="669">
        <f t="shared" ca="1" si="20"/>
        <v>52424</v>
      </c>
      <c r="S40" s="321">
        <f t="shared" ca="1" si="11"/>
        <v>7253</v>
      </c>
    </row>
    <row r="41" spans="1:19">
      <c r="A41" s="154">
        <f>'[3]数据-基础表'!C41</f>
        <v>1901</v>
      </c>
      <c r="B41" s="3255">
        <f>'[3]数据-基础表'!I41</f>
        <v>1383.57</v>
      </c>
      <c r="C41" s="23">
        <f t="shared" si="12"/>
        <v>1.01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t="s">
        <v>3249</v>
      </c>
      <c r="Q41" s="23">
        <f t="shared" si="19"/>
        <v>1.04</v>
      </c>
      <c r="R41" s="669">
        <f t="shared" ca="1" si="20"/>
        <v>52424</v>
      </c>
      <c r="S41" s="321">
        <f t="shared" ca="1" si="11"/>
        <v>7253</v>
      </c>
    </row>
    <row r="42" spans="1:19">
      <c r="A42" s="154"/>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0.02</v>
      </c>
      <c r="R42" s="669">
        <f t="shared" si="20"/>
        <v>0</v>
      </c>
      <c r="S42" s="321">
        <f t="shared" si="11"/>
        <v>0</v>
      </c>
    </row>
    <row r="43" spans="1:19">
      <c r="A43" s="154"/>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0.02</v>
      </c>
      <c r="R43" s="669">
        <f t="shared" si="20"/>
        <v>0</v>
      </c>
      <c r="S43" s="321">
        <f t="shared" si="11"/>
        <v>0</v>
      </c>
    </row>
    <row r="44" spans="1:19">
      <c r="A44" s="154"/>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0.02</v>
      </c>
      <c r="R44" s="669">
        <f t="shared" si="20"/>
        <v>0</v>
      </c>
      <c r="S44" s="321">
        <f t="shared" si="11"/>
        <v>0</v>
      </c>
    </row>
    <row r="45" spans="1:19">
      <c r="A45" s="154"/>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0.02</v>
      </c>
      <c r="R45" s="669">
        <f t="shared" si="20"/>
        <v>0</v>
      </c>
      <c r="S45" s="321">
        <f t="shared" si="11"/>
        <v>0</v>
      </c>
    </row>
    <row r="46" spans="1:19">
      <c r="A46" s="154"/>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0.02</v>
      </c>
      <c r="R46" s="669">
        <f t="shared" si="20"/>
        <v>0</v>
      </c>
      <c r="S46" s="321">
        <f t="shared" si="11"/>
        <v>0</v>
      </c>
    </row>
    <row r="47" spans="1:19">
      <c r="A47" s="154"/>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0.02</v>
      </c>
      <c r="R47" s="669">
        <f t="shared" si="20"/>
        <v>0</v>
      </c>
      <c r="S47" s="321">
        <f t="shared" si="11"/>
        <v>0</v>
      </c>
    </row>
    <row r="48" spans="1:19">
      <c r="A48" s="154"/>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0.02</v>
      </c>
      <c r="R48" s="669">
        <f t="shared" si="20"/>
        <v>0</v>
      </c>
      <c r="S48" s="321">
        <f t="shared" si="11"/>
        <v>0</v>
      </c>
    </row>
    <row r="49" spans="1:19">
      <c r="A49" s="154"/>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0.02</v>
      </c>
      <c r="R49" s="669">
        <f t="shared" si="20"/>
        <v>0</v>
      </c>
      <c r="S49" s="321">
        <f t="shared" si="11"/>
        <v>0</v>
      </c>
    </row>
    <row r="50" spans="1:19">
      <c r="A50" s="154"/>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0.02</v>
      </c>
      <c r="R50" s="669">
        <f t="shared" si="20"/>
        <v>0</v>
      </c>
      <c r="S50" s="321">
        <f t="shared" si="11"/>
        <v>0</v>
      </c>
    </row>
    <row r="51" spans="1:19">
      <c r="A51" s="154"/>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0.02</v>
      </c>
      <c r="R51" s="669">
        <f t="shared" si="20"/>
        <v>0</v>
      </c>
      <c r="S51" s="321">
        <f t="shared" si="11"/>
        <v>0</v>
      </c>
    </row>
    <row r="52" spans="1:19">
      <c r="A52" s="154"/>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0.02</v>
      </c>
      <c r="R52" s="669">
        <f t="shared" si="20"/>
        <v>0</v>
      </c>
      <c r="S52" s="321">
        <f t="shared" si="11"/>
        <v>0</v>
      </c>
    </row>
    <row r="53" spans="1:19">
      <c r="A53" s="154"/>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0.02</v>
      </c>
      <c r="R53" s="669">
        <f t="shared" si="20"/>
        <v>0</v>
      </c>
      <c r="S53" s="321">
        <f t="shared" si="11"/>
        <v>0</v>
      </c>
    </row>
    <row r="54" spans="1:19">
      <c r="A54" s="154"/>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0.02</v>
      </c>
      <c r="R54" s="669">
        <f t="shared" si="20"/>
        <v>0</v>
      </c>
      <c r="S54" s="321">
        <f t="shared" si="11"/>
        <v>0</v>
      </c>
    </row>
    <row r="55" spans="1:19">
      <c r="A55" s="154"/>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0.02</v>
      </c>
      <c r="R55" s="669">
        <f t="shared" si="20"/>
        <v>0</v>
      </c>
      <c r="S55" s="321">
        <f t="shared" ref="S55:S77" si="21">ROUND(R55*B55/10000,0)</f>
        <v>0</v>
      </c>
    </row>
    <row r="56" spans="1:19">
      <c r="A56" s="154"/>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0.02</v>
      </c>
      <c r="R56" s="669">
        <f t="shared" si="20"/>
        <v>0</v>
      </c>
      <c r="S56" s="321">
        <f t="shared" si="21"/>
        <v>0</v>
      </c>
    </row>
    <row r="57" spans="1:19">
      <c r="A57" s="154"/>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0.02</v>
      </c>
      <c r="R57" s="669">
        <f t="shared" si="20"/>
        <v>0</v>
      </c>
      <c r="S57" s="321">
        <f t="shared" si="21"/>
        <v>0</v>
      </c>
    </row>
    <row r="58" spans="1:19">
      <c r="A58" s="154"/>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0.02</v>
      </c>
      <c r="R58" s="669">
        <f t="shared" si="20"/>
        <v>0</v>
      </c>
      <c r="S58" s="321">
        <f t="shared" si="21"/>
        <v>0</v>
      </c>
    </row>
    <row r="59" spans="1:19">
      <c r="A59" s="154"/>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0.02</v>
      </c>
      <c r="R59" s="669">
        <f t="shared" si="20"/>
        <v>0</v>
      </c>
      <c r="S59" s="321">
        <f t="shared" si="21"/>
        <v>0</v>
      </c>
    </row>
    <row r="60" spans="1:19">
      <c r="A60" s="154"/>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0.02</v>
      </c>
      <c r="R60" s="669">
        <f t="shared" si="20"/>
        <v>0</v>
      </c>
      <c r="S60" s="321">
        <f t="shared" si="21"/>
        <v>0</v>
      </c>
    </row>
    <row r="61" spans="1:19">
      <c r="A61" s="154"/>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0.02</v>
      </c>
      <c r="R61" s="669">
        <f t="shared" si="20"/>
        <v>0</v>
      </c>
      <c r="S61" s="321">
        <f t="shared" si="21"/>
        <v>0</v>
      </c>
    </row>
    <row r="62" spans="1:19">
      <c r="A62" s="154"/>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0.02</v>
      </c>
      <c r="R62" s="669">
        <f t="shared" si="20"/>
        <v>0</v>
      </c>
      <c r="S62" s="321">
        <f t="shared" si="21"/>
        <v>0</v>
      </c>
    </row>
    <row r="63" spans="1:19">
      <c r="A63" s="154"/>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0.02</v>
      </c>
      <c r="R63" s="669">
        <f t="shared" si="20"/>
        <v>0</v>
      </c>
      <c r="S63" s="321">
        <f t="shared" si="21"/>
        <v>0</v>
      </c>
    </row>
    <row r="64" spans="1:19">
      <c r="A64" s="154"/>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0.02</v>
      </c>
      <c r="R64" s="669">
        <f t="shared" si="20"/>
        <v>0</v>
      </c>
      <c r="S64" s="321">
        <f t="shared" si="21"/>
        <v>0</v>
      </c>
    </row>
    <row r="65" spans="1:19">
      <c r="A65" s="154"/>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0.02</v>
      </c>
      <c r="R65" s="669">
        <f t="shared" si="20"/>
        <v>0</v>
      </c>
      <c r="S65" s="321">
        <f t="shared" si="21"/>
        <v>0</v>
      </c>
    </row>
    <row r="66" spans="1:19">
      <c r="A66" s="154"/>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0.02</v>
      </c>
      <c r="R66" s="669">
        <f t="shared" si="20"/>
        <v>0</v>
      </c>
      <c r="S66" s="321">
        <f t="shared" si="21"/>
        <v>0</v>
      </c>
    </row>
    <row r="67" spans="1:19">
      <c r="A67" s="154"/>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0.02</v>
      </c>
      <c r="R67" s="669">
        <f t="shared" si="20"/>
        <v>0</v>
      </c>
      <c r="S67" s="321">
        <f t="shared" si="21"/>
        <v>0</v>
      </c>
    </row>
    <row r="68" spans="1:19">
      <c r="A68" s="154"/>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0.02</v>
      </c>
      <c r="R68" s="669">
        <f t="shared" si="20"/>
        <v>0</v>
      </c>
      <c r="S68" s="321">
        <f t="shared" si="21"/>
        <v>0</v>
      </c>
    </row>
    <row r="69" spans="1:19">
      <c r="A69" s="154"/>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0.02</v>
      </c>
      <c r="R69" s="669">
        <f t="shared" si="20"/>
        <v>0</v>
      </c>
      <c r="S69" s="321">
        <f t="shared" si="21"/>
        <v>0</v>
      </c>
    </row>
    <row r="70" spans="1:19">
      <c r="A70" s="154"/>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0.02</v>
      </c>
      <c r="R70" s="669">
        <f t="shared" si="20"/>
        <v>0</v>
      </c>
      <c r="S70" s="321">
        <f t="shared" si="21"/>
        <v>0</v>
      </c>
    </row>
    <row r="71" spans="1:19">
      <c r="A71" s="154"/>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0.02</v>
      </c>
      <c r="R71" s="669">
        <f t="shared" si="20"/>
        <v>0</v>
      </c>
      <c r="S71" s="321">
        <f t="shared" si="21"/>
        <v>0</v>
      </c>
    </row>
    <row r="72" spans="1:19">
      <c r="A72" s="154"/>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0.02</v>
      </c>
      <c r="R72" s="669">
        <f t="shared" si="20"/>
        <v>0</v>
      </c>
      <c r="S72" s="321">
        <f t="shared" si="21"/>
        <v>0</v>
      </c>
    </row>
    <row r="73" spans="1:19">
      <c r="A73" s="154"/>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0.02</v>
      </c>
      <c r="R73" s="669">
        <f t="shared" si="20"/>
        <v>0</v>
      </c>
      <c r="S73" s="321">
        <f t="shared" si="21"/>
        <v>0</v>
      </c>
    </row>
    <row r="74" spans="1:19">
      <c r="A74" s="154"/>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0.02</v>
      </c>
      <c r="R74" s="669">
        <f t="shared" si="20"/>
        <v>0</v>
      </c>
      <c r="S74" s="321">
        <f t="shared" si="21"/>
        <v>0</v>
      </c>
    </row>
    <row r="75" spans="1:19">
      <c r="A75" s="154"/>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0.02</v>
      </c>
      <c r="R75" s="669">
        <f t="shared" si="20"/>
        <v>0</v>
      </c>
      <c r="S75" s="321">
        <f t="shared" si="21"/>
        <v>0</v>
      </c>
    </row>
    <row r="76" spans="1:19">
      <c r="A76" s="154"/>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0.02</v>
      </c>
      <c r="R76" s="669">
        <f t="shared" si="20"/>
        <v>0</v>
      </c>
      <c r="S76" s="321">
        <f t="shared" si="21"/>
        <v>0</v>
      </c>
    </row>
    <row r="77" spans="1:19">
      <c r="A77" s="154"/>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0.02</v>
      </c>
      <c r="R77" s="669">
        <f t="shared" si="20"/>
        <v>0</v>
      </c>
      <c r="S77" s="321">
        <f t="shared" si="21"/>
        <v>0</v>
      </c>
    </row>
    <row r="78" spans="1:19">
      <c r="A78" s="154"/>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0.02</v>
      </c>
      <c r="R78" s="669">
        <f t="shared" si="20"/>
        <v>0</v>
      </c>
      <c r="S78" s="321">
        <f t="shared" ref="S78:S122" si="22">ROUND(R78*B78/10000,0)</f>
        <v>0</v>
      </c>
    </row>
    <row r="79" spans="1:19">
      <c r="A79" s="154"/>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0.02</v>
      </c>
      <c r="R79" s="669">
        <f t="shared" si="20"/>
        <v>0</v>
      </c>
      <c r="S79" s="321">
        <f t="shared" si="22"/>
        <v>0</v>
      </c>
    </row>
    <row r="80" spans="1:19">
      <c r="A80" s="154"/>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0.02</v>
      </c>
      <c r="R80" s="669">
        <f t="shared" si="20"/>
        <v>0</v>
      </c>
      <c r="S80" s="321">
        <f t="shared" si="22"/>
        <v>0</v>
      </c>
    </row>
    <row r="81" spans="1:19">
      <c r="A81" s="154"/>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0.02</v>
      </c>
      <c r="R81" s="669">
        <f t="shared" si="20"/>
        <v>0</v>
      </c>
      <c r="S81" s="321">
        <f t="shared" si="22"/>
        <v>0</v>
      </c>
    </row>
    <row r="82" spans="1:19">
      <c r="A82" s="154"/>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0.02</v>
      </c>
      <c r="R82" s="669">
        <f t="shared" si="20"/>
        <v>0</v>
      </c>
      <c r="S82" s="321">
        <f t="shared" si="22"/>
        <v>0</v>
      </c>
    </row>
    <row r="83" spans="1:19">
      <c r="A83" s="154"/>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0.02</v>
      </c>
      <c r="R83" s="669">
        <f t="shared" si="20"/>
        <v>0</v>
      </c>
      <c r="S83" s="321">
        <f t="shared" si="22"/>
        <v>0</v>
      </c>
    </row>
    <row r="84" spans="1:19">
      <c r="A84" s="154"/>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0.02</v>
      </c>
      <c r="R84" s="669">
        <f t="shared" si="20"/>
        <v>0</v>
      </c>
      <c r="S84" s="321">
        <f t="shared" si="22"/>
        <v>0</v>
      </c>
    </row>
    <row r="85" spans="1:19">
      <c r="A85" s="154"/>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0.02</v>
      </c>
      <c r="R85" s="669">
        <f t="shared" si="20"/>
        <v>0</v>
      </c>
      <c r="S85" s="321">
        <f t="shared" si="22"/>
        <v>0</v>
      </c>
    </row>
    <row r="86" spans="1:19">
      <c r="A86" s="154"/>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0.02</v>
      </c>
      <c r="R86" s="669">
        <f t="shared" si="20"/>
        <v>0</v>
      </c>
      <c r="S86" s="321">
        <f t="shared" si="22"/>
        <v>0</v>
      </c>
    </row>
    <row r="87" spans="1:19">
      <c r="A87" s="154"/>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0.02</v>
      </c>
      <c r="R87" s="669">
        <f t="shared" si="20"/>
        <v>0</v>
      </c>
      <c r="S87" s="321">
        <f t="shared" si="22"/>
        <v>0</v>
      </c>
    </row>
    <row r="88" spans="1:19">
      <c r="A88" s="154"/>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0.02</v>
      </c>
      <c r="R88" s="669">
        <f t="shared" si="20"/>
        <v>0</v>
      </c>
      <c r="S88" s="321">
        <f t="shared" si="22"/>
        <v>0</v>
      </c>
    </row>
    <row r="89" spans="1:19">
      <c r="A89" s="154"/>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0.02</v>
      </c>
      <c r="R89" s="669">
        <f t="shared" si="20"/>
        <v>0</v>
      </c>
      <c r="S89" s="321">
        <f t="shared" si="22"/>
        <v>0</v>
      </c>
    </row>
    <row r="90" spans="1:19">
      <c r="A90" s="154"/>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0.02</v>
      </c>
      <c r="R90" s="669">
        <f t="shared" ref="R90:R153" si="31">IF(B90="",0,ROUND($R$24*C90*E90*G90*I90*K90*M90*O90*Q90,0))</f>
        <v>0</v>
      </c>
      <c r="S90" s="321">
        <f t="shared" si="22"/>
        <v>0</v>
      </c>
    </row>
    <row r="91" spans="1:19">
      <c r="A91" s="154"/>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0.02</v>
      </c>
      <c r="R91" s="669">
        <f t="shared" si="31"/>
        <v>0</v>
      </c>
      <c r="S91" s="321">
        <f t="shared" si="22"/>
        <v>0</v>
      </c>
    </row>
    <row r="92" spans="1:19">
      <c r="A92" s="154"/>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0.02</v>
      </c>
      <c r="R92" s="669">
        <f t="shared" si="31"/>
        <v>0</v>
      </c>
      <c r="S92" s="321">
        <f t="shared" si="22"/>
        <v>0</v>
      </c>
    </row>
    <row r="93" spans="1:19">
      <c r="A93" s="154"/>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0.02</v>
      </c>
      <c r="R93" s="669">
        <f t="shared" si="31"/>
        <v>0</v>
      </c>
      <c r="S93" s="321">
        <f t="shared" si="22"/>
        <v>0</v>
      </c>
    </row>
    <row r="94" spans="1:19">
      <c r="A94" s="154"/>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0.02</v>
      </c>
      <c r="R94" s="669">
        <f t="shared" si="31"/>
        <v>0</v>
      </c>
      <c r="S94" s="321">
        <f t="shared" si="22"/>
        <v>0</v>
      </c>
    </row>
    <row r="95" spans="1:19">
      <c r="A95" s="154"/>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0.02</v>
      </c>
      <c r="R95" s="669">
        <f t="shared" si="31"/>
        <v>0</v>
      </c>
      <c r="S95" s="321">
        <f t="shared" si="22"/>
        <v>0</v>
      </c>
    </row>
    <row r="96" spans="1:19">
      <c r="A96" s="154"/>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0.02</v>
      </c>
      <c r="R96" s="669">
        <f t="shared" si="31"/>
        <v>0</v>
      </c>
      <c r="S96" s="321">
        <f t="shared" si="22"/>
        <v>0</v>
      </c>
    </row>
    <row r="97" spans="1:19">
      <c r="A97" s="154"/>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0.02</v>
      </c>
      <c r="R97" s="669">
        <f t="shared" si="31"/>
        <v>0</v>
      </c>
      <c r="S97" s="321">
        <f t="shared" si="22"/>
        <v>0</v>
      </c>
    </row>
    <row r="98" spans="1:19">
      <c r="A98" s="154"/>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0.02</v>
      </c>
      <c r="R98" s="669">
        <f t="shared" si="31"/>
        <v>0</v>
      </c>
      <c r="S98" s="321">
        <f t="shared" si="22"/>
        <v>0</v>
      </c>
    </row>
    <row r="99" spans="1:19">
      <c r="A99" s="154"/>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0.02</v>
      </c>
      <c r="R99" s="669">
        <f t="shared" si="31"/>
        <v>0</v>
      </c>
      <c r="S99" s="321">
        <f t="shared" si="22"/>
        <v>0</v>
      </c>
    </row>
    <row r="100" spans="1:19">
      <c r="A100" s="154"/>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0.02</v>
      </c>
      <c r="R100" s="669">
        <f t="shared" si="31"/>
        <v>0</v>
      </c>
      <c r="S100" s="321">
        <f t="shared" si="22"/>
        <v>0</v>
      </c>
    </row>
    <row r="101" spans="1:19">
      <c r="A101" s="154"/>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0.02</v>
      </c>
      <c r="R101" s="669">
        <f t="shared" si="31"/>
        <v>0</v>
      </c>
      <c r="S101" s="321">
        <f t="shared" si="22"/>
        <v>0</v>
      </c>
    </row>
    <row r="102" spans="1:19">
      <c r="A102" s="154"/>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0.02</v>
      </c>
      <c r="R102" s="669">
        <f t="shared" si="31"/>
        <v>0</v>
      </c>
      <c r="S102" s="321">
        <f t="shared" si="22"/>
        <v>0</v>
      </c>
    </row>
    <row r="103" spans="1:19">
      <c r="A103" s="154"/>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0.02</v>
      </c>
      <c r="R103" s="669">
        <f t="shared" si="31"/>
        <v>0</v>
      </c>
      <c r="S103" s="321">
        <f t="shared" si="22"/>
        <v>0</v>
      </c>
    </row>
    <row r="104" spans="1:19">
      <c r="A104" s="154"/>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0.02</v>
      </c>
      <c r="R104" s="669">
        <f t="shared" si="31"/>
        <v>0</v>
      </c>
      <c r="S104" s="321">
        <f t="shared" si="22"/>
        <v>0</v>
      </c>
    </row>
    <row r="105" spans="1:19">
      <c r="A105" s="154"/>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0.02</v>
      </c>
      <c r="R105" s="669">
        <f t="shared" si="31"/>
        <v>0</v>
      </c>
      <c r="S105" s="321">
        <f t="shared" si="22"/>
        <v>0</v>
      </c>
    </row>
    <row r="106" spans="1:19">
      <c r="A106" s="154"/>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0.02</v>
      </c>
      <c r="R106" s="669">
        <f t="shared" si="31"/>
        <v>0</v>
      </c>
      <c r="S106" s="321">
        <f t="shared" si="22"/>
        <v>0</v>
      </c>
    </row>
    <row r="107" spans="1:19">
      <c r="A107" s="154"/>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0.02</v>
      </c>
      <c r="R107" s="669">
        <f t="shared" si="31"/>
        <v>0</v>
      </c>
      <c r="S107" s="321">
        <f t="shared" si="22"/>
        <v>0</v>
      </c>
    </row>
    <row r="108" spans="1:19">
      <c r="A108" s="154"/>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0.02</v>
      </c>
      <c r="R108" s="669">
        <f t="shared" si="31"/>
        <v>0</v>
      </c>
      <c r="S108" s="321">
        <f t="shared" si="22"/>
        <v>0</v>
      </c>
    </row>
    <row r="109" spans="1:19">
      <c r="A109" s="154"/>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0.02</v>
      </c>
      <c r="R109" s="669">
        <f t="shared" si="31"/>
        <v>0</v>
      </c>
      <c r="S109" s="321">
        <f t="shared" si="22"/>
        <v>0</v>
      </c>
    </row>
    <row r="110" spans="1:19">
      <c r="A110" s="154"/>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0.02</v>
      </c>
      <c r="R110" s="669">
        <f t="shared" si="31"/>
        <v>0</v>
      </c>
      <c r="S110" s="321">
        <f t="shared" si="22"/>
        <v>0</v>
      </c>
    </row>
    <row r="111" spans="1:19">
      <c r="A111" s="154"/>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0.02</v>
      </c>
      <c r="R111" s="669">
        <f t="shared" si="31"/>
        <v>0</v>
      </c>
      <c r="S111" s="321">
        <f t="shared" si="22"/>
        <v>0</v>
      </c>
    </row>
    <row r="112" spans="1:19">
      <c r="A112" s="154"/>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0.02</v>
      </c>
      <c r="R112" s="669">
        <f t="shared" si="31"/>
        <v>0</v>
      </c>
      <c r="S112" s="321">
        <f t="shared" si="22"/>
        <v>0</v>
      </c>
    </row>
    <row r="113" spans="1:19">
      <c r="A113" s="154"/>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0.02</v>
      </c>
      <c r="R113" s="669">
        <f t="shared" si="31"/>
        <v>0</v>
      </c>
      <c r="S113" s="321">
        <f t="shared" si="22"/>
        <v>0</v>
      </c>
    </row>
    <row r="114" spans="1:19">
      <c r="A114" s="154"/>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0.02</v>
      </c>
      <c r="R114" s="669">
        <f t="shared" si="31"/>
        <v>0</v>
      </c>
      <c r="S114" s="321">
        <f t="shared" si="22"/>
        <v>0</v>
      </c>
    </row>
    <row r="115" spans="1:19">
      <c r="A115" s="154"/>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0.02</v>
      </c>
      <c r="R115" s="669">
        <f t="shared" si="31"/>
        <v>0</v>
      </c>
      <c r="S115" s="321">
        <f t="shared" si="22"/>
        <v>0</v>
      </c>
    </row>
    <row r="116" spans="1:19">
      <c r="A116" s="154"/>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0.02</v>
      </c>
      <c r="R116" s="669">
        <f t="shared" si="31"/>
        <v>0</v>
      </c>
      <c r="S116" s="321">
        <f t="shared" si="22"/>
        <v>0</v>
      </c>
    </row>
    <row r="117" spans="1:19">
      <c r="A117" s="154"/>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0.02</v>
      </c>
      <c r="R117" s="669">
        <f t="shared" si="31"/>
        <v>0</v>
      </c>
      <c r="S117" s="321">
        <f t="shared" si="22"/>
        <v>0</v>
      </c>
    </row>
    <row r="118" spans="1:19">
      <c r="A118" s="154"/>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0.02</v>
      </c>
      <c r="R118" s="669">
        <f t="shared" si="31"/>
        <v>0</v>
      </c>
      <c r="S118" s="321">
        <f t="shared" si="22"/>
        <v>0</v>
      </c>
    </row>
    <row r="119" spans="1:19">
      <c r="A119" s="154"/>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0.02</v>
      </c>
      <c r="R119" s="669">
        <f t="shared" si="31"/>
        <v>0</v>
      </c>
      <c r="S119" s="321">
        <f t="shared" si="22"/>
        <v>0</v>
      </c>
    </row>
    <row r="120" spans="1:19">
      <c r="A120" s="154"/>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0.02</v>
      </c>
      <c r="R120" s="669">
        <f t="shared" si="31"/>
        <v>0</v>
      </c>
      <c r="S120" s="321">
        <f t="shared" si="22"/>
        <v>0</v>
      </c>
    </row>
    <row r="121" spans="1:19">
      <c r="A121" s="154"/>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0.02</v>
      </c>
      <c r="R121" s="669">
        <f t="shared" si="31"/>
        <v>0</v>
      </c>
      <c r="S121" s="321">
        <f t="shared" si="22"/>
        <v>0</v>
      </c>
    </row>
    <row r="122" spans="1:19">
      <c r="A122" s="154"/>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0.02</v>
      </c>
      <c r="R122" s="669">
        <f t="shared" si="31"/>
        <v>0</v>
      </c>
      <c r="S122" s="321">
        <f t="shared" si="22"/>
        <v>0</v>
      </c>
    </row>
    <row r="123" spans="1:19">
      <c r="A123" s="154"/>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0.02</v>
      </c>
      <c r="R123" s="669">
        <f t="shared" si="31"/>
        <v>0</v>
      </c>
      <c r="S123" s="321">
        <f t="shared" ref="S123:S186" si="32">ROUND(R123*B123/10000,0)</f>
        <v>0</v>
      </c>
    </row>
    <row r="124" spans="1:19">
      <c r="A124" s="154"/>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0.02</v>
      </c>
      <c r="R124" s="669">
        <f t="shared" si="31"/>
        <v>0</v>
      </c>
      <c r="S124" s="321">
        <f t="shared" si="32"/>
        <v>0</v>
      </c>
    </row>
    <row r="125" spans="1:19">
      <c r="A125" s="154"/>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0.02</v>
      </c>
      <c r="R125" s="669">
        <f t="shared" si="31"/>
        <v>0</v>
      </c>
      <c r="S125" s="321">
        <f t="shared" si="32"/>
        <v>0</v>
      </c>
    </row>
    <row r="126" spans="1:19">
      <c r="A126" s="154"/>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0.02</v>
      </c>
      <c r="R126" s="669">
        <f t="shared" si="31"/>
        <v>0</v>
      </c>
      <c r="S126" s="321">
        <f t="shared" si="32"/>
        <v>0</v>
      </c>
    </row>
    <row r="127" spans="1:19">
      <c r="A127" s="154"/>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0.02</v>
      </c>
      <c r="R127" s="669">
        <f t="shared" si="31"/>
        <v>0</v>
      </c>
      <c r="S127" s="321">
        <f t="shared" si="32"/>
        <v>0</v>
      </c>
    </row>
    <row r="128" spans="1:19">
      <c r="A128" s="154"/>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0.02</v>
      </c>
      <c r="R128" s="669">
        <f t="shared" si="31"/>
        <v>0</v>
      </c>
      <c r="S128" s="321">
        <f t="shared" si="32"/>
        <v>0</v>
      </c>
    </row>
    <row r="129" spans="1:19">
      <c r="A129" s="154"/>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0.02</v>
      </c>
      <c r="R129" s="669">
        <f t="shared" si="31"/>
        <v>0</v>
      </c>
      <c r="S129" s="321">
        <f t="shared" si="32"/>
        <v>0</v>
      </c>
    </row>
    <row r="130" spans="1:19">
      <c r="A130" s="154"/>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0.02</v>
      </c>
      <c r="R130" s="669">
        <f t="shared" si="31"/>
        <v>0</v>
      </c>
      <c r="S130" s="321">
        <f t="shared" si="32"/>
        <v>0</v>
      </c>
    </row>
    <row r="131" spans="1:19">
      <c r="A131" s="154"/>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0.02</v>
      </c>
      <c r="R131" s="669">
        <f t="shared" si="31"/>
        <v>0</v>
      </c>
      <c r="S131" s="321">
        <f t="shared" si="32"/>
        <v>0</v>
      </c>
    </row>
    <row r="132" spans="1:19">
      <c r="A132" s="154"/>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0.02</v>
      </c>
      <c r="R132" s="669">
        <f t="shared" si="31"/>
        <v>0</v>
      </c>
      <c r="S132" s="321">
        <f t="shared" si="32"/>
        <v>0</v>
      </c>
    </row>
    <row r="133" spans="1:19">
      <c r="A133" s="154"/>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0.02</v>
      </c>
      <c r="R133" s="669">
        <f t="shared" si="31"/>
        <v>0</v>
      </c>
      <c r="S133" s="321">
        <f t="shared" si="32"/>
        <v>0</v>
      </c>
    </row>
    <row r="134" spans="1:19">
      <c r="A134" s="154"/>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0.02</v>
      </c>
      <c r="R134" s="669">
        <f t="shared" si="31"/>
        <v>0</v>
      </c>
      <c r="S134" s="321">
        <f t="shared" si="32"/>
        <v>0</v>
      </c>
    </row>
    <row r="135" spans="1:19">
      <c r="A135" s="154"/>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0.02</v>
      </c>
      <c r="R135" s="669">
        <f t="shared" si="31"/>
        <v>0</v>
      </c>
      <c r="S135" s="321">
        <f t="shared" si="32"/>
        <v>0</v>
      </c>
    </row>
    <row r="136" spans="1:19">
      <c r="A136" s="154"/>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0.02</v>
      </c>
      <c r="R136" s="669">
        <f t="shared" si="31"/>
        <v>0</v>
      </c>
      <c r="S136" s="321">
        <f t="shared" si="32"/>
        <v>0</v>
      </c>
    </row>
    <row r="137" spans="1:19">
      <c r="A137" s="154"/>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0.02</v>
      </c>
      <c r="R137" s="669">
        <f t="shared" si="31"/>
        <v>0</v>
      </c>
      <c r="S137" s="321">
        <f t="shared" si="32"/>
        <v>0</v>
      </c>
    </row>
    <row r="138" spans="1:19">
      <c r="A138" s="154"/>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0.02</v>
      </c>
      <c r="R138" s="669">
        <f t="shared" si="31"/>
        <v>0</v>
      </c>
      <c r="S138" s="321">
        <f t="shared" si="32"/>
        <v>0</v>
      </c>
    </row>
    <row r="139" spans="1:19">
      <c r="A139" s="154"/>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0.02</v>
      </c>
      <c r="R139" s="669">
        <f t="shared" si="31"/>
        <v>0</v>
      </c>
      <c r="S139" s="321">
        <f t="shared" si="32"/>
        <v>0</v>
      </c>
    </row>
    <row r="140" spans="1:19">
      <c r="A140" s="154"/>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0.02</v>
      </c>
      <c r="R140" s="669">
        <f t="shared" si="31"/>
        <v>0</v>
      </c>
      <c r="S140" s="321">
        <f t="shared" si="32"/>
        <v>0</v>
      </c>
    </row>
    <row r="141" spans="1:19">
      <c r="A141" s="154"/>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0.02</v>
      </c>
      <c r="R141" s="669">
        <f t="shared" si="31"/>
        <v>0</v>
      </c>
      <c r="S141" s="321">
        <f t="shared" si="32"/>
        <v>0</v>
      </c>
    </row>
    <row r="142" spans="1:19">
      <c r="A142" s="154"/>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0.02</v>
      </c>
      <c r="R142" s="669">
        <f t="shared" si="31"/>
        <v>0</v>
      </c>
      <c r="S142" s="321">
        <f t="shared" si="32"/>
        <v>0</v>
      </c>
    </row>
    <row r="143" spans="1:19">
      <c r="A143" s="154"/>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0.02</v>
      </c>
      <c r="R143" s="669">
        <f t="shared" si="31"/>
        <v>0</v>
      </c>
      <c r="S143" s="321">
        <f t="shared" si="32"/>
        <v>0</v>
      </c>
    </row>
    <row r="144" spans="1:19">
      <c r="A144" s="154"/>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0.02</v>
      </c>
      <c r="R144" s="669">
        <f t="shared" si="31"/>
        <v>0</v>
      </c>
      <c r="S144" s="321">
        <f t="shared" si="32"/>
        <v>0</v>
      </c>
    </row>
    <row r="145" spans="1:19">
      <c r="A145" s="154"/>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0.02</v>
      </c>
      <c r="R145" s="669">
        <f t="shared" si="31"/>
        <v>0</v>
      </c>
      <c r="S145" s="321">
        <f t="shared" si="32"/>
        <v>0</v>
      </c>
    </row>
    <row r="146" spans="1:19">
      <c r="A146" s="154"/>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0.02</v>
      </c>
      <c r="R146" s="669">
        <f t="shared" si="31"/>
        <v>0</v>
      </c>
      <c r="S146" s="321">
        <f t="shared" si="32"/>
        <v>0</v>
      </c>
    </row>
    <row r="147" spans="1:19">
      <c r="A147" s="154"/>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0.02</v>
      </c>
      <c r="R147" s="669">
        <f t="shared" si="31"/>
        <v>0</v>
      </c>
      <c r="S147" s="321">
        <f t="shared" si="32"/>
        <v>0</v>
      </c>
    </row>
    <row r="148" spans="1:19">
      <c r="A148" s="154"/>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0.02</v>
      </c>
      <c r="R148" s="669">
        <f t="shared" si="31"/>
        <v>0</v>
      </c>
      <c r="S148" s="321">
        <f t="shared" si="32"/>
        <v>0</v>
      </c>
    </row>
    <row r="149" spans="1:19">
      <c r="A149" s="154"/>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0.02</v>
      </c>
      <c r="R149" s="669">
        <f t="shared" si="31"/>
        <v>0</v>
      </c>
      <c r="S149" s="321">
        <f t="shared" si="32"/>
        <v>0</v>
      </c>
    </row>
    <row r="150" spans="1:19">
      <c r="A150" s="154"/>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0.02</v>
      </c>
      <c r="R150" s="669">
        <f t="shared" si="31"/>
        <v>0</v>
      </c>
      <c r="S150" s="321">
        <f t="shared" si="32"/>
        <v>0</v>
      </c>
    </row>
    <row r="151" spans="1:19">
      <c r="A151" s="154"/>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0.02</v>
      </c>
      <c r="R151" s="669">
        <f t="shared" si="31"/>
        <v>0</v>
      </c>
      <c r="S151" s="321">
        <f t="shared" si="32"/>
        <v>0</v>
      </c>
    </row>
    <row r="152" spans="1:19">
      <c r="A152" s="154"/>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0.02</v>
      </c>
      <c r="R152" s="669">
        <f t="shared" si="31"/>
        <v>0</v>
      </c>
      <c r="S152" s="321">
        <f t="shared" si="32"/>
        <v>0</v>
      </c>
    </row>
    <row r="153" spans="1:19">
      <c r="A153" s="154"/>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0.02</v>
      </c>
      <c r="R153" s="669">
        <f t="shared" si="31"/>
        <v>0</v>
      </c>
      <c r="S153" s="321">
        <f t="shared" si="32"/>
        <v>0</v>
      </c>
    </row>
    <row r="154" spans="1:19">
      <c r="A154" s="154"/>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0.02</v>
      </c>
      <c r="R154" s="669">
        <f t="shared" ref="R154:R217" si="41">IF(B154="",0,ROUND($R$24*C154*E154*G154*I154*K154*M154*O154*Q154,0))</f>
        <v>0</v>
      </c>
      <c r="S154" s="321">
        <f t="shared" si="32"/>
        <v>0</v>
      </c>
    </row>
    <row r="155" spans="1:19">
      <c r="A155" s="154"/>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0.02</v>
      </c>
      <c r="R155" s="669">
        <f t="shared" si="41"/>
        <v>0</v>
      </c>
      <c r="S155" s="321">
        <f t="shared" si="32"/>
        <v>0</v>
      </c>
    </row>
    <row r="156" spans="1:19">
      <c r="A156" s="154"/>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0.02</v>
      </c>
      <c r="R156" s="669">
        <f t="shared" si="41"/>
        <v>0</v>
      </c>
      <c r="S156" s="321">
        <f t="shared" si="32"/>
        <v>0</v>
      </c>
    </row>
    <row r="157" spans="1:19">
      <c r="A157" s="154"/>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0.02</v>
      </c>
      <c r="R157" s="669">
        <f t="shared" si="41"/>
        <v>0</v>
      </c>
      <c r="S157" s="321">
        <f t="shared" si="32"/>
        <v>0</v>
      </c>
    </row>
    <row r="158" spans="1:19">
      <c r="A158" s="154"/>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0.02</v>
      </c>
      <c r="R158" s="669">
        <f t="shared" si="41"/>
        <v>0</v>
      </c>
      <c r="S158" s="321">
        <f t="shared" si="32"/>
        <v>0</v>
      </c>
    </row>
    <row r="159" spans="1:19">
      <c r="A159" s="154"/>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0.02</v>
      </c>
      <c r="R159" s="669">
        <f t="shared" si="41"/>
        <v>0</v>
      </c>
      <c r="S159" s="321">
        <f t="shared" si="32"/>
        <v>0</v>
      </c>
    </row>
    <row r="160" spans="1:19">
      <c r="A160" s="154"/>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0.02</v>
      </c>
      <c r="R160" s="669">
        <f t="shared" si="41"/>
        <v>0</v>
      </c>
      <c r="S160" s="321">
        <f t="shared" si="32"/>
        <v>0</v>
      </c>
    </row>
    <row r="161" spans="1:19">
      <c r="A161" s="154"/>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0.02</v>
      </c>
      <c r="R161" s="669">
        <f t="shared" si="41"/>
        <v>0</v>
      </c>
      <c r="S161" s="321">
        <f t="shared" si="32"/>
        <v>0</v>
      </c>
    </row>
    <row r="162" spans="1:19">
      <c r="A162" s="154"/>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0.02</v>
      </c>
      <c r="R162" s="669">
        <f t="shared" si="41"/>
        <v>0</v>
      </c>
      <c r="S162" s="321">
        <f t="shared" si="32"/>
        <v>0</v>
      </c>
    </row>
    <row r="163" spans="1:19">
      <c r="A163" s="154"/>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0.02</v>
      </c>
      <c r="R163" s="669">
        <f t="shared" si="41"/>
        <v>0</v>
      </c>
      <c r="S163" s="321">
        <f t="shared" si="32"/>
        <v>0</v>
      </c>
    </row>
    <row r="164" spans="1:19">
      <c r="A164" s="154"/>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0.02</v>
      </c>
      <c r="R164" s="669">
        <f t="shared" si="41"/>
        <v>0</v>
      </c>
      <c r="S164" s="321">
        <f t="shared" si="32"/>
        <v>0</v>
      </c>
    </row>
    <row r="165" spans="1:19">
      <c r="A165" s="154"/>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0.02</v>
      </c>
      <c r="R165" s="669">
        <f t="shared" si="41"/>
        <v>0</v>
      </c>
      <c r="S165" s="321">
        <f t="shared" si="32"/>
        <v>0</v>
      </c>
    </row>
    <row r="166" spans="1:19">
      <c r="A166" s="154"/>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0.02</v>
      </c>
      <c r="R166" s="669">
        <f t="shared" si="41"/>
        <v>0</v>
      </c>
      <c r="S166" s="321">
        <f t="shared" si="32"/>
        <v>0</v>
      </c>
    </row>
    <row r="167" spans="1:19">
      <c r="A167" s="154"/>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0.02</v>
      </c>
      <c r="R167" s="669">
        <f t="shared" si="41"/>
        <v>0</v>
      </c>
      <c r="S167" s="321">
        <f t="shared" si="32"/>
        <v>0</v>
      </c>
    </row>
    <row r="168" spans="1:19">
      <c r="A168" s="154"/>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0.02</v>
      </c>
      <c r="R168" s="669">
        <f t="shared" si="41"/>
        <v>0</v>
      </c>
      <c r="S168" s="321">
        <f t="shared" si="32"/>
        <v>0</v>
      </c>
    </row>
    <row r="169" spans="1:19">
      <c r="A169" s="154"/>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0.02</v>
      </c>
      <c r="R169" s="669">
        <f t="shared" si="41"/>
        <v>0</v>
      </c>
      <c r="S169" s="321">
        <f t="shared" si="32"/>
        <v>0</v>
      </c>
    </row>
    <row r="170" spans="1:19">
      <c r="A170" s="154"/>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0.02</v>
      </c>
      <c r="R170" s="669">
        <f t="shared" si="41"/>
        <v>0</v>
      </c>
      <c r="S170" s="321">
        <f t="shared" si="32"/>
        <v>0</v>
      </c>
    </row>
    <row r="171" spans="1:19">
      <c r="A171" s="154"/>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0.02</v>
      </c>
      <c r="R171" s="669">
        <f t="shared" si="41"/>
        <v>0</v>
      </c>
      <c r="S171" s="321">
        <f t="shared" si="32"/>
        <v>0</v>
      </c>
    </row>
    <row r="172" spans="1:19">
      <c r="A172" s="154"/>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0.02</v>
      </c>
      <c r="R172" s="669">
        <f t="shared" si="41"/>
        <v>0</v>
      </c>
      <c r="S172" s="321">
        <f t="shared" si="32"/>
        <v>0</v>
      </c>
    </row>
    <row r="173" spans="1:19">
      <c r="A173" s="154"/>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0.02</v>
      </c>
      <c r="R173" s="669">
        <f t="shared" si="41"/>
        <v>0</v>
      </c>
      <c r="S173" s="321">
        <f t="shared" si="32"/>
        <v>0</v>
      </c>
    </row>
    <row r="174" spans="1:19">
      <c r="A174" s="154"/>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0.02</v>
      </c>
      <c r="R174" s="669">
        <f t="shared" si="41"/>
        <v>0</v>
      </c>
      <c r="S174" s="321">
        <f t="shared" si="32"/>
        <v>0</v>
      </c>
    </row>
    <row r="175" spans="1:19">
      <c r="A175" s="154"/>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0.02</v>
      </c>
      <c r="R175" s="669">
        <f t="shared" si="41"/>
        <v>0</v>
      </c>
      <c r="S175" s="321">
        <f t="shared" si="32"/>
        <v>0</v>
      </c>
    </row>
    <row r="176" spans="1:19">
      <c r="A176" s="154"/>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0.02</v>
      </c>
      <c r="R176" s="669">
        <f t="shared" si="41"/>
        <v>0</v>
      </c>
      <c r="S176" s="321">
        <f t="shared" si="32"/>
        <v>0</v>
      </c>
    </row>
    <row r="177" spans="1:19">
      <c r="A177" s="154"/>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0.02</v>
      </c>
      <c r="R177" s="669">
        <f t="shared" si="41"/>
        <v>0</v>
      </c>
      <c r="S177" s="321">
        <f t="shared" si="32"/>
        <v>0</v>
      </c>
    </row>
    <row r="178" spans="1:19">
      <c r="A178" s="154"/>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0.02</v>
      </c>
      <c r="R178" s="669">
        <f t="shared" si="41"/>
        <v>0</v>
      </c>
      <c r="S178" s="321">
        <f t="shared" si="32"/>
        <v>0</v>
      </c>
    </row>
    <row r="179" spans="1:19">
      <c r="A179" s="154"/>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0.02</v>
      </c>
      <c r="R179" s="669">
        <f t="shared" si="41"/>
        <v>0</v>
      </c>
      <c r="S179" s="321">
        <f t="shared" si="32"/>
        <v>0</v>
      </c>
    </row>
    <row r="180" spans="1:19">
      <c r="A180" s="154"/>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0.02</v>
      </c>
      <c r="R180" s="669">
        <f t="shared" si="41"/>
        <v>0</v>
      </c>
      <c r="S180" s="321">
        <f t="shared" si="32"/>
        <v>0</v>
      </c>
    </row>
    <row r="181" spans="1:19">
      <c r="A181" s="154"/>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0.02</v>
      </c>
      <c r="R181" s="669">
        <f t="shared" si="41"/>
        <v>0</v>
      </c>
      <c r="S181" s="321">
        <f t="shared" si="32"/>
        <v>0</v>
      </c>
    </row>
    <row r="182" spans="1:19">
      <c r="A182" s="154"/>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0.02</v>
      </c>
      <c r="R182" s="669">
        <f t="shared" si="41"/>
        <v>0</v>
      </c>
      <c r="S182" s="321">
        <f t="shared" si="32"/>
        <v>0</v>
      </c>
    </row>
    <row r="183" spans="1:19">
      <c r="A183" s="154"/>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0.02</v>
      </c>
      <c r="R183" s="669">
        <f t="shared" si="41"/>
        <v>0</v>
      </c>
      <c r="S183" s="321">
        <f t="shared" si="32"/>
        <v>0</v>
      </c>
    </row>
    <row r="184" spans="1:19">
      <c r="A184" s="154"/>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0.02</v>
      </c>
      <c r="R184" s="669">
        <f t="shared" si="41"/>
        <v>0</v>
      </c>
      <c r="S184" s="321">
        <f t="shared" si="32"/>
        <v>0</v>
      </c>
    </row>
    <row r="185" spans="1:19">
      <c r="A185" s="154"/>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0.02</v>
      </c>
      <c r="R185" s="669">
        <f t="shared" si="41"/>
        <v>0</v>
      </c>
      <c r="S185" s="321">
        <f t="shared" si="32"/>
        <v>0</v>
      </c>
    </row>
    <row r="186" spans="1:19">
      <c r="A186" s="154"/>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0.02</v>
      </c>
      <c r="R186" s="669">
        <f t="shared" si="41"/>
        <v>0</v>
      </c>
      <c r="S186" s="321">
        <f t="shared" si="32"/>
        <v>0</v>
      </c>
    </row>
    <row r="187" spans="1:19">
      <c r="A187" s="154"/>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0.02</v>
      </c>
      <c r="R187" s="669">
        <f t="shared" si="41"/>
        <v>0</v>
      </c>
      <c r="S187" s="321">
        <f t="shared" ref="S187:S222" si="42">ROUND(R187*B187/10000,0)</f>
        <v>0</v>
      </c>
    </row>
    <row r="188" spans="1:19">
      <c r="A188" s="154"/>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0.02</v>
      </c>
      <c r="R188" s="669">
        <f t="shared" si="41"/>
        <v>0</v>
      </c>
      <c r="S188" s="321">
        <f t="shared" si="42"/>
        <v>0</v>
      </c>
    </row>
    <row r="189" spans="1:19">
      <c r="A189" s="154"/>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0.02</v>
      </c>
      <c r="R189" s="669">
        <f t="shared" si="41"/>
        <v>0</v>
      </c>
      <c r="S189" s="321">
        <f t="shared" si="42"/>
        <v>0</v>
      </c>
    </row>
    <row r="190" spans="1:19">
      <c r="A190" s="154"/>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0.02</v>
      </c>
      <c r="R190" s="669">
        <f t="shared" si="41"/>
        <v>0</v>
      </c>
      <c r="S190" s="321">
        <f t="shared" si="42"/>
        <v>0</v>
      </c>
    </row>
    <row r="191" spans="1:19">
      <c r="A191" s="154"/>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0.02</v>
      </c>
      <c r="R191" s="669">
        <f t="shared" si="41"/>
        <v>0</v>
      </c>
      <c r="S191" s="321">
        <f t="shared" si="42"/>
        <v>0</v>
      </c>
    </row>
    <row r="192" spans="1:19">
      <c r="A192" s="154"/>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0.02</v>
      </c>
      <c r="R192" s="669">
        <f t="shared" si="41"/>
        <v>0</v>
      </c>
      <c r="S192" s="321">
        <f t="shared" si="42"/>
        <v>0</v>
      </c>
    </row>
    <row r="193" spans="1:19">
      <c r="A193" s="154"/>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0.02</v>
      </c>
      <c r="R193" s="669">
        <f t="shared" si="41"/>
        <v>0</v>
      </c>
      <c r="S193" s="321">
        <f t="shared" si="42"/>
        <v>0</v>
      </c>
    </row>
    <row r="194" spans="1:19">
      <c r="A194" s="154"/>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0.02</v>
      </c>
      <c r="R194" s="669">
        <f t="shared" si="41"/>
        <v>0</v>
      </c>
      <c r="S194" s="321">
        <f t="shared" si="42"/>
        <v>0</v>
      </c>
    </row>
    <row r="195" spans="1:19">
      <c r="A195" s="154"/>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0.02</v>
      </c>
      <c r="R195" s="669">
        <f t="shared" si="41"/>
        <v>0</v>
      </c>
      <c r="S195" s="321">
        <f t="shared" si="42"/>
        <v>0</v>
      </c>
    </row>
    <row r="196" spans="1:19">
      <c r="A196" s="154"/>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0.02</v>
      </c>
      <c r="R196" s="669">
        <f t="shared" si="41"/>
        <v>0</v>
      </c>
      <c r="S196" s="321">
        <f t="shared" si="42"/>
        <v>0</v>
      </c>
    </row>
    <row r="197" spans="1:19">
      <c r="A197" s="154"/>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0.02</v>
      </c>
      <c r="R197" s="669">
        <f t="shared" si="41"/>
        <v>0</v>
      </c>
      <c r="S197" s="321">
        <f t="shared" si="42"/>
        <v>0</v>
      </c>
    </row>
    <row r="198" spans="1:19">
      <c r="A198" s="154"/>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0.02</v>
      </c>
      <c r="R198" s="669">
        <f t="shared" si="41"/>
        <v>0</v>
      </c>
      <c r="S198" s="321">
        <f t="shared" si="42"/>
        <v>0</v>
      </c>
    </row>
    <row r="199" spans="1:19">
      <c r="A199" s="154"/>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0.02</v>
      </c>
      <c r="R199" s="669">
        <f t="shared" si="41"/>
        <v>0</v>
      </c>
      <c r="S199" s="321">
        <f t="shared" si="42"/>
        <v>0</v>
      </c>
    </row>
    <row r="200" spans="1:19">
      <c r="A200" s="154"/>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0.02</v>
      </c>
      <c r="R200" s="669">
        <f t="shared" si="41"/>
        <v>0</v>
      </c>
      <c r="S200" s="321">
        <f t="shared" si="42"/>
        <v>0</v>
      </c>
    </row>
    <row r="201" spans="1:19">
      <c r="A201" s="154"/>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0.02</v>
      </c>
      <c r="R201" s="669">
        <f t="shared" si="41"/>
        <v>0</v>
      </c>
      <c r="S201" s="321">
        <f t="shared" si="42"/>
        <v>0</v>
      </c>
    </row>
    <row r="202" spans="1:19">
      <c r="A202" s="154"/>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0.02</v>
      </c>
      <c r="R202" s="669">
        <f t="shared" si="41"/>
        <v>0</v>
      </c>
      <c r="S202" s="321">
        <f t="shared" si="42"/>
        <v>0</v>
      </c>
    </row>
    <row r="203" spans="1:19">
      <c r="A203" s="154"/>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0.02</v>
      </c>
      <c r="R203" s="669">
        <f t="shared" si="41"/>
        <v>0</v>
      </c>
      <c r="S203" s="321">
        <f t="shared" si="42"/>
        <v>0</v>
      </c>
    </row>
    <row r="204" spans="1:19">
      <c r="A204" s="154"/>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0.02</v>
      </c>
      <c r="R204" s="669">
        <f t="shared" si="41"/>
        <v>0</v>
      </c>
      <c r="S204" s="321">
        <f t="shared" si="42"/>
        <v>0</v>
      </c>
    </row>
    <row r="205" spans="1:19">
      <c r="A205" s="154"/>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0.02</v>
      </c>
      <c r="R205" s="669">
        <f t="shared" si="41"/>
        <v>0</v>
      </c>
      <c r="S205" s="321">
        <f t="shared" si="42"/>
        <v>0</v>
      </c>
    </row>
    <row r="206" spans="1:19">
      <c r="A206" s="154"/>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0.02</v>
      </c>
      <c r="R206" s="669">
        <f t="shared" si="41"/>
        <v>0</v>
      </c>
      <c r="S206" s="321">
        <f t="shared" si="42"/>
        <v>0</v>
      </c>
    </row>
    <row r="207" spans="1:19">
      <c r="A207" s="154"/>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0.02</v>
      </c>
      <c r="R207" s="669">
        <f t="shared" si="41"/>
        <v>0</v>
      </c>
      <c r="S207" s="321">
        <f t="shared" si="42"/>
        <v>0</v>
      </c>
    </row>
    <row r="208" spans="1:19">
      <c r="A208" s="154"/>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0.02</v>
      </c>
      <c r="R208" s="669">
        <f t="shared" si="41"/>
        <v>0</v>
      </c>
      <c r="S208" s="321">
        <f t="shared" si="42"/>
        <v>0</v>
      </c>
    </row>
    <row r="209" spans="1:19">
      <c r="A209" s="154"/>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0.02</v>
      </c>
      <c r="R209" s="669">
        <f t="shared" si="41"/>
        <v>0</v>
      </c>
      <c r="S209" s="321">
        <f t="shared" si="42"/>
        <v>0</v>
      </c>
    </row>
    <row r="210" spans="1:19">
      <c r="A210" s="154"/>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0.02</v>
      </c>
      <c r="R210" s="669">
        <f t="shared" si="41"/>
        <v>0</v>
      </c>
      <c r="S210" s="321">
        <f t="shared" si="42"/>
        <v>0</v>
      </c>
    </row>
    <row r="211" spans="1:19">
      <c r="A211" s="154"/>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0.02</v>
      </c>
      <c r="R211" s="669">
        <f t="shared" si="41"/>
        <v>0</v>
      </c>
      <c r="S211" s="321">
        <f t="shared" si="42"/>
        <v>0</v>
      </c>
    </row>
    <row r="212" spans="1:19">
      <c r="A212" s="154"/>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0.02</v>
      </c>
      <c r="R212" s="669">
        <f t="shared" si="41"/>
        <v>0</v>
      </c>
      <c r="S212" s="321">
        <f t="shared" si="42"/>
        <v>0</v>
      </c>
    </row>
    <row r="213" spans="1:19">
      <c r="A213" s="154"/>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0.02</v>
      </c>
      <c r="R213" s="669">
        <f t="shared" si="41"/>
        <v>0</v>
      </c>
      <c r="S213" s="321">
        <f t="shared" si="42"/>
        <v>0</v>
      </c>
    </row>
    <row r="214" spans="1:19">
      <c r="A214" s="154"/>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0.02</v>
      </c>
      <c r="R214" s="669">
        <f t="shared" si="41"/>
        <v>0</v>
      </c>
      <c r="S214" s="321">
        <f t="shared" si="42"/>
        <v>0</v>
      </c>
    </row>
    <row r="215" spans="1:19">
      <c r="A215" s="154"/>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0.02</v>
      </c>
      <c r="R215" s="669">
        <f t="shared" si="41"/>
        <v>0</v>
      </c>
      <c r="S215" s="321">
        <f t="shared" si="42"/>
        <v>0</v>
      </c>
    </row>
    <row r="216" spans="1:19">
      <c r="A216" s="154"/>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0.02</v>
      </c>
      <c r="R216" s="669">
        <f t="shared" si="41"/>
        <v>0</v>
      </c>
      <c r="S216" s="321">
        <f t="shared" si="42"/>
        <v>0</v>
      </c>
    </row>
    <row r="217" spans="1:19">
      <c r="A217" s="154"/>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0.02</v>
      </c>
      <c r="R217" s="669">
        <f t="shared" si="41"/>
        <v>0</v>
      </c>
      <c r="S217" s="321">
        <f t="shared" si="42"/>
        <v>0</v>
      </c>
    </row>
    <row r="218" spans="1:19">
      <c r="A218" s="154"/>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0.02</v>
      </c>
      <c r="R218" s="669">
        <f t="shared" ref="R218:R281" si="51">IF(B218="",0,ROUND($R$24*C218*E218*G218*I218*K218*M218*O218*Q218,0))</f>
        <v>0</v>
      </c>
      <c r="S218" s="321">
        <f t="shared" si="42"/>
        <v>0</v>
      </c>
    </row>
    <row r="219" spans="1:19">
      <c r="A219" s="154"/>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0.02</v>
      </c>
      <c r="R219" s="669">
        <f t="shared" si="51"/>
        <v>0</v>
      </c>
      <c r="S219" s="321">
        <f t="shared" si="42"/>
        <v>0</v>
      </c>
    </row>
    <row r="220" spans="1:19">
      <c r="A220" s="154"/>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0.02</v>
      </c>
      <c r="R220" s="669">
        <f t="shared" si="51"/>
        <v>0</v>
      </c>
      <c r="S220" s="321">
        <f t="shared" si="42"/>
        <v>0</v>
      </c>
    </row>
    <row r="221" spans="1:19">
      <c r="A221" s="154"/>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0.02</v>
      </c>
      <c r="R221" s="669">
        <f t="shared" si="51"/>
        <v>0</v>
      </c>
      <c r="S221" s="321">
        <f t="shared" si="42"/>
        <v>0</v>
      </c>
    </row>
    <row r="222" spans="1:19">
      <c r="A222" s="154"/>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0.02</v>
      </c>
      <c r="R222" s="669">
        <f t="shared" si="51"/>
        <v>0</v>
      </c>
      <c r="S222" s="321">
        <f t="shared" si="42"/>
        <v>0</v>
      </c>
    </row>
    <row r="223" spans="1:19">
      <c r="A223" s="154"/>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0.02</v>
      </c>
      <c r="R223" s="669">
        <f t="shared" si="51"/>
        <v>0</v>
      </c>
      <c r="S223" s="321">
        <f t="shared" ref="S223:S286" si="52">ROUND(R223*B223/10000,0)</f>
        <v>0</v>
      </c>
    </row>
    <row r="224" spans="1:19">
      <c r="A224" s="154"/>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0.02</v>
      </c>
      <c r="R224" s="669">
        <f t="shared" si="51"/>
        <v>0</v>
      </c>
      <c r="S224" s="321">
        <f t="shared" si="52"/>
        <v>0</v>
      </c>
    </row>
    <row r="225" spans="1:19">
      <c r="A225" s="154"/>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0.02</v>
      </c>
      <c r="R225" s="669">
        <f t="shared" si="51"/>
        <v>0</v>
      </c>
      <c r="S225" s="321">
        <f t="shared" si="52"/>
        <v>0</v>
      </c>
    </row>
    <row r="226" spans="1:19">
      <c r="A226" s="154"/>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0.02</v>
      </c>
      <c r="R226" s="669">
        <f t="shared" si="51"/>
        <v>0</v>
      </c>
      <c r="S226" s="321">
        <f t="shared" si="52"/>
        <v>0</v>
      </c>
    </row>
    <row r="227" spans="1:19">
      <c r="A227" s="154"/>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0.02</v>
      </c>
      <c r="R227" s="669">
        <f t="shared" si="51"/>
        <v>0</v>
      </c>
      <c r="S227" s="321">
        <f t="shared" si="52"/>
        <v>0</v>
      </c>
    </row>
    <row r="228" spans="1:19">
      <c r="A228" s="154"/>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0.02</v>
      </c>
      <c r="R228" s="669">
        <f t="shared" si="51"/>
        <v>0</v>
      </c>
      <c r="S228" s="321">
        <f t="shared" si="52"/>
        <v>0</v>
      </c>
    </row>
    <row r="229" spans="1:19">
      <c r="A229" s="154"/>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0.02</v>
      </c>
      <c r="R229" s="669">
        <f t="shared" si="51"/>
        <v>0</v>
      </c>
      <c r="S229" s="321">
        <f t="shared" si="52"/>
        <v>0</v>
      </c>
    </row>
    <row r="230" spans="1:19">
      <c r="A230" s="154"/>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0.02</v>
      </c>
      <c r="R230" s="669">
        <f t="shared" si="51"/>
        <v>0</v>
      </c>
      <c r="S230" s="321">
        <f t="shared" si="52"/>
        <v>0</v>
      </c>
    </row>
    <row r="231" spans="1:19">
      <c r="A231" s="154"/>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0.02</v>
      </c>
      <c r="R231" s="669">
        <f t="shared" si="51"/>
        <v>0</v>
      </c>
      <c r="S231" s="321">
        <f t="shared" si="52"/>
        <v>0</v>
      </c>
    </row>
    <row r="232" spans="1:19">
      <c r="A232" s="154"/>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0.02</v>
      </c>
      <c r="R232" s="669">
        <f t="shared" si="51"/>
        <v>0</v>
      </c>
      <c r="S232" s="321">
        <f t="shared" si="52"/>
        <v>0</v>
      </c>
    </row>
    <row r="233" spans="1:19">
      <c r="A233" s="154"/>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0.02</v>
      </c>
      <c r="R233" s="669">
        <f t="shared" si="51"/>
        <v>0</v>
      </c>
      <c r="S233" s="321">
        <f t="shared" si="52"/>
        <v>0</v>
      </c>
    </row>
    <row r="234" spans="1:19">
      <c r="A234" s="154"/>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0.02</v>
      </c>
      <c r="R234" s="669">
        <f t="shared" si="51"/>
        <v>0</v>
      </c>
      <c r="S234" s="321">
        <f t="shared" si="52"/>
        <v>0</v>
      </c>
    </row>
    <row r="235" spans="1:19">
      <c r="A235" s="154"/>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0.02</v>
      </c>
      <c r="R235" s="669">
        <f t="shared" si="51"/>
        <v>0</v>
      </c>
      <c r="S235" s="321">
        <f t="shared" si="52"/>
        <v>0</v>
      </c>
    </row>
    <row r="236" spans="1:19">
      <c r="A236" s="154"/>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0.02</v>
      </c>
      <c r="R236" s="669">
        <f t="shared" si="51"/>
        <v>0</v>
      </c>
      <c r="S236" s="321">
        <f t="shared" si="52"/>
        <v>0</v>
      </c>
    </row>
    <row r="237" spans="1:19">
      <c r="A237" s="154"/>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0.02</v>
      </c>
      <c r="R237" s="669">
        <f t="shared" si="51"/>
        <v>0</v>
      </c>
      <c r="S237" s="321">
        <f t="shared" si="52"/>
        <v>0</v>
      </c>
    </row>
    <row r="238" spans="1:19">
      <c r="A238" s="154"/>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0.02</v>
      </c>
      <c r="R238" s="669">
        <f t="shared" si="51"/>
        <v>0</v>
      </c>
      <c r="S238" s="321">
        <f t="shared" si="52"/>
        <v>0</v>
      </c>
    </row>
    <row r="239" spans="1:19">
      <c r="A239" s="154"/>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0.02</v>
      </c>
      <c r="R239" s="669">
        <f t="shared" si="51"/>
        <v>0</v>
      </c>
      <c r="S239" s="321">
        <f t="shared" si="52"/>
        <v>0</v>
      </c>
    </row>
    <row r="240" spans="1:19">
      <c r="A240" s="154"/>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0.02</v>
      </c>
      <c r="R240" s="669">
        <f t="shared" si="51"/>
        <v>0</v>
      </c>
      <c r="S240" s="321">
        <f t="shared" si="52"/>
        <v>0</v>
      </c>
    </row>
    <row r="241" spans="1:19">
      <c r="A241" s="154"/>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0.02</v>
      </c>
      <c r="R241" s="669">
        <f t="shared" si="51"/>
        <v>0</v>
      </c>
      <c r="S241" s="321">
        <f t="shared" si="52"/>
        <v>0</v>
      </c>
    </row>
    <row r="242" spans="1:19">
      <c r="A242" s="154"/>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0.02</v>
      </c>
      <c r="R242" s="669">
        <f t="shared" si="51"/>
        <v>0</v>
      </c>
      <c r="S242" s="321">
        <f t="shared" si="52"/>
        <v>0</v>
      </c>
    </row>
    <row r="243" spans="1:19">
      <c r="A243" s="154"/>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0.02</v>
      </c>
      <c r="R243" s="669">
        <f t="shared" si="51"/>
        <v>0</v>
      </c>
      <c r="S243" s="321">
        <f t="shared" si="52"/>
        <v>0</v>
      </c>
    </row>
    <row r="244" spans="1:19">
      <c r="A244" s="154"/>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0.02</v>
      </c>
      <c r="R244" s="669">
        <f t="shared" si="51"/>
        <v>0</v>
      </c>
      <c r="S244" s="321">
        <f t="shared" si="52"/>
        <v>0</v>
      </c>
    </row>
    <row r="245" spans="1:19">
      <c r="A245" s="154"/>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0.02</v>
      </c>
      <c r="R245" s="669">
        <f t="shared" si="51"/>
        <v>0</v>
      </c>
      <c r="S245" s="321">
        <f t="shared" si="52"/>
        <v>0</v>
      </c>
    </row>
    <row r="246" spans="1:19">
      <c r="A246" s="154"/>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0.02</v>
      </c>
      <c r="R246" s="669">
        <f t="shared" si="51"/>
        <v>0</v>
      </c>
      <c r="S246" s="321">
        <f t="shared" si="52"/>
        <v>0</v>
      </c>
    </row>
    <row r="247" spans="1:19">
      <c r="A247" s="154"/>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0.02</v>
      </c>
      <c r="R247" s="669">
        <f t="shared" si="51"/>
        <v>0</v>
      </c>
      <c r="S247" s="321">
        <f t="shared" si="52"/>
        <v>0</v>
      </c>
    </row>
    <row r="248" spans="1:19">
      <c r="A248" s="154"/>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0.02</v>
      </c>
      <c r="R248" s="669">
        <f t="shared" si="51"/>
        <v>0</v>
      </c>
      <c r="S248" s="321">
        <f t="shared" si="52"/>
        <v>0</v>
      </c>
    </row>
    <row r="249" spans="1:19">
      <c r="A249" s="154"/>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0.02</v>
      </c>
      <c r="R249" s="669">
        <f t="shared" si="51"/>
        <v>0</v>
      </c>
      <c r="S249" s="321">
        <f t="shared" si="52"/>
        <v>0</v>
      </c>
    </row>
    <row r="250" spans="1:19">
      <c r="A250" s="154"/>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0.02</v>
      </c>
      <c r="R250" s="669">
        <f t="shared" si="51"/>
        <v>0</v>
      </c>
      <c r="S250" s="321">
        <f t="shared" si="52"/>
        <v>0</v>
      </c>
    </row>
    <row r="251" spans="1:19">
      <c r="A251" s="154"/>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0.02</v>
      </c>
      <c r="R251" s="669">
        <f t="shared" si="51"/>
        <v>0</v>
      </c>
      <c r="S251" s="321">
        <f t="shared" si="52"/>
        <v>0</v>
      </c>
    </row>
    <row r="252" spans="1:19">
      <c r="A252" s="154"/>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0.02</v>
      </c>
      <c r="R252" s="669">
        <f t="shared" si="51"/>
        <v>0</v>
      </c>
      <c r="S252" s="321">
        <f t="shared" si="52"/>
        <v>0</v>
      </c>
    </row>
    <row r="253" spans="1:19">
      <c r="A253" s="154"/>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0.02</v>
      </c>
      <c r="R253" s="669">
        <f t="shared" si="51"/>
        <v>0</v>
      </c>
      <c r="S253" s="321">
        <f t="shared" si="52"/>
        <v>0</v>
      </c>
    </row>
    <row r="254" spans="1:19">
      <c r="A254" s="154"/>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0.02</v>
      </c>
      <c r="R254" s="669">
        <f t="shared" si="51"/>
        <v>0</v>
      </c>
      <c r="S254" s="321">
        <f t="shared" si="52"/>
        <v>0</v>
      </c>
    </row>
    <row r="255" spans="1:19">
      <c r="A255" s="154"/>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0.02</v>
      </c>
      <c r="R255" s="669">
        <f t="shared" si="51"/>
        <v>0</v>
      </c>
      <c r="S255" s="321">
        <f t="shared" si="52"/>
        <v>0</v>
      </c>
    </row>
    <row r="256" spans="1:19">
      <c r="A256" s="154"/>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0.02</v>
      </c>
      <c r="R256" s="669">
        <f t="shared" si="51"/>
        <v>0</v>
      </c>
      <c r="S256" s="321">
        <f t="shared" si="52"/>
        <v>0</v>
      </c>
    </row>
    <row r="257" spans="1:19">
      <c r="A257" s="154"/>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0.02</v>
      </c>
      <c r="R257" s="669">
        <f t="shared" si="51"/>
        <v>0</v>
      </c>
      <c r="S257" s="321">
        <f t="shared" si="52"/>
        <v>0</v>
      </c>
    </row>
    <row r="258" spans="1:19">
      <c r="A258" s="154"/>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0.02</v>
      </c>
      <c r="R258" s="669">
        <f t="shared" si="51"/>
        <v>0</v>
      </c>
      <c r="S258" s="321">
        <f t="shared" si="52"/>
        <v>0</v>
      </c>
    </row>
    <row r="259" spans="1:19">
      <c r="A259" s="154"/>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0.02</v>
      </c>
      <c r="R259" s="669">
        <f t="shared" si="51"/>
        <v>0</v>
      </c>
      <c r="S259" s="321">
        <f t="shared" si="52"/>
        <v>0</v>
      </c>
    </row>
    <row r="260" spans="1:19">
      <c r="A260" s="154"/>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0.02</v>
      </c>
      <c r="R260" s="669">
        <f t="shared" si="51"/>
        <v>0</v>
      </c>
      <c r="S260" s="321">
        <f t="shared" si="52"/>
        <v>0</v>
      </c>
    </row>
    <row r="261" spans="1:19">
      <c r="A261" s="154"/>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0.02</v>
      </c>
      <c r="R261" s="669">
        <f t="shared" si="51"/>
        <v>0</v>
      </c>
      <c r="S261" s="321">
        <f t="shared" si="52"/>
        <v>0</v>
      </c>
    </row>
    <row r="262" spans="1:19">
      <c r="A262" s="154"/>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0.02</v>
      </c>
      <c r="R262" s="669">
        <f t="shared" si="51"/>
        <v>0</v>
      </c>
      <c r="S262" s="321">
        <f t="shared" si="52"/>
        <v>0</v>
      </c>
    </row>
    <row r="263" spans="1:19">
      <c r="A263" s="154"/>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0.02</v>
      </c>
      <c r="R263" s="669">
        <f t="shared" si="51"/>
        <v>0</v>
      </c>
      <c r="S263" s="321">
        <f t="shared" si="52"/>
        <v>0</v>
      </c>
    </row>
    <row r="264" spans="1:19">
      <c r="A264" s="154"/>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0.02</v>
      </c>
      <c r="R264" s="669">
        <f t="shared" si="51"/>
        <v>0</v>
      </c>
      <c r="S264" s="321">
        <f t="shared" si="52"/>
        <v>0</v>
      </c>
    </row>
    <row r="265" spans="1:19">
      <c r="A265" s="154"/>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0.02</v>
      </c>
      <c r="R265" s="669">
        <f t="shared" si="51"/>
        <v>0</v>
      </c>
      <c r="S265" s="321">
        <f t="shared" si="52"/>
        <v>0</v>
      </c>
    </row>
    <row r="266" spans="1:19">
      <c r="A266" s="154"/>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0.02</v>
      </c>
      <c r="R266" s="669">
        <f t="shared" si="51"/>
        <v>0</v>
      </c>
      <c r="S266" s="321">
        <f t="shared" si="52"/>
        <v>0</v>
      </c>
    </row>
    <row r="267" spans="1:19">
      <c r="A267" s="154"/>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0.02</v>
      </c>
      <c r="R267" s="669">
        <f t="shared" si="51"/>
        <v>0</v>
      </c>
      <c r="S267" s="321">
        <f t="shared" si="52"/>
        <v>0</v>
      </c>
    </row>
    <row r="268" spans="1:19">
      <c r="A268" s="154"/>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0.02</v>
      </c>
      <c r="R268" s="669">
        <f t="shared" si="51"/>
        <v>0</v>
      </c>
      <c r="S268" s="321">
        <f t="shared" si="52"/>
        <v>0</v>
      </c>
    </row>
    <row r="269" spans="1:19">
      <c r="A269" s="154"/>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0.02</v>
      </c>
      <c r="R269" s="669">
        <f t="shared" si="51"/>
        <v>0</v>
      </c>
      <c r="S269" s="321">
        <f t="shared" si="52"/>
        <v>0</v>
      </c>
    </row>
    <row r="270" spans="1:19">
      <c r="A270" s="154"/>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0.02</v>
      </c>
      <c r="R270" s="669">
        <f t="shared" si="51"/>
        <v>0</v>
      </c>
      <c r="S270" s="321">
        <f t="shared" si="52"/>
        <v>0</v>
      </c>
    </row>
    <row r="271" spans="1:19">
      <c r="A271" s="154"/>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0.02</v>
      </c>
      <c r="R271" s="669">
        <f t="shared" si="51"/>
        <v>0</v>
      </c>
      <c r="S271" s="321">
        <f t="shared" si="52"/>
        <v>0</v>
      </c>
    </row>
    <row r="272" spans="1:19">
      <c r="A272" s="154"/>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0.02</v>
      </c>
      <c r="R272" s="669">
        <f t="shared" si="51"/>
        <v>0</v>
      </c>
      <c r="S272" s="321">
        <f t="shared" si="52"/>
        <v>0</v>
      </c>
    </row>
    <row r="273" spans="1:19">
      <c r="A273" s="154"/>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0.02</v>
      </c>
      <c r="R273" s="669">
        <f t="shared" si="51"/>
        <v>0</v>
      </c>
      <c r="S273" s="321">
        <f t="shared" si="52"/>
        <v>0</v>
      </c>
    </row>
    <row r="274" spans="1:19">
      <c r="A274" s="154"/>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0.02</v>
      </c>
      <c r="R274" s="669">
        <f t="shared" si="51"/>
        <v>0</v>
      </c>
      <c r="S274" s="321">
        <f t="shared" si="52"/>
        <v>0</v>
      </c>
    </row>
    <row r="275" spans="1:19">
      <c r="A275" s="154"/>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0.02</v>
      </c>
      <c r="R275" s="669">
        <f t="shared" si="51"/>
        <v>0</v>
      </c>
      <c r="S275" s="321">
        <f t="shared" si="52"/>
        <v>0</v>
      </c>
    </row>
    <row r="276" spans="1:19">
      <c r="A276" s="154"/>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0.02</v>
      </c>
      <c r="R276" s="669">
        <f t="shared" si="51"/>
        <v>0</v>
      </c>
      <c r="S276" s="321">
        <f t="shared" si="52"/>
        <v>0</v>
      </c>
    </row>
    <row r="277" spans="1:19">
      <c r="A277" s="154"/>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0.02</v>
      </c>
      <c r="R277" s="669">
        <f t="shared" si="51"/>
        <v>0</v>
      </c>
      <c r="S277" s="321">
        <f t="shared" si="52"/>
        <v>0</v>
      </c>
    </row>
    <row r="278" spans="1:19">
      <c r="A278" s="154"/>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0.02</v>
      </c>
      <c r="R278" s="669">
        <f t="shared" si="51"/>
        <v>0</v>
      </c>
      <c r="S278" s="321">
        <f t="shared" si="52"/>
        <v>0</v>
      </c>
    </row>
    <row r="279" spans="1:19">
      <c r="A279" s="154"/>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0.02</v>
      </c>
      <c r="R279" s="669">
        <f t="shared" si="51"/>
        <v>0</v>
      </c>
      <c r="S279" s="321">
        <f t="shared" si="52"/>
        <v>0</v>
      </c>
    </row>
    <row r="280" spans="1:19">
      <c r="A280" s="154"/>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0.02</v>
      </c>
      <c r="R280" s="669">
        <f t="shared" si="51"/>
        <v>0</v>
      </c>
      <c r="S280" s="321">
        <f t="shared" si="52"/>
        <v>0</v>
      </c>
    </row>
    <row r="281" spans="1:19">
      <c r="A281" s="154"/>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0.02</v>
      </c>
      <c r="R281" s="669">
        <f t="shared" si="51"/>
        <v>0</v>
      </c>
      <c r="S281" s="321">
        <f t="shared" si="52"/>
        <v>0</v>
      </c>
    </row>
    <row r="282" spans="1:19">
      <c r="A282" s="154"/>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0.02</v>
      </c>
      <c r="R282" s="669">
        <f t="shared" ref="R282:R345" si="61">IF(B282="",0,ROUND($R$24*C282*E282*G282*I282*K282*M282*O282*Q282,0))</f>
        <v>0</v>
      </c>
      <c r="S282" s="321">
        <f t="shared" si="52"/>
        <v>0</v>
      </c>
    </row>
    <row r="283" spans="1:19">
      <c r="A283" s="154"/>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0.02</v>
      </c>
      <c r="R283" s="669">
        <f t="shared" si="61"/>
        <v>0</v>
      </c>
      <c r="S283" s="321">
        <f t="shared" si="52"/>
        <v>0</v>
      </c>
    </row>
    <row r="284" spans="1:19">
      <c r="A284" s="154"/>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0.02</v>
      </c>
      <c r="R284" s="669">
        <f t="shared" si="61"/>
        <v>0</v>
      </c>
      <c r="S284" s="321">
        <f t="shared" si="52"/>
        <v>0</v>
      </c>
    </row>
    <row r="285" spans="1:19">
      <c r="A285" s="154"/>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0.02</v>
      </c>
      <c r="R285" s="669">
        <f t="shared" si="61"/>
        <v>0</v>
      </c>
      <c r="S285" s="321">
        <f t="shared" si="52"/>
        <v>0</v>
      </c>
    </row>
    <row r="286" spans="1:19">
      <c r="A286" s="154"/>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0.02</v>
      </c>
      <c r="R286" s="669">
        <f t="shared" si="61"/>
        <v>0</v>
      </c>
      <c r="S286" s="321">
        <f t="shared" si="52"/>
        <v>0</v>
      </c>
    </row>
    <row r="287" spans="1:19">
      <c r="A287" s="154"/>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0.02</v>
      </c>
      <c r="R287" s="669">
        <f t="shared" si="61"/>
        <v>0</v>
      </c>
      <c r="S287" s="321">
        <f t="shared" ref="S287:S320" si="62">ROUND(R287*B287/10000,0)</f>
        <v>0</v>
      </c>
    </row>
    <row r="288" spans="1:19">
      <c r="A288" s="154"/>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0.02</v>
      </c>
      <c r="R288" s="669">
        <f t="shared" si="61"/>
        <v>0</v>
      </c>
      <c r="S288" s="321">
        <f t="shared" si="62"/>
        <v>0</v>
      </c>
    </row>
    <row r="289" spans="1:19">
      <c r="A289" s="154"/>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0.02</v>
      </c>
      <c r="R289" s="669">
        <f t="shared" si="61"/>
        <v>0</v>
      </c>
      <c r="S289" s="321">
        <f t="shared" si="62"/>
        <v>0</v>
      </c>
    </row>
    <row r="290" spans="1:19">
      <c r="A290" s="154"/>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0.02</v>
      </c>
      <c r="R290" s="669">
        <f t="shared" si="61"/>
        <v>0</v>
      </c>
      <c r="S290" s="321">
        <f t="shared" si="62"/>
        <v>0</v>
      </c>
    </row>
    <row r="291" spans="1:19">
      <c r="A291" s="154"/>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0.02</v>
      </c>
      <c r="R291" s="669">
        <f t="shared" si="61"/>
        <v>0</v>
      </c>
      <c r="S291" s="321">
        <f t="shared" si="62"/>
        <v>0</v>
      </c>
    </row>
    <row r="292" spans="1:19">
      <c r="A292" s="154"/>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0.02</v>
      </c>
      <c r="R292" s="669">
        <f t="shared" si="61"/>
        <v>0</v>
      </c>
      <c r="S292" s="321">
        <f t="shared" si="62"/>
        <v>0</v>
      </c>
    </row>
    <row r="293" spans="1:19">
      <c r="A293" s="154"/>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0.02</v>
      </c>
      <c r="R293" s="669">
        <f t="shared" si="61"/>
        <v>0</v>
      </c>
      <c r="S293" s="321">
        <f t="shared" si="62"/>
        <v>0</v>
      </c>
    </row>
    <row r="294" spans="1:19">
      <c r="A294" s="154"/>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0.02</v>
      </c>
      <c r="R294" s="669">
        <f t="shared" si="61"/>
        <v>0</v>
      </c>
      <c r="S294" s="321">
        <f t="shared" si="62"/>
        <v>0</v>
      </c>
    </row>
    <row r="295" spans="1:19">
      <c r="A295" s="154"/>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0.02</v>
      </c>
      <c r="R295" s="669">
        <f t="shared" si="61"/>
        <v>0</v>
      </c>
      <c r="S295" s="321">
        <f t="shared" si="62"/>
        <v>0</v>
      </c>
    </row>
    <row r="296" spans="1:19">
      <c r="A296" s="154"/>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0.02</v>
      </c>
      <c r="R296" s="669">
        <f t="shared" si="61"/>
        <v>0</v>
      </c>
      <c r="S296" s="321">
        <f t="shared" si="62"/>
        <v>0</v>
      </c>
    </row>
    <row r="297" spans="1:19">
      <c r="A297" s="154"/>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0.02</v>
      </c>
      <c r="R297" s="669">
        <f t="shared" si="61"/>
        <v>0</v>
      </c>
      <c r="S297" s="321">
        <f t="shared" si="62"/>
        <v>0</v>
      </c>
    </row>
    <row r="298" spans="1:19">
      <c r="A298" s="154"/>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0.02</v>
      </c>
      <c r="R298" s="669">
        <f t="shared" si="61"/>
        <v>0</v>
      </c>
      <c r="S298" s="321">
        <f t="shared" si="62"/>
        <v>0</v>
      </c>
    </row>
    <row r="299" spans="1:19">
      <c r="A299" s="154"/>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0.02</v>
      </c>
      <c r="R299" s="669">
        <f t="shared" si="61"/>
        <v>0</v>
      </c>
      <c r="S299" s="321">
        <f t="shared" si="62"/>
        <v>0</v>
      </c>
    </row>
    <row r="300" spans="1:19">
      <c r="A300" s="154"/>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0.02</v>
      </c>
      <c r="R300" s="669">
        <f t="shared" si="61"/>
        <v>0</v>
      </c>
      <c r="S300" s="321">
        <f t="shared" si="62"/>
        <v>0</v>
      </c>
    </row>
    <row r="301" spans="1:19">
      <c r="A301" s="154"/>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0.02</v>
      </c>
      <c r="R301" s="669">
        <f t="shared" si="61"/>
        <v>0</v>
      </c>
      <c r="S301" s="321">
        <f t="shared" si="62"/>
        <v>0</v>
      </c>
    </row>
    <row r="302" spans="1:19">
      <c r="A302" s="154"/>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0.02</v>
      </c>
      <c r="R302" s="669">
        <f t="shared" si="61"/>
        <v>0</v>
      </c>
      <c r="S302" s="321">
        <f t="shared" si="62"/>
        <v>0</v>
      </c>
    </row>
    <row r="303" spans="1:19">
      <c r="A303" s="154"/>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0.02</v>
      </c>
      <c r="R303" s="669">
        <f t="shared" si="61"/>
        <v>0</v>
      </c>
      <c r="S303" s="321">
        <f t="shared" si="62"/>
        <v>0</v>
      </c>
    </row>
    <row r="304" spans="1:19">
      <c r="A304" s="154"/>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0.02</v>
      </c>
      <c r="R304" s="669">
        <f t="shared" si="61"/>
        <v>0</v>
      </c>
      <c r="S304" s="321">
        <f t="shared" si="62"/>
        <v>0</v>
      </c>
    </row>
    <row r="305" spans="1:19">
      <c r="A305" s="154"/>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0.02</v>
      </c>
      <c r="R305" s="669">
        <f t="shared" si="61"/>
        <v>0</v>
      </c>
      <c r="S305" s="321">
        <f t="shared" si="62"/>
        <v>0</v>
      </c>
    </row>
    <row r="306" spans="1:19">
      <c r="A306" s="154"/>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0.02</v>
      </c>
      <c r="R306" s="669">
        <f t="shared" si="61"/>
        <v>0</v>
      </c>
      <c r="S306" s="321">
        <f t="shared" si="62"/>
        <v>0</v>
      </c>
    </row>
    <row r="307" spans="1:19">
      <c r="A307" s="154"/>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0.02</v>
      </c>
      <c r="R307" s="669">
        <f t="shared" si="61"/>
        <v>0</v>
      </c>
      <c r="S307" s="321">
        <f t="shared" si="62"/>
        <v>0</v>
      </c>
    </row>
    <row r="308" spans="1:19">
      <c r="A308" s="154"/>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0.02</v>
      </c>
      <c r="R308" s="669">
        <f t="shared" si="61"/>
        <v>0</v>
      </c>
      <c r="S308" s="321">
        <f t="shared" si="62"/>
        <v>0</v>
      </c>
    </row>
    <row r="309" spans="1:19">
      <c r="A309" s="154"/>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0.02</v>
      </c>
      <c r="R309" s="669">
        <f t="shared" si="61"/>
        <v>0</v>
      </c>
      <c r="S309" s="321">
        <f t="shared" si="62"/>
        <v>0</v>
      </c>
    </row>
    <row r="310" spans="1:19">
      <c r="A310" s="154"/>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0.02</v>
      </c>
      <c r="R310" s="669">
        <f t="shared" si="61"/>
        <v>0</v>
      </c>
      <c r="S310" s="321">
        <f t="shared" si="62"/>
        <v>0</v>
      </c>
    </row>
    <row r="311" spans="1:19">
      <c r="A311" s="154"/>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0.02</v>
      </c>
      <c r="R311" s="669">
        <f t="shared" si="61"/>
        <v>0</v>
      </c>
      <c r="S311" s="321">
        <f t="shared" si="62"/>
        <v>0</v>
      </c>
    </row>
    <row r="312" spans="1:19">
      <c r="A312" s="154"/>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0.02</v>
      </c>
      <c r="R312" s="669">
        <f t="shared" si="61"/>
        <v>0</v>
      </c>
      <c r="S312" s="321">
        <f t="shared" si="62"/>
        <v>0</v>
      </c>
    </row>
    <row r="313" spans="1:19">
      <c r="A313" s="154"/>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0.02</v>
      </c>
      <c r="R313" s="669">
        <f t="shared" si="61"/>
        <v>0</v>
      </c>
      <c r="S313" s="321">
        <f t="shared" si="62"/>
        <v>0</v>
      </c>
    </row>
    <row r="314" spans="1:19">
      <c r="A314" s="154"/>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0.02</v>
      </c>
      <c r="R314" s="669">
        <f t="shared" si="61"/>
        <v>0</v>
      </c>
      <c r="S314" s="321">
        <f t="shared" si="62"/>
        <v>0</v>
      </c>
    </row>
    <row r="315" spans="1:19">
      <c r="A315" s="154"/>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0.02</v>
      </c>
      <c r="R315" s="669">
        <f t="shared" si="61"/>
        <v>0</v>
      </c>
      <c r="S315" s="321">
        <f t="shared" si="62"/>
        <v>0</v>
      </c>
    </row>
    <row r="316" spans="1:19">
      <c r="A316" s="154"/>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0.02</v>
      </c>
      <c r="R316" s="669">
        <f t="shared" si="61"/>
        <v>0</v>
      </c>
      <c r="S316" s="321">
        <f t="shared" si="62"/>
        <v>0</v>
      </c>
    </row>
    <row r="317" spans="1:19">
      <c r="A317" s="154"/>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0.02</v>
      </c>
      <c r="R317" s="669">
        <f t="shared" si="61"/>
        <v>0</v>
      </c>
      <c r="S317" s="321">
        <f t="shared" si="62"/>
        <v>0</v>
      </c>
    </row>
    <row r="318" spans="1:19">
      <c r="A318" s="154"/>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0.02</v>
      </c>
      <c r="R318" s="669">
        <f t="shared" si="61"/>
        <v>0</v>
      </c>
      <c r="S318" s="321">
        <f t="shared" si="62"/>
        <v>0</v>
      </c>
    </row>
    <row r="319" spans="1:19">
      <c r="A319" s="154"/>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0.02</v>
      </c>
      <c r="R319" s="669">
        <f t="shared" si="61"/>
        <v>0</v>
      </c>
      <c r="S319" s="321">
        <f t="shared" si="62"/>
        <v>0</v>
      </c>
    </row>
    <row r="320" spans="1:19">
      <c r="A320" s="154"/>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0.02</v>
      </c>
      <c r="R320" s="669">
        <f t="shared" si="61"/>
        <v>0</v>
      </c>
      <c r="S320" s="321">
        <f t="shared" si="62"/>
        <v>0</v>
      </c>
    </row>
    <row r="321" spans="1:19">
      <c r="A321" s="154"/>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0.02</v>
      </c>
      <c r="R321" s="669">
        <f t="shared" si="61"/>
        <v>0</v>
      </c>
      <c r="S321" s="321">
        <f t="shared" ref="S321:S384" si="63">ROUND(R321*B321/10000,0)</f>
        <v>0</v>
      </c>
    </row>
    <row r="322" spans="1:19">
      <c r="A322" s="154"/>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0.02</v>
      </c>
      <c r="R322" s="669">
        <f t="shared" si="61"/>
        <v>0</v>
      </c>
      <c r="S322" s="321">
        <f t="shared" si="63"/>
        <v>0</v>
      </c>
    </row>
    <row r="323" spans="1:19">
      <c r="A323" s="154"/>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0.02</v>
      </c>
      <c r="R323" s="669">
        <f t="shared" si="61"/>
        <v>0</v>
      </c>
      <c r="S323" s="321">
        <f t="shared" si="63"/>
        <v>0</v>
      </c>
    </row>
    <row r="324" spans="1:19">
      <c r="A324" s="154"/>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0.02</v>
      </c>
      <c r="R324" s="669">
        <f t="shared" si="61"/>
        <v>0</v>
      </c>
      <c r="S324" s="321">
        <f t="shared" si="63"/>
        <v>0</v>
      </c>
    </row>
    <row r="325" spans="1:19">
      <c r="A325" s="154"/>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0.02</v>
      </c>
      <c r="R325" s="669">
        <f t="shared" si="61"/>
        <v>0</v>
      </c>
      <c r="S325" s="321">
        <f t="shared" si="63"/>
        <v>0</v>
      </c>
    </row>
    <row r="326" spans="1:19">
      <c r="A326" s="154"/>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0.02</v>
      </c>
      <c r="R326" s="669">
        <f t="shared" si="61"/>
        <v>0</v>
      </c>
      <c r="S326" s="321">
        <f t="shared" si="63"/>
        <v>0</v>
      </c>
    </row>
    <row r="327" spans="1:19">
      <c r="A327" s="154"/>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0.02</v>
      </c>
      <c r="R327" s="669">
        <f t="shared" si="61"/>
        <v>0</v>
      </c>
      <c r="S327" s="321">
        <f t="shared" si="63"/>
        <v>0</v>
      </c>
    </row>
    <row r="328" spans="1:19">
      <c r="A328" s="154"/>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0.02</v>
      </c>
      <c r="R328" s="669">
        <f t="shared" si="61"/>
        <v>0</v>
      </c>
      <c r="S328" s="321">
        <f t="shared" si="63"/>
        <v>0</v>
      </c>
    </row>
    <row r="329" spans="1:19">
      <c r="A329" s="154"/>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0.02</v>
      </c>
      <c r="R329" s="669">
        <f t="shared" si="61"/>
        <v>0</v>
      </c>
      <c r="S329" s="321">
        <f t="shared" si="63"/>
        <v>0</v>
      </c>
    </row>
    <row r="330" spans="1:19">
      <c r="A330" s="154"/>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0.02</v>
      </c>
      <c r="R330" s="669">
        <f t="shared" si="61"/>
        <v>0</v>
      </c>
      <c r="S330" s="321">
        <f t="shared" si="63"/>
        <v>0</v>
      </c>
    </row>
    <row r="331" spans="1:19">
      <c r="A331" s="154"/>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0.02</v>
      </c>
      <c r="R331" s="669">
        <f t="shared" si="61"/>
        <v>0</v>
      </c>
      <c r="S331" s="321">
        <f t="shared" si="63"/>
        <v>0</v>
      </c>
    </row>
    <row r="332" spans="1:19">
      <c r="A332" s="154"/>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0.02</v>
      </c>
      <c r="R332" s="669">
        <f t="shared" si="61"/>
        <v>0</v>
      </c>
      <c r="S332" s="321">
        <f t="shared" si="63"/>
        <v>0</v>
      </c>
    </row>
    <row r="333" spans="1:19">
      <c r="A333" s="154"/>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0.02</v>
      </c>
      <c r="R333" s="669">
        <f t="shared" si="61"/>
        <v>0</v>
      </c>
      <c r="S333" s="321">
        <f t="shared" si="63"/>
        <v>0</v>
      </c>
    </row>
    <row r="334" spans="1:19">
      <c r="A334" s="154"/>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0.02</v>
      </c>
      <c r="R334" s="669">
        <f t="shared" si="61"/>
        <v>0</v>
      </c>
      <c r="S334" s="321">
        <f t="shared" si="63"/>
        <v>0</v>
      </c>
    </row>
    <row r="335" spans="1:19">
      <c r="A335" s="154"/>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0.02</v>
      </c>
      <c r="R335" s="669">
        <f t="shared" si="61"/>
        <v>0</v>
      </c>
      <c r="S335" s="321">
        <f t="shared" si="63"/>
        <v>0</v>
      </c>
    </row>
    <row r="336" spans="1:19">
      <c r="A336" s="154"/>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0.02</v>
      </c>
      <c r="R336" s="669">
        <f t="shared" si="61"/>
        <v>0</v>
      </c>
      <c r="S336" s="321">
        <f t="shared" si="63"/>
        <v>0</v>
      </c>
    </row>
    <row r="337" spans="1:19">
      <c r="A337" s="154"/>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0.02</v>
      </c>
      <c r="R337" s="669">
        <f t="shared" si="61"/>
        <v>0</v>
      </c>
      <c r="S337" s="321">
        <f t="shared" si="63"/>
        <v>0</v>
      </c>
    </row>
    <row r="338" spans="1:19">
      <c r="A338" s="154"/>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0.02</v>
      </c>
      <c r="R338" s="669">
        <f t="shared" si="61"/>
        <v>0</v>
      </c>
      <c r="S338" s="321">
        <f t="shared" si="63"/>
        <v>0</v>
      </c>
    </row>
    <row r="339" spans="1:19">
      <c r="A339" s="154"/>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0.02</v>
      </c>
      <c r="R339" s="669">
        <f t="shared" si="61"/>
        <v>0</v>
      </c>
      <c r="S339" s="321">
        <f t="shared" si="63"/>
        <v>0</v>
      </c>
    </row>
    <row r="340" spans="1:19">
      <c r="A340" s="154"/>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0.02</v>
      </c>
      <c r="R340" s="669">
        <f t="shared" si="61"/>
        <v>0</v>
      </c>
      <c r="S340" s="321">
        <f t="shared" si="63"/>
        <v>0</v>
      </c>
    </row>
    <row r="341" spans="1:19">
      <c r="A341" s="154"/>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0.02</v>
      </c>
      <c r="R341" s="669">
        <f t="shared" si="61"/>
        <v>0</v>
      </c>
      <c r="S341" s="321">
        <f t="shared" si="63"/>
        <v>0</v>
      </c>
    </row>
    <row r="342" spans="1:19">
      <c r="A342" s="154"/>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0.02</v>
      </c>
      <c r="R342" s="669">
        <f t="shared" si="61"/>
        <v>0</v>
      </c>
      <c r="S342" s="321">
        <f t="shared" si="63"/>
        <v>0</v>
      </c>
    </row>
    <row r="343" spans="1:19">
      <c r="A343" s="154"/>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0.02</v>
      </c>
      <c r="R343" s="669">
        <f t="shared" si="61"/>
        <v>0</v>
      </c>
      <c r="S343" s="321">
        <f t="shared" si="63"/>
        <v>0</v>
      </c>
    </row>
    <row r="344" spans="1:19">
      <c r="A344" s="154"/>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0.02</v>
      </c>
      <c r="R344" s="669">
        <f t="shared" si="61"/>
        <v>0</v>
      </c>
      <c r="S344" s="321">
        <f t="shared" si="63"/>
        <v>0</v>
      </c>
    </row>
    <row r="345" spans="1:19">
      <c r="A345" s="154"/>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0.02</v>
      </c>
      <c r="R345" s="669">
        <f t="shared" si="61"/>
        <v>0</v>
      </c>
      <c r="S345" s="321">
        <f t="shared" si="63"/>
        <v>0</v>
      </c>
    </row>
    <row r="346" spans="1:19">
      <c r="A346" s="154"/>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0.02</v>
      </c>
      <c r="R346" s="669">
        <f t="shared" ref="R346:R409" si="72">IF(B346="",0,ROUND($R$24*C346*E346*G346*I346*K346*M346*O346*Q346,0))</f>
        <v>0</v>
      </c>
      <c r="S346" s="321">
        <f t="shared" si="63"/>
        <v>0</v>
      </c>
    </row>
    <row r="347" spans="1:19">
      <c r="A347" s="154"/>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0.02</v>
      </c>
      <c r="R347" s="669">
        <f t="shared" si="72"/>
        <v>0</v>
      </c>
      <c r="S347" s="321">
        <f t="shared" si="63"/>
        <v>0</v>
      </c>
    </row>
    <row r="348" spans="1:19">
      <c r="A348" s="154"/>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0.02</v>
      </c>
      <c r="R348" s="669">
        <f t="shared" si="72"/>
        <v>0</v>
      </c>
      <c r="S348" s="321">
        <f t="shared" si="63"/>
        <v>0</v>
      </c>
    </row>
    <row r="349" spans="1:19">
      <c r="A349" s="154"/>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0.02</v>
      </c>
      <c r="R349" s="669">
        <f t="shared" si="72"/>
        <v>0</v>
      </c>
      <c r="S349" s="321">
        <f t="shared" si="63"/>
        <v>0</v>
      </c>
    </row>
    <row r="350" spans="1:19">
      <c r="A350" s="154"/>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0.02</v>
      </c>
      <c r="R350" s="669">
        <f t="shared" si="72"/>
        <v>0</v>
      </c>
      <c r="S350" s="321">
        <f t="shared" si="63"/>
        <v>0</v>
      </c>
    </row>
    <row r="351" spans="1:19">
      <c r="A351" s="154"/>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0.02</v>
      </c>
      <c r="R351" s="669">
        <f t="shared" si="72"/>
        <v>0</v>
      </c>
      <c r="S351" s="321">
        <f t="shared" si="63"/>
        <v>0</v>
      </c>
    </row>
    <row r="352" spans="1:19">
      <c r="A352" s="154"/>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0.02</v>
      </c>
      <c r="R352" s="669">
        <f t="shared" si="72"/>
        <v>0</v>
      </c>
      <c r="S352" s="321">
        <f t="shared" si="63"/>
        <v>0</v>
      </c>
    </row>
    <row r="353" spans="1:19">
      <c r="A353" s="154"/>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0.02</v>
      </c>
      <c r="R353" s="669">
        <f t="shared" si="72"/>
        <v>0</v>
      </c>
      <c r="S353" s="321">
        <f t="shared" si="63"/>
        <v>0</v>
      </c>
    </row>
    <row r="354" spans="1:19">
      <c r="A354" s="154"/>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0.02</v>
      </c>
      <c r="R354" s="669">
        <f t="shared" si="72"/>
        <v>0</v>
      </c>
      <c r="S354" s="321">
        <f t="shared" si="63"/>
        <v>0</v>
      </c>
    </row>
    <row r="355" spans="1:19">
      <c r="A355" s="154"/>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0.02</v>
      </c>
      <c r="R355" s="669">
        <f t="shared" si="72"/>
        <v>0</v>
      </c>
      <c r="S355" s="321">
        <f t="shared" si="63"/>
        <v>0</v>
      </c>
    </row>
    <row r="356" spans="1:19">
      <c r="A356" s="154"/>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0.02</v>
      </c>
      <c r="R356" s="669">
        <f t="shared" si="72"/>
        <v>0</v>
      </c>
      <c r="S356" s="321">
        <f t="shared" si="63"/>
        <v>0</v>
      </c>
    </row>
    <row r="357" spans="1:19">
      <c r="A357" s="154"/>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0.02</v>
      </c>
      <c r="R357" s="669">
        <f t="shared" si="72"/>
        <v>0</v>
      </c>
      <c r="S357" s="321">
        <f t="shared" si="63"/>
        <v>0</v>
      </c>
    </row>
    <row r="358" spans="1:19">
      <c r="A358" s="154"/>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0.02</v>
      </c>
      <c r="R358" s="669">
        <f t="shared" si="72"/>
        <v>0</v>
      </c>
      <c r="S358" s="321">
        <f t="shared" si="63"/>
        <v>0</v>
      </c>
    </row>
    <row r="359" spans="1:19">
      <c r="A359" s="154"/>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0.02</v>
      </c>
      <c r="R359" s="669">
        <f t="shared" si="72"/>
        <v>0</v>
      </c>
      <c r="S359" s="321">
        <f t="shared" si="63"/>
        <v>0</v>
      </c>
    </row>
    <row r="360" spans="1:19">
      <c r="A360" s="154"/>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0.02</v>
      </c>
      <c r="R360" s="669">
        <f t="shared" si="72"/>
        <v>0</v>
      </c>
      <c r="S360" s="321">
        <f t="shared" si="63"/>
        <v>0</v>
      </c>
    </row>
    <row r="361" spans="1:19">
      <c r="A361" s="154"/>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0.02</v>
      </c>
      <c r="R361" s="669">
        <f t="shared" si="72"/>
        <v>0</v>
      </c>
      <c r="S361" s="321">
        <f t="shared" si="63"/>
        <v>0</v>
      </c>
    </row>
    <row r="362" spans="1:19">
      <c r="A362" s="154"/>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0.02</v>
      </c>
      <c r="R362" s="669">
        <f t="shared" si="72"/>
        <v>0</v>
      </c>
      <c r="S362" s="321">
        <f t="shared" si="63"/>
        <v>0</v>
      </c>
    </row>
    <row r="363" spans="1:19">
      <c r="A363" s="154"/>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0.02</v>
      </c>
      <c r="R363" s="669">
        <f t="shared" si="72"/>
        <v>0</v>
      </c>
      <c r="S363" s="321">
        <f t="shared" si="63"/>
        <v>0</v>
      </c>
    </row>
    <row r="364" spans="1:19">
      <c r="A364" s="154"/>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0.02</v>
      </c>
      <c r="R364" s="669">
        <f t="shared" si="72"/>
        <v>0</v>
      </c>
      <c r="S364" s="321">
        <f t="shared" si="63"/>
        <v>0</v>
      </c>
    </row>
    <row r="365" spans="1:19">
      <c r="A365" s="154"/>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0.02</v>
      </c>
      <c r="R365" s="669">
        <f t="shared" si="72"/>
        <v>0</v>
      </c>
      <c r="S365" s="321">
        <f t="shared" si="63"/>
        <v>0</v>
      </c>
    </row>
    <row r="366" spans="1:19">
      <c r="A366" s="154"/>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0.02</v>
      </c>
      <c r="R366" s="669">
        <f t="shared" si="72"/>
        <v>0</v>
      </c>
      <c r="S366" s="321">
        <f t="shared" si="63"/>
        <v>0</v>
      </c>
    </row>
    <row r="367" spans="1:19">
      <c r="A367" s="154"/>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0.02</v>
      </c>
      <c r="R367" s="669">
        <f t="shared" si="72"/>
        <v>0</v>
      </c>
      <c r="S367" s="321">
        <f t="shared" si="63"/>
        <v>0</v>
      </c>
    </row>
    <row r="368" spans="1:19">
      <c r="A368" s="154"/>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0.02</v>
      </c>
      <c r="R368" s="669">
        <f t="shared" si="72"/>
        <v>0</v>
      </c>
      <c r="S368" s="321">
        <f t="shared" si="63"/>
        <v>0</v>
      </c>
    </row>
    <row r="369" spans="1:19">
      <c r="A369" s="154"/>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0.02</v>
      </c>
      <c r="R369" s="669">
        <f t="shared" si="72"/>
        <v>0</v>
      </c>
      <c r="S369" s="321">
        <f t="shared" si="63"/>
        <v>0</v>
      </c>
    </row>
    <row r="370" spans="1:19">
      <c r="A370" s="154"/>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0.02</v>
      </c>
      <c r="R370" s="669">
        <f t="shared" si="72"/>
        <v>0</v>
      </c>
      <c r="S370" s="321">
        <f t="shared" si="63"/>
        <v>0</v>
      </c>
    </row>
    <row r="371" spans="1:19">
      <c r="A371" s="154"/>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0.02</v>
      </c>
      <c r="R371" s="669">
        <f t="shared" si="72"/>
        <v>0</v>
      </c>
      <c r="S371" s="321">
        <f t="shared" si="63"/>
        <v>0</v>
      </c>
    </row>
    <row r="372" spans="1:19">
      <c r="A372" s="154"/>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0.02</v>
      </c>
      <c r="R372" s="669">
        <f t="shared" si="72"/>
        <v>0</v>
      </c>
      <c r="S372" s="321">
        <f t="shared" si="63"/>
        <v>0</v>
      </c>
    </row>
    <row r="373" spans="1:19">
      <c r="A373" s="154"/>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0.02</v>
      </c>
      <c r="R373" s="669">
        <f t="shared" si="72"/>
        <v>0</v>
      </c>
      <c r="S373" s="321">
        <f t="shared" si="63"/>
        <v>0</v>
      </c>
    </row>
    <row r="374" spans="1:19">
      <c r="A374" s="154"/>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0.02</v>
      </c>
      <c r="R374" s="669">
        <f t="shared" si="72"/>
        <v>0</v>
      </c>
      <c r="S374" s="321">
        <f t="shared" si="63"/>
        <v>0</v>
      </c>
    </row>
    <row r="375" spans="1:19">
      <c r="A375" s="154"/>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0.02</v>
      </c>
      <c r="R375" s="669">
        <f t="shared" si="72"/>
        <v>0</v>
      </c>
      <c r="S375" s="321">
        <f t="shared" si="63"/>
        <v>0</v>
      </c>
    </row>
    <row r="376" spans="1:19">
      <c r="A376" s="154"/>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0.02</v>
      </c>
      <c r="R376" s="669">
        <f t="shared" si="72"/>
        <v>0</v>
      </c>
      <c r="S376" s="321">
        <f t="shared" si="63"/>
        <v>0</v>
      </c>
    </row>
    <row r="377" spans="1:19">
      <c r="A377" s="154"/>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0.02</v>
      </c>
      <c r="R377" s="669">
        <f t="shared" si="72"/>
        <v>0</v>
      </c>
      <c r="S377" s="321">
        <f t="shared" si="63"/>
        <v>0</v>
      </c>
    </row>
    <row r="378" spans="1:19">
      <c r="A378" s="154"/>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0.02</v>
      </c>
      <c r="R378" s="669">
        <f t="shared" si="72"/>
        <v>0</v>
      </c>
      <c r="S378" s="321">
        <f t="shared" si="63"/>
        <v>0</v>
      </c>
    </row>
    <row r="379" spans="1:19">
      <c r="A379" s="154"/>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0.02</v>
      </c>
      <c r="R379" s="669">
        <f t="shared" si="72"/>
        <v>0</v>
      </c>
      <c r="S379" s="321">
        <f t="shared" si="63"/>
        <v>0</v>
      </c>
    </row>
    <row r="380" spans="1:19">
      <c r="A380" s="154"/>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0.02</v>
      </c>
      <c r="R380" s="669">
        <f t="shared" si="72"/>
        <v>0</v>
      </c>
      <c r="S380" s="321">
        <f t="shared" si="63"/>
        <v>0</v>
      </c>
    </row>
    <row r="381" spans="1:19">
      <c r="A381" s="154"/>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0.02</v>
      </c>
      <c r="R381" s="669">
        <f t="shared" si="72"/>
        <v>0</v>
      </c>
      <c r="S381" s="321">
        <f t="shared" si="63"/>
        <v>0</v>
      </c>
    </row>
    <row r="382" spans="1:19">
      <c r="A382" s="154"/>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0.02</v>
      </c>
      <c r="R382" s="669">
        <f t="shared" si="72"/>
        <v>0</v>
      </c>
      <c r="S382" s="321">
        <f t="shared" si="63"/>
        <v>0</v>
      </c>
    </row>
    <row r="383" spans="1:19">
      <c r="A383" s="154"/>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0.02</v>
      </c>
      <c r="R383" s="669">
        <f t="shared" si="72"/>
        <v>0</v>
      </c>
      <c r="S383" s="321">
        <f t="shared" si="63"/>
        <v>0</v>
      </c>
    </row>
    <row r="384" spans="1:19">
      <c r="A384" s="154"/>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0.02</v>
      </c>
      <c r="R384" s="669">
        <f t="shared" si="72"/>
        <v>0</v>
      </c>
      <c r="S384" s="321">
        <f t="shared" si="63"/>
        <v>0</v>
      </c>
    </row>
    <row r="385" spans="1:19">
      <c r="A385" s="154"/>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0.02</v>
      </c>
      <c r="R385" s="669">
        <f t="shared" si="72"/>
        <v>0</v>
      </c>
      <c r="S385" s="321">
        <f t="shared" ref="S385:S422" si="73">ROUND(R385*B385/10000,0)</f>
        <v>0</v>
      </c>
    </row>
    <row r="386" spans="1:19">
      <c r="A386" s="154"/>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0.02</v>
      </c>
      <c r="R386" s="669">
        <f t="shared" si="72"/>
        <v>0</v>
      </c>
      <c r="S386" s="321">
        <f t="shared" si="73"/>
        <v>0</v>
      </c>
    </row>
    <row r="387" spans="1:19">
      <c r="A387" s="154"/>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0.02</v>
      </c>
      <c r="R387" s="669">
        <f t="shared" si="72"/>
        <v>0</v>
      </c>
      <c r="S387" s="321">
        <f t="shared" si="73"/>
        <v>0</v>
      </c>
    </row>
    <row r="388" spans="1:19">
      <c r="A388" s="154"/>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0.02</v>
      </c>
      <c r="R388" s="669">
        <f t="shared" si="72"/>
        <v>0</v>
      </c>
      <c r="S388" s="321">
        <f t="shared" si="73"/>
        <v>0</v>
      </c>
    </row>
    <row r="389" spans="1:19">
      <c r="A389" s="154"/>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0.02</v>
      </c>
      <c r="R389" s="669">
        <f t="shared" si="72"/>
        <v>0</v>
      </c>
      <c r="S389" s="321">
        <f t="shared" si="73"/>
        <v>0</v>
      </c>
    </row>
    <row r="390" spans="1:19">
      <c r="A390" s="154"/>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0.02</v>
      </c>
      <c r="R390" s="669">
        <f t="shared" si="72"/>
        <v>0</v>
      </c>
      <c r="S390" s="321">
        <f t="shared" si="73"/>
        <v>0</v>
      </c>
    </row>
    <row r="391" spans="1:19">
      <c r="A391" s="154"/>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0.02</v>
      </c>
      <c r="R391" s="669">
        <f t="shared" si="72"/>
        <v>0</v>
      </c>
      <c r="S391" s="321">
        <f t="shared" si="73"/>
        <v>0</v>
      </c>
    </row>
    <row r="392" spans="1:19">
      <c r="A392" s="154"/>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0.02</v>
      </c>
      <c r="R392" s="669">
        <f t="shared" si="72"/>
        <v>0</v>
      </c>
      <c r="S392" s="321">
        <f t="shared" si="73"/>
        <v>0</v>
      </c>
    </row>
    <row r="393" spans="1:19">
      <c r="A393" s="154"/>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0.02</v>
      </c>
      <c r="R393" s="669">
        <f t="shared" si="72"/>
        <v>0</v>
      </c>
      <c r="S393" s="321">
        <f t="shared" si="73"/>
        <v>0</v>
      </c>
    </row>
    <row r="394" spans="1:19">
      <c r="A394" s="154"/>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0.02</v>
      </c>
      <c r="R394" s="669">
        <f t="shared" si="72"/>
        <v>0</v>
      </c>
      <c r="S394" s="321">
        <f t="shared" si="73"/>
        <v>0</v>
      </c>
    </row>
    <row r="395" spans="1:19">
      <c r="A395" s="154"/>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0.02</v>
      </c>
      <c r="R395" s="669">
        <f t="shared" si="72"/>
        <v>0</v>
      </c>
      <c r="S395" s="321">
        <f t="shared" si="73"/>
        <v>0</v>
      </c>
    </row>
    <row r="396" spans="1:19">
      <c r="A396" s="154"/>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0.02</v>
      </c>
      <c r="R396" s="669">
        <f t="shared" si="72"/>
        <v>0</v>
      </c>
      <c r="S396" s="321">
        <f t="shared" si="73"/>
        <v>0</v>
      </c>
    </row>
    <row r="397" spans="1:19">
      <c r="A397" s="154"/>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0.02</v>
      </c>
      <c r="R397" s="669">
        <f t="shared" si="72"/>
        <v>0</v>
      </c>
      <c r="S397" s="321">
        <f t="shared" si="73"/>
        <v>0</v>
      </c>
    </row>
    <row r="398" spans="1:19">
      <c r="A398" s="154"/>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0.02</v>
      </c>
      <c r="R398" s="669">
        <f t="shared" si="72"/>
        <v>0</v>
      </c>
      <c r="S398" s="321">
        <f t="shared" si="73"/>
        <v>0</v>
      </c>
    </row>
    <row r="399" spans="1:19">
      <c r="A399" s="154"/>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0.02</v>
      </c>
      <c r="R399" s="669">
        <f t="shared" si="72"/>
        <v>0</v>
      </c>
      <c r="S399" s="321">
        <f t="shared" si="73"/>
        <v>0</v>
      </c>
    </row>
    <row r="400" spans="1:19">
      <c r="A400" s="154"/>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0.02</v>
      </c>
      <c r="R400" s="669">
        <f t="shared" si="72"/>
        <v>0</v>
      </c>
      <c r="S400" s="321">
        <f t="shared" si="73"/>
        <v>0</v>
      </c>
    </row>
    <row r="401" spans="1:19">
      <c r="A401" s="154"/>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0.02</v>
      </c>
      <c r="R401" s="669">
        <f t="shared" si="72"/>
        <v>0</v>
      </c>
      <c r="S401" s="321">
        <f t="shared" si="73"/>
        <v>0</v>
      </c>
    </row>
    <row r="402" spans="1:19">
      <c r="A402" s="154"/>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0.02</v>
      </c>
      <c r="R402" s="669">
        <f t="shared" si="72"/>
        <v>0</v>
      </c>
      <c r="S402" s="321">
        <f t="shared" si="73"/>
        <v>0</v>
      </c>
    </row>
    <row r="403" spans="1:19">
      <c r="A403" s="154"/>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0.02</v>
      </c>
      <c r="R403" s="669">
        <f t="shared" si="72"/>
        <v>0</v>
      </c>
      <c r="S403" s="321">
        <f t="shared" si="73"/>
        <v>0</v>
      </c>
    </row>
    <row r="404" spans="1:19">
      <c r="A404" s="154"/>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0.02</v>
      </c>
      <c r="R404" s="669">
        <f t="shared" si="72"/>
        <v>0</v>
      </c>
      <c r="S404" s="321">
        <f t="shared" si="73"/>
        <v>0</v>
      </c>
    </row>
    <row r="405" spans="1:19">
      <c r="A405" s="154"/>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0.02</v>
      </c>
      <c r="R405" s="669">
        <f t="shared" si="72"/>
        <v>0</v>
      </c>
      <c r="S405" s="321">
        <f t="shared" si="73"/>
        <v>0</v>
      </c>
    </row>
    <row r="406" spans="1:19">
      <c r="A406" s="154"/>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0.02</v>
      </c>
      <c r="R406" s="669">
        <f t="shared" si="72"/>
        <v>0</v>
      </c>
      <c r="S406" s="321">
        <f t="shared" si="73"/>
        <v>0</v>
      </c>
    </row>
    <row r="407" spans="1:19">
      <c r="A407" s="154"/>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0.02</v>
      </c>
      <c r="R407" s="669">
        <f t="shared" si="72"/>
        <v>0</v>
      </c>
      <c r="S407" s="321">
        <f t="shared" si="73"/>
        <v>0</v>
      </c>
    </row>
    <row r="408" spans="1:19">
      <c r="A408" s="154"/>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0.02</v>
      </c>
      <c r="R408" s="669">
        <f t="shared" si="72"/>
        <v>0</v>
      </c>
      <c r="S408" s="321">
        <f t="shared" si="73"/>
        <v>0</v>
      </c>
    </row>
    <row r="409" spans="1:19">
      <c r="A409" s="154"/>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0.02</v>
      </c>
      <c r="R409" s="669">
        <f t="shared" si="72"/>
        <v>0</v>
      </c>
      <c r="S409" s="321">
        <f t="shared" si="73"/>
        <v>0</v>
      </c>
    </row>
    <row r="410" spans="1:19">
      <c r="A410" s="154"/>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0.02</v>
      </c>
      <c r="R410" s="669">
        <f t="shared" ref="R410:R473" si="82">IF(B410="",0,ROUND($R$24*C410*E410*G410*I410*K410*M410*O410*Q410,0))</f>
        <v>0</v>
      </c>
      <c r="S410" s="321">
        <f t="shared" si="73"/>
        <v>0</v>
      </c>
    </row>
    <row r="411" spans="1:19">
      <c r="A411" s="154"/>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0.02</v>
      </c>
      <c r="R411" s="669">
        <f t="shared" si="82"/>
        <v>0</v>
      </c>
      <c r="S411" s="321">
        <f t="shared" si="73"/>
        <v>0</v>
      </c>
    </row>
    <row r="412" spans="1:19">
      <c r="A412" s="154"/>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0.02</v>
      </c>
      <c r="R412" s="669">
        <f t="shared" si="82"/>
        <v>0</v>
      </c>
      <c r="S412" s="321">
        <f t="shared" si="73"/>
        <v>0</v>
      </c>
    </row>
    <row r="413" spans="1:19">
      <c r="A413" s="154"/>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0.02</v>
      </c>
      <c r="R413" s="669">
        <f t="shared" si="82"/>
        <v>0</v>
      </c>
      <c r="S413" s="321">
        <f t="shared" si="73"/>
        <v>0</v>
      </c>
    </row>
    <row r="414" spans="1:19">
      <c r="A414" s="154"/>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0.02</v>
      </c>
      <c r="R414" s="669">
        <f t="shared" si="82"/>
        <v>0</v>
      </c>
      <c r="S414" s="321">
        <f t="shared" si="73"/>
        <v>0</v>
      </c>
    </row>
    <row r="415" spans="1:19">
      <c r="A415" s="154"/>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0.02</v>
      </c>
      <c r="R415" s="669">
        <f t="shared" si="82"/>
        <v>0</v>
      </c>
      <c r="S415" s="321">
        <f t="shared" si="73"/>
        <v>0</v>
      </c>
    </row>
    <row r="416" spans="1:19">
      <c r="A416" s="154"/>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0.02</v>
      </c>
      <c r="R416" s="669">
        <f t="shared" si="82"/>
        <v>0</v>
      </c>
      <c r="S416" s="321">
        <f t="shared" si="73"/>
        <v>0</v>
      </c>
    </row>
    <row r="417" spans="1:19">
      <c r="A417" s="154"/>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0.02</v>
      </c>
      <c r="R417" s="669">
        <f t="shared" si="82"/>
        <v>0</v>
      </c>
      <c r="S417" s="321">
        <f t="shared" si="73"/>
        <v>0</v>
      </c>
    </row>
    <row r="418" spans="1:19">
      <c r="A418" s="154"/>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0.02</v>
      </c>
      <c r="R418" s="669">
        <f t="shared" si="82"/>
        <v>0</v>
      </c>
      <c r="S418" s="321">
        <f t="shared" si="73"/>
        <v>0</v>
      </c>
    </row>
    <row r="419" spans="1:19">
      <c r="A419" s="154"/>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0.02</v>
      </c>
      <c r="R419" s="669">
        <f t="shared" si="82"/>
        <v>0</v>
      </c>
      <c r="S419" s="321">
        <f t="shared" si="73"/>
        <v>0</v>
      </c>
    </row>
    <row r="420" spans="1:19">
      <c r="A420" s="154"/>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0.02</v>
      </c>
      <c r="R420" s="669">
        <f t="shared" si="82"/>
        <v>0</v>
      </c>
      <c r="S420" s="321">
        <f t="shared" si="73"/>
        <v>0</v>
      </c>
    </row>
    <row r="421" spans="1:19">
      <c r="A421" s="154"/>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0.02</v>
      </c>
      <c r="R421" s="669">
        <f t="shared" si="82"/>
        <v>0</v>
      </c>
      <c r="S421" s="321">
        <f t="shared" si="73"/>
        <v>0</v>
      </c>
    </row>
    <row r="422" spans="1:19">
      <c r="A422" s="154"/>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0.02</v>
      </c>
      <c r="R422" s="669">
        <f t="shared" si="82"/>
        <v>0</v>
      </c>
      <c r="S422" s="321">
        <f t="shared" si="73"/>
        <v>0</v>
      </c>
    </row>
    <row r="423" spans="1:19">
      <c r="A423" s="154"/>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0.02</v>
      </c>
      <c r="R423" s="669">
        <f t="shared" si="82"/>
        <v>0</v>
      </c>
      <c r="S423" s="321">
        <f t="shared" ref="S423:S467" si="83">ROUND(R423*B423/10000,0)</f>
        <v>0</v>
      </c>
    </row>
    <row r="424" spans="1:19">
      <c r="A424" s="154"/>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0.02</v>
      </c>
      <c r="R424" s="669">
        <f t="shared" si="82"/>
        <v>0</v>
      </c>
      <c r="S424" s="321">
        <f t="shared" si="83"/>
        <v>0</v>
      </c>
    </row>
    <row r="425" spans="1:19">
      <c r="A425" s="154"/>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0.02</v>
      </c>
      <c r="R425" s="669">
        <f t="shared" si="82"/>
        <v>0</v>
      </c>
      <c r="S425" s="321">
        <f t="shared" si="83"/>
        <v>0</v>
      </c>
    </row>
    <row r="426" spans="1:19">
      <c r="A426" s="154"/>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0.02</v>
      </c>
      <c r="R426" s="669">
        <f t="shared" si="82"/>
        <v>0</v>
      </c>
      <c r="S426" s="321">
        <f t="shared" si="83"/>
        <v>0</v>
      </c>
    </row>
    <row r="427" spans="1:19">
      <c r="A427" s="154"/>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0.02</v>
      </c>
      <c r="R427" s="669">
        <f t="shared" si="82"/>
        <v>0</v>
      </c>
      <c r="S427" s="321">
        <f t="shared" si="83"/>
        <v>0</v>
      </c>
    </row>
    <row r="428" spans="1:19">
      <c r="A428" s="154"/>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0.02</v>
      </c>
      <c r="R428" s="669">
        <f t="shared" si="82"/>
        <v>0</v>
      </c>
      <c r="S428" s="321">
        <f t="shared" si="83"/>
        <v>0</v>
      </c>
    </row>
    <row r="429" spans="1:19">
      <c r="A429" s="154"/>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0.02</v>
      </c>
      <c r="R429" s="669">
        <f t="shared" si="82"/>
        <v>0</v>
      </c>
      <c r="S429" s="321">
        <f t="shared" si="83"/>
        <v>0</v>
      </c>
    </row>
    <row r="430" spans="1:19">
      <c r="A430" s="154"/>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0.02</v>
      </c>
      <c r="R430" s="669">
        <f t="shared" si="82"/>
        <v>0</v>
      </c>
      <c r="S430" s="321">
        <f t="shared" si="83"/>
        <v>0</v>
      </c>
    </row>
    <row r="431" spans="1:19">
      <c r="A431" s="154"/>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0.02</v>
      </c>
      <c r="R431" s="669">
        <f t="shared" si="82"/>
        <v>0</v>
      </c>
      <c r="S431" s="321">
        <f t="shared" si="83"/>
        <v>0</v>
      </c>
    </row>
    <row r="432" spans="1:19">
      <c r="A432" s="154"/>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0.02</v>
      </c>
      <c r="R432" s="669">
        <f t="shared" si="82"/>
        <v>0</v>
      </c>
      <c r="S432" s="321">
        <f t="shared" si="83"/>
        <v>0</v>
      </c>
    </row>
    <row r="433" spans="1:19">
      <c r="A433" s="154"/>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0.02</v>
      </c>
      <c r="R433" s="669">
        <f t="shared" si="82"/>
        <v>0</v>
      </c>
      <c r="S433" s="321">
        <f t="shared" si="83"/>
        <v>0</v>
      </c>
    </row>
    <row r="434" spans="1:19">
      <c r="A434" s="154"/>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0.02</v>
      </c>
      <c r="R434" s="669">
        <f t="shared" si="82"/>
        <v>0</v>
      </c>
      <c r="S434" s="321">
        <f t="shared" si="83"/>
        <v>0</v>
      </c>
    </row>
    <row r="435" spans="1:19">
      <c r="A435" s="154"/>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0.02</v>
      </c>
      <c r="R435" s="669">
        <f t="shared" si="82"/>
        <v>0</v>
      </c>
      <c r="S435" s="321">
        <f t="shared" si="83"/>
        <v>0</v>
      </c>
    </row>
    <row r="436" spans="1:19">
      <c r="A436" s="154"/>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0.02</v>
      </c>
      <c r="R436" s="669">
        <f t="shared" si="82"/>
        <v>0</v>
      </c>
      <c r="S436" s="321">
        <f t="shared" si="83"/>
        <v>0</v>
      </c>
    </row>
    <row r="437" spans="1:19">
      <c r="A437" s="154"/>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0.02</v>
      </c>
      <c r="R437" s="669">
        <f t="shared" si="82"/>
        <v>0</v>
      </c>
      <c r="S437" s="321">
        <f t="shared" si="83"/>
        <v>0</v>
      </c>
    </row>
    <row r="438" spans="1:19">
      <c r="A438" s="154"/>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0.02</v>
      </c>
      <c r="R438" s="669">
        <f t="shared" si="82"/>
        <v>0</v>
      </c>
      <c r="S438" s="321">
        <f t="shared" si="83"/>
        <v>0</v>
      </c>
    </row>
    <row r="439" spans="1:19">
      <c r="A439" s="154"/>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0.02</v>
      </c>
      <c r="R439" s="669">
        <f t="shared" si="82"/>
        <v>0</v>
      </c>
      <c r="S439" s="321">
        <f t="shared" si="83"/>
        <v>0</v>
      </c>
    </row>
    <row r="440" spans="1:19">
      <c r="A440" s="154"/>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0.02</v>
      </c>
      <c r="R440" s="669">
        <f t="shared" si="82"/>
        <v>0</v>
      </c>
      <c r="S440" s="321">
        <f t="shared" si="83"/>
        <v>0</v>
      </c>
    </row>
    <row r="441" spans="1:19">
      <c r="A441" s="154"/>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0.02</v>
      </c>
      <c r="R441" s="669">
        <f t="shared" si="82"/>
        <v>0</v>
      </c>
      <c r="S441" s="321">
        <f t="shared" si="83"/>
        <v>0</v>
      </c>
    </row>
    <row r="442" spans="1:19">
      <c r="A442" s="154"/>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0.02</v>
      </c>
      <c r="R442" s="669">
        <f t="shared" si="82"/>
        <v>0</v>
      </c>
      <c r="S442" s="321">
        <f t="shared" si="83"/>
        <v>0</v>
      </c>
    </row>
    <row r="443" spans="1:19">
      <c r="A443" s="154"/>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0.02</v>
      </c>
      <c r="R443" s="669">
        <f t="shared" si="82"/>
        <v>0</v>
      </c>
      <c r="S443" s="321">
        <f t="shared" si="83"/>
        <v>0</v>
      </c>
    </row>
    <row r="444" spans="1:19">
      <c r="A444" s="154"/>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0.02</v>
      </c>
      <c r="R444" s="669">
        <f t="shared" si="82"/>
        <v>0</v>
      </c>
      <c r="S444" s="321">
        <f t="shared" si="83"/>
        <v>0</v>
      </c>
    </row>
    <row r="445" spans="1:19">
      <c r="A445" s="154"/>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0.02</v>
      </c>
      <c r="R445" s="669">
        <f t="shared" si="82"/>
        <v>0</v>
      </c>
      <c r="S445" s="321">
        <f t="shared" si="83"/>
        <v>0</v>
      </c>
    </row>
    <row r="446" spans="1:19">
      <c r="A446" s="154"/>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0.02</v>
      </c>
      <c r="R446" s="669">
        <f t="shared" si="82"/>
        <v>0</v>
      </c>
      <c r="S446" s="321">
        <f t="shared" si="83"/>
        <v>0</v>
      </c>
    </row>
    <row r="447" spans="1:19">
      <c r="A447" s="154"/>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0.02</v>
      </c>
      <c r="R447" s="669">
        <f t="shared" si="82"/>
        <v>0</v>
      </c>
      <c r="S447" s="321">
        <f t="shared" si="83"/>
        <v>0</v>
      </c>
    </row>
    <row r="448" spans="1:19">
      <c r="A448" s="154"/>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0.02</v>
      </c>
      <c r="R448" s="669">
        <f t="shared" si="82"/>
        <v>0</v>
      </c>
      <c r="S448" s="321">
        <f t="shared" si="83"/>
        <v>0</v>
      </c>
    </row>
    <row r="449" spans="1:19">
      <c r="A449" s="154"/>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0.02</v>
      </c>
      <c r="R449" s="669">
        <f t="shared" si="82"/>
        <v>0</v>
      </c>
      <c r="S449" s="321">
        <f t="shared" si="83"/>
        <v>0</v>
      </c>
    </row>
    <row r="450" spans="1:19">
      <c r="A450" s="154"/>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0.02</v>
      </c>
      <c r="R450" s="669">
        <f t="shared" si="82"/>
        <v>0</v>
      </c>
      <c r="S450" s="321">
        <f t="shared" si="83"/>
        <v>0</v>
      </c>
    </row>
    <row r="451" spans="1:19">
      <c r="A451" s="154"/>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0.02</v>
      </c>
      <c r="R451" s="669">
        <f t="shared" si="82"/>
        <v>0</v>
      </c>
      <c r="S451" s="321">
        <f t="shared" si="83"/>
        <v>0</v>
      </c>
    </row>
    <row r="452" spans="1:19">
      <c r="A452" s="154"/>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0.02</v>
      </c>
      <c r="R452" s="669">
        <f t="shared" si="82"/>
        <v>0</v>
      </c>
      <c r="S452" s="321">
        <f t="shared" si="83"/>
        <v>0</v>
      </c>
    </row>
    <row r="453" spans="1:19">
      <c r="A453" s="154"/>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0.02</v>
      </c>
      <c r="R453" s="669">
        <f t="shared" si="82"/>
        <v>0</v>
      </c>
      <c r="S453" s="321">
        <f t="shared" si="83"/>
        <v>0</v>
      </c>
    </row>
    <row r="454" spans="1:19">
      <c r="A454" s="154"/>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0.02</v>
      </c>
      <c r="R454" s="669">
        <f t="shared" si="82"/>
        <v>0</v>
      </c>
      <c r="S454" s="321">
        <f t="shared" si="83"/>
        <v>0</v>
      </c>
    </row>
    <row r="455" spans="1:19">
      <c r="A455" s="154"/>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0.02</v>
      </c>
      <c r="R455" s="669">
        <f t="shared" si="82"/>
        <v>0</v>
      </c>
      <c r="S455" s="321">
        <f t="shared" si="83"/>
        <v>0</v>
      </c>
    </row>
    <row r="456" spans="1:19">
      <c r="A456" s="154"/>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0.02</v>
      </c>
      <c r="R456" s="669">
        <f t="shared" si="82"/>
        <v>0</v>
      </c>
      <c r="S456" s="321">
        <f t="shared" si="83"/>
        <v>0</v>
      </c>
    </row>
    <row r="457" spans="1:19">
      <c r="A457" s="154"/>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0.02</v>
      </c>
      <c r="R457" s="669">
        <f t="shared" si="82"/>
        <v>0</v>
      </c>
      <c r="S457" s="321">
        <f t="shared" si="83"/>
        <v>0</v>
      </c>
    </row>
    <row r="458" spans="1:19">
      <c r="A458" s="154"/>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0.02</v>
      </c>
      <c r="R458" s="669">
        <f t="shared" si="82"/>
        <v>0</v>
      </c>
      <c r="S458" s="321">
        <f t="shared" si="83"/>
        <v>0</v>
      </c>
    </row>
    <row r="459" spans="1:19">
      <c r="A459" s="154"/>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0.02</v>
      </c>
      <c r="R459" s="669">
        <f t="shared" si="82"/>
        <v>0</v>
      </c>
      <c r="S459" s="321">
        <f t="shared" si="83"/>
        <v>0</v>
      </c>
    </row>
    <row r="460" spans="1:19">
      <c r="A460" s="154"/>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0.02</v>
      </c>
      <c r="R460" s="669">
        <f t="shared" si="82"/>
        <v>0</v>
      </c>
      <c r="S460" s="321">
        <f t="shared" si="83"/>
        <v>0</v>
      </c>
    </row>
    <row r="461" spans="1:19">
      <c r="A461" s="154"/>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0.02</v>
      </c>
      <c r="R461" s="669">
        <f t="shared" si="82"/>
        <v>0</v>
      </c>
      <c r="S461" s="321">
        <f t="shared" si="83"/>
        <v>0</v>
      </c>
    </row>
    <row r="462" spans="1:19">
      <c r="A462" s="154"/>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0.02</v>
      </c>
      <c r="R462" s="669">
        <f t="shared" si="82"/>
        <v>0</v>
      </c>
      <c r="S462" s="321">
        <f t="shared" si="83"/>
        <v>0</v>
      </c>
    </row>
    <row r="463" spans="1:19">
      <c r="A463" s="154"/>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0.02</v>
      </c>
      <c r="R463" s="669">
        <f t="shared" si="82"/>
        <v>0</v>
      </c>
      <c r="S463" s="321">
        <f t="shared" si="83"/>
        <v>0</v>
      </c>
    </row>
    <row r="464" spans="1:19">
      <c r="A464" s="154"/>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0.02</v>
      </c>
      <c r="R464" s="669">
        <f t="shared" si="82"/>
        <v>0</v>
      </c>
      <c r="S464" s="321">
        <f t="shared" si="83"/>
        <v>0</v>
      </c>
    </row>
    <row r="465" spans="1:19">
      <c r="A465" s="154"/>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0.02</v>
      </c>
      <c r="R465" s="669">
        <f t="shared" si="82"/>
        <v>0</v>
      </c>
      <c r="S465" s="321">
        <f t="shared" si="83"/>
        <v>0</v>
      </c>
    </row>
    <row r="466" spans="1:19">
      <c r="A466" s="154"/>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0.02</v>
      </c>
      <c r="R466" s="669">
        <f t="shared" si="82"/>
        <v>0</v>
      </c>
      <c r="S466" s="321">
        <f t="shared" si="83"/>
        <v>0</v>
      </c>
    </row>
    <row r="467" spans="1:19">
      <c r="A467" s="154"/>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0.02</v>
      </c>
      <c r="R467" s="669">
        <f t="shared" si="82"/>
        <v>0</v>
      </c>
      <c r="S467" s="321">
        <f t="shared" si="83"/>
        <v>0</v>
      </c>
    </row>
    <row r="468" spans="1:19">
      <c r="A468" s="154"/>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0.02</v>
      </c>
      <c r="R468" s="669">
        <f t="shared" si="82"/>
        <v>0</v>
      </c>
      <c r="S468" s="321">
        <f t="shared" ref="S468:S497" si="84">ROUND(R468*B468/10000,0)</f>
        <v>0</v>
      </c>
    </row>
    <row r="469" spans="1:19">
      <c r="A469" s="154"/>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0.02</v>
      </c>
      <c r="R469" s="669">
        <f t="shared" si="82"/>
        <v>0</v>
      </c>
      <c r="S469" s="321">
        <f t="shared" si="84"/>
        <v>0</v>
      </c>
    </row>
    <row r="470" spans="1:19">
      <c r="A470" s="154"/>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0.02</v>
      </c>
      <c r="R470" s="669">
        <f t="shared" si="82"/>
        <v>0</v>
      </c>
      <c r="S470" s="321">
        <f t="shared" si="84"/>
        <v>0</v>
      </c>
    </row>
    <row r="471" spans="1:19">
      <c r="A471" s="154"/>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0.02</v>
      </c>
      <c r="R471" s="669">
        <f t="shared" si="82"/>
        <v>0</v>
      </c>
      <c r="S471" s="321">
        <f t="shared" si="84"/>
        <v>0</v>
      </c>
    </row>
    <row r="472" spans="1:19">
      <c r="A472" s="154"/>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0.02</v>
      </c>
      <c r="R472" s="669">
        <f t="shared" si="82"/>
        <v>0</v>
      </c>
      <c r="S472" s="321">
        <f t="shared" si="84"/>
        <v>0</v>
      </c>
    </row>
    <row r="473" spans="1:19">
      <c r="A473" s="154"/>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0.02</v>
      </c>
      <c r="R473" s="669">
        <f t="shared" si="82"/>
        <v>0</v>
      </c>
      <c r="S473" s="321">
        <f t="shared" si="84"/>
        <v>0</v>
      </c>
    </row>
    <row r="474" spans="1:19">
      <c r="A474" s="154"/>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0.02</v>
      </c>
      <c r="R474" s="669">
        <f t="shared" ref="R474:R524" si="93">IF(B474="",0,ROUND($R$24*C474*E474*G474*I474*K474*M474*O474*Q474,0))</f>
        <v>0</v>
      </c>
      <c r="S474" s="321">
        <f t="shared" si="84"/>
        <v>0</v>
      </c>
    </row>
    <row r="475" spans="1:19">
      <c r="A475" s="154"/>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0.02</v>
      </c>
      <c r="R475" s="669">
        <f t="shared" si="93"/>
        <v>0</v>
      </c>
      <c r="S475" s="321">
        <f t="shared" si="84"/>
        <v>0</v>
      </c>
    </row>
    <row r="476" spans="1:19">
      <c r="A476" s="154"/>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0.02</v>
      </c>
      <c r="R476" s="669">
        <f t="shared" si="93"/>
        <v>0</v>
      </c>
      <c r="S476" s="321">
        <f t="shared" si="84"/>
        <v>0</v>
      </c>
    </row>
    <row r="477" spans="1:19">
      <c r="A477" s="154"/>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0.02</v>
      </c>
      <c r="R477" s="669">
        <f t="shared" si="93"/>
        <v>0</v>
      </c>
      <c r="S477" s="321">
        <f t="shared" si="84"/>
        <v>0</v>
      </c>
    </row>
    <row r="478" spans="1:19">
      <c r="A478" s="154"/>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0.02</v>
      </c>
      <c r="R478" s="669">
        <f t="shared" si="93"/>
        <v>0</v>
      </c>
      <c r="S478" s="321">
        <f t="shared" si="84"/>
        <v>0</v>
      </c>
    </row>
    <row r="479" spans="1:19">
      <c r="A479" s="154"/>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0.02</v>
      </c>
      <c r="R479" s="669">
        <f t="shared" si="93"/>
        <v>0</v>
      </c>
      <c r="S479" s="321">
        <f t="shared" si="84"/>
        <v>0</v>
      </c>
    </row>
    <row r="480" spans="1:19">
      <c r="A480" s="154"/>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0.02</v>
      </c>
      <c r="R480" s="669">
        <f t="shared" si="93"/>
        <v>0</v>
      </c>
      <c r="S480" s="321">
        <f t="shared" si="84"/>
        <v>0</v>
      </c>
    </row>
    <row r="481" spans="1:19">
      <c r="A481" s="154"/>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0.02</v>
      </c>
      <c r="R481" s="669">
        <f t="shared" si="93"/>
        <v>0</v>
      </c>
      <c r="S481" s="321">
        <f t="shared" si="84"/>
        <v>0</v>
      </c>
    </row>
    <row r="482" spans="1:19">
      <c r="A482" s="154"/>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0.02</v>
      </c>
      <c r="R482" s="669">
        <f t="shared" si="93"/>
        <v>0</v>
      </c>
      <c r="S482" s="321">
        <f t="shared" si="84"/>
        <v>0</v>
      </c>
    </row>
    <row r="483" spans="1:19">
      <c r="A483" s="154"/>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0.02</v>
      </c>
      <c r="R483" s="669">
        <f t="shared" si="93"/>
        <v>0</v>
      </c>
      <c r="S483" s="321">
        <f t="shared" si="84"/>
        <v>0</v>
      </c>
    </row>
    <row r="484" spans="1:19">
      <c r="A484" s="154"/>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0.02</v>
      </c>
      <c r="R484" s="669">
        <f t="shared" si="93"/>
        <v>0</v>
      </c>
      <c r="S484" s="321">
        <f t="shared" si="84"/>
        <v>0</v>
      </c>
    </row>
    <row r="485" spans="1:19">
      <c r="A485" s="154"/>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0.02</v>
      </c>
      <c r="R485" s="669">
        <f t="shared" si="93"/>
        <v>0</v>
      </c>
      <c r="S485" s="321">
        <f t="shared" si="84"/>
        <v>0</v>
      </c>
    </row>
    <row r="486" spans="1:19">
      <c r="A486" s="154"/>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0.02</v>
      </c>
      <c r="R486" s="669">
        <f t="shared" si="93"/>
        <v>0</v>
      </c>
      <c r="S486" s="321">
        <f t="shared" si="84"/>
        <v>0</v>
      </c>
    </row>
    <row r="487" spans="1:19">
      <c r="A487" s="154"/>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0.02</v>
      </c>
      <c r="R487" s="669">
        <f t="shared" si="93"/>
        <v>0</v>
      </c>
      <c r="S487" s="321">
        <f t="shared" si="84"/>
        <v>0</v>
      </c>
    </row>
    <row r="488" spans="1:19">
      <c r="A488" s="154"/>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0.02</v>
      </c>
      <c r="R488" s="669">
        <f t="shared" si="93"/>
        <v>0</v>
      </c>
      <c r="S488" s="321">
        <f t="shared" si="84"/>
        <v>0</v>
      </c>
    </row>
    <row r="489" spans="1:19">
      <c r="A489" s="154"/>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0.02</v>
      </c>
      <c r="R489" s="669">
        <f t="shared" si="93"/>
        <v>0</v>
      </c>
      <c r="S489" s="321">
        <f t="shared" si="84"/>
        <v>0</v>
      </c>
    </row>
    <row r="490" spans="1:19">
      <c r="A490" s="154"/>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0.02</v>
      </c>
      <c r="R490" s="669">
        <f t="shared" si="93"/>
        <v>0</v>
      </c>
      <c r="S490" s="321">
        <f t="shared" si="84"/>
        <v>0</v>
      </c>
    </row>
    <row r="491" spans="1:19">
      <c r="A491" s="154"/>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0.02</v>
      </c>
      <c r="R491" s="669">
        <f t="shared" si="93"/>
        <v>0</v>
      </c>
      <c r="S491" s="321">
        <f t="shared" si="84"/>
        <v>0</v>
      </c>
    </row>
    <row r="492" spans="1:19">
      <c r="A492" s="154"/>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0.02</v>
      </c>
      <c r="R492" s="669">
        <f t="shared" si="93"/>
        <v>0</v>
      </c>
      <c r="S492" s="321">
        <f t="shared" si="84"/>
        <v>0</v>
      </c>
    </row>
    <row r="493" spans="1:19">
      <c r="A493" s="154"/>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0.02</v>
      </c>
      <c r="R493" s="669">
        <f t="shared" si="93"/>
        <v>0</v>
      </c>
      <c r="S493" s="321">
        <f t="shared" si="84"/>
        <v>0</v>
      </c>
    </row>
    <row r="494" spans="1:19">
      <c r="A494" s="154"/>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0.02</v>
      </c>
      <c r="R494" s="669">
        <f t="shared" si="93"/>
        <v>0</v>
      </c>
      <c r="S494" s="321">
        <f t="shared" si="84"/>
        <v>0</v>
      </c>
    </row>
    <row r="495" spans="1:19">
      <c r="A495" s="154"/>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0.02</v>
      </c>
      <c r="R495" s="669">
        <f t="shared" si="93"/>
        <v>0</v>
      </c>
      <c r="S495" s="321">
        <f t="shared" si="84"/>
        <v>0</v>
      </c>
    </row>
    <row r="496" spans="1:19">
      <c r="A496" s="154"/>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0.02</v>
      </c>
      <c r="R496" s="669">
        <f t="shared" si="93"/>
        <v>0</v>
      </c>
      <c r="S496" s="321">
        <f t="shared" si="84"/>
        <v>0</v>
      </c>
    </row>
    <row r="497" spans="1:19">
      <c r="A497" s="154"/>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0.02</v>
      </c>
      <c r="R497" s="669">
        <f t="shared" si="93"/>
        <v>0</v>
      </c>
      <c r="S497" s="321">
        <f t="shared" si="84"/>
        <v>0</v>
      </c>
    </row>
    <row r="498" spans="1:19">
      <c r="A498" s="154"/>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0.02</v>
      </c>
      <c r="R498" s="669">
        <f t="shared" si="93"/>
        <v>0</v>
      </c>
      <c r="S498" s="321">
        <f t="shared" ref="S498:S524" si="94">ROUND(R498*B498/10000,0)</f>
        <v>0</v>
      </c>
    </row>
    <row r="499" spans="1:19">
      <c r="A499" s="154"/>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0.02</v>
      </c>
      <c r="R499" s="669">
        <f t="shared" si="93"/>
        <v>0</v>
      </c>
      <c r="S499" s="321">
        <f t="shared" si="94"/>
        <v>0</v>
      </c>
    </row>
    <row r="500" spans="1:19">
      <c r="A500" s="154"/>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0.02</v>
      </c>
      <c r="R500" s="669">
        <f t="shared" si="93"/>
        <v>0</v>
      </c>
      <c r="S500" s="321">
        <f t="shared" si="94"/>
        <v>0</v>
      </c>
    </row>
    <row r="501" spans="1:19">
      <c r="A501" s="154"/>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0.02</v>
      </c>
      <c r="R501" s="669">
        <f t="shared" si="93"/>
        <v>0</v>
      </c>
      <c r="S501" s="321">
        <f t="shared" si="94"/>
        <v>0</v>
      </c>
    </row>
    <row r="502" spans="1:19">
      <c r="A502" s="154"/>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0.02</v>
      </c>
      <c r="R502" s="669">
        <f t="shared" si="93"/>
        <v>0</v>
      </c>
      <c r="S502" s="321">
        <f t="shared" si="94"/>
        <v>0</v>
      </c>
    </row>
    <row r="503" spans="1:19">
      <c r="A503" s="154"/>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0.02</v>
      </c>
      <c r="R503" s="669">
        <f t="shared" si="93"/>
        <v>0</v>
      </c>
      <c r="S503" s="321">
        <f t="shared" si="94"/>
        <v>0</v>
      </c>
    </row>
    <row r="504" spans="1:19">
      <c r="A504" s="154"/>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0.02</v>
      </c>
      <c r="R504" s="669">
        <f t="shared" si="93"/>
        <v>0</v>
      </c>
      <c r="S504" s="321">
        <f t="shared" si="94"/>
        <v>0</v>
      </c>
    </row>
    <row r="505" spans="1:19">
      <c r="A505" s="154"/>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0.02</v>
      </c>
      <c r="R505" s="669">
        <f t="shared" si="93"/>
        <v>0</v>
      </c>
      <c r="S505" s="321">
        <f t="shared" si="94"/>
        <v>0</v>
      </c>
    </row>
    <row r="506" spans="1:19">
      <c r="A506" s="154"/>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0.02</v>
      </c>
      <c r="R506" s="669">
        <f t="shared" si="93"/>
        <v>0</v>
      </c>
      <c r="S506" s="321">
        <f t="shared" si="94"/>
        <v>0</v>
      </c>
    </row>
    <row r="507" spans="1:19">
      <c r="A507" s="154"/>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0.02</v>
      </c>
      <c r="R507" s="669">
        <f t="shared" si="93"/>
        <v>0</v>
      </c>
      <c r="S507" s="321">
        <f t="shared" si="94"/>
        <v>0</v>
      </c>
    </row>
    <row r="508" spans="1:19">
      <c r="A508" s="154"/>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0.02</v>
      </c>
      <c r="R508" s="669">
        <f t="shared" si="93"/>
        <v>0</v>
      </c>
      <c r="S508" s="321">
        <f t="shared" si="94"/>
        <v>0</v>
      </c>
    </row>
    <row r="509" spans="1:19">
      <c r="A509" s="154"/>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0.02</v>
      </c>
      <c r="R509" s="669">
        <f t="shared" si="93"/>
        <v>0</v>
      </c>
      <c r="S509" s="321">
        <f t="shared" si="94"/>
        <v>0</v>
      </c>
    </row>
    <row r="510" spans="1:19">
      <c r="A510" s="154"/>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0.02</v>
      </c>
      <c r="R510" s="669">
        <f t="shared" si="93"/>
        <v>0</v>
      </c>
      <c r="S510" s="321">
        <f t="shared" si="94"/>
        <v>0</v>
      </c>
    </row>
    <row r="511" spans="1:19">
      <c r="A511" s="154"/>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0.02</v>
      </c>
      <c r="R511" s="669">
        <f t="shared" si="93"/>
        <v>0</v>
      </c>
      <c r="S511" s="321">
        <f t="shared" si="94"/>
        <v>0</v>
      </c>
    </row>
    <row r="512" spans="1:19">
      <c r="A512" s="154"/>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0.02</v>
      </c>
      <c r="R512" s="669">
        <f t="shared" si="93"/>
        <v>0</v>
      </c>
      <c r="S512" s="321">
        <f t="shared" si="94"/>
        <v>0</v>
      </c>
    </row>
    <row r="513" spans="1:19">
      <c r="A513" s="154"/>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0.02</v>
      </c>
      <c r="R513" s="669">
        <f t="shared" si="93"/>
        <v>0</v>
      </c>
      <c r="S513" s="321">
        <f t="shared" si="94"/>
        <v>0</v>
      </c>
    </row>
    <row r="514" spans="1:19">
      <c r="A514" s="154"/>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0.02</v>
      </c>
      <c r="R514" s="669">
        <f t="shared" si="93"/>
        <v>0</v>
      </c>
      <c r="S514" s="321">
        <f t="shared" si="94"/>
        <v>0</v>
      </c>
    </row>
    <row r="515" spans="1:19">
      <c r="A515" s="154"/>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0.02</v>
      </c>
      <c r="R515" s="669">
        <f t="shared" si="93"/>
        <v>0</v>
      </c>
      <c r="S515" s="321">
        <f t="shared" si="94"/>
        <v>0</v>
      </c>
    </row>
    <row r="516" spans="1:19">
      <c r="A516" s="154"/>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0.02</v>
      </c>
      <c r="R516" s="669">
        <f t="shared" si="93"/>
        <v>0</v>
      </c>
      <c r="S516" s="321">
        <f t="shared" si="94"/>
        <v>0</v>
      </c>
    </row>
    <row r="517" spans="1:19">
      <c r="A517" s="154"/>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0.02</v>
      </c>
      <c r="R517" s="669">
        <f t="shared" si="93"/>
        <v>0</v>
      </c>
      <c r="S517" s="321">
        <f t="shared" si="94"/>
        <v>0</v>
      </c>
    </row>
    <row r="518" spans="1:19">
      <c r="A518" s="154"/>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0.02</v>
      </c>
      <c r="R518" s="669">
        <f t="shared" si="93"/>
        <v>0</v>
      </c>
      <c r="S518" s="321">
        <f t="shared" si="94"/>
        <v>0</v>
      </c>
    </row>
    <row r="519" spans="1:19">
      <c r="A519" s="154"/>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0.02</v>
      </c>
      <c r="R519" s="669">
        <f t="shared" si="93"/>
        <v>0</v>
      </c>
      <c r="S519" s="321">
        <f t="shared" si="94"/>
        <v>0</v>
      </c>
    </row>
    <row r="520" spans="1:19">
      <c r="A520" s="154"/>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0.02</v>
      </c>
      <c r="R520" s="669">
        <f t="shared" si="93"/>
        <v>0</v>
      </c>
      <c r="S520" s="321">
        <f t="shared" si="94"/>
        <v>0</v>
      </c>
    </row>
    <row r="521" spans="1:19">
      <c r="A521" s="154"/>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0.02</v>
      </c>
      <c r="R521" s="669">
        <f t="shared" si="93"/>
        <v>0</v>
      </c>
      <c r="S521" s="321">
        <f t="shared" si="94"/>
        <v>0</v>
      </c>
    </row>
    <row r="522" spans="1:19">
      <c r="A522" s="154"/>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0.02</v>
      </c>
      <c r="R522" s="669">
        <f t="shared" si="93"/>
        <v>0</v>
      </c>
      <c r="S522" s="321">
        <f t="shared" si="94"/>
        <v>0</v>
      </c>
    </row>
    <row r="523" spans="1:19">
      <c r="A523" s="154"/>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0.02</v>
      </c>
      <c r="R523" s="669">
        <f t="shared" si="93"/>
        <v>0</v>
      </c>
      <c r="S523" s="321">
        <f t="shared" si="94"/>
        <v>0</v>
      </c>
    </row>
    <row r="524" spans="1:19">
      <c r="A524" s="154"/>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0.02</v>
      </c>
      <c r="R524" s="669">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31258</v>
      </c>
      <c r="C2" s="2" t="s">
        <v>133</v>
      </c>
      <c r="D2" s="204"/>
      <c r="E2" s="204"/>
      <c r="F2" s="204"/>
      <c r="G2" s="204"/>
    </row>
    <row r="3" spans="1:7" s="205" customFormat="1" ht="18" customHeight="1" thickBot="1">
      <c r="A3" s="208" t="s">
        <v>85</v>
      </c>
      <c r="B3" s="209">
        <f ca="1">ROUND(B2*10000/'数据-汇总表'!E3,0)</f>
        <v>12571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4" t="s">
        <v>610</v>
      </c>
      <c r="B6" s="220" t="s">
        <v>91</v>
      </c>
      <c r="C6" s="221">
        <v>20000</v>
      </c>
      <c r="D6" s="222"/>
      <c r="E6" s="223"/>
      <c r="F6" s="223"/>
      <c r="G6" s="224"/>
    </row>
    <row r="7" spans="1:7" s="219" customFormat="1" ht="13.5" customHeight="1">
      <c r="A7" s="864" t="s">
        <v>611</v>
      </c>
      <c r="B7" s="220" t="s">
        <v>57</v>
      </c>
      <c r="C7" s="225">
        <f>ROUND(C6*F7,0)</f>
        <v>610</v>
      </c>
      <c r="D7" s="225"/>
      <c r="E7" s="223"/>
      <c r="F7" s="226">
        <f>'数据-取费表'!B48+'数据-取费表'!B49</f>
        <v>3.0499999999999999E-2</v>
      </c>
      <c r="G7" s="224"/>
    </row>
    <row r="8" spans="1:7" s="228" customFormat="1">
      <c r="A8" s="864" t="s">
        <v>612</v>
      </c>
      <c r="B8" s="220" t="s">
        <v>92</v>
      </c>
      <c r="C8" s="225" t="str">
        <f>IF(G8="已包含在土地购买价格中","0",'数据-取费表'!B29)</f>
        <v>0</v>
      </c>
      <c r="D8" s="227"/>
      <c r="E8" s="225"/>
      <c r="F8" s="226"/>
      <c r="G8" s="1" t="s">
        <v>876</v>
      </c>
    </row>
    <row r="9" spans="1:7" s="219" customFormat="1" ht="13.5" customHeight="1">
      <c r="A9" s="865" t="s">
        <v>619</v>
      </c>
      <c r="B9" s="229" t="s">
        <v>93</v>
      </c>
      <c r="C9" s="230">
        <f>ROUND(D9*E9/10000,0)</f>
        <v>0</v>
      </c>
      <c r="D9" s="932">
        <f>'数据-汇总表'!E5</f>
        <v>0</v>
      </c>
      <c r="E9" s="230">
        <f>'数据-取费表'!B27</f>
        <v>0</v>
      </c>
      <c r="F9" s="226"/>
      <c r="G9" s="231"/>
    </row>
    <row r="10" spans="1:7" s="219" customFormat="1" ht="13.5" customHeight="1">
      <c r="A10" s="865" t="s">
        <v>620</v>
      </c>
      <c r="B10" s="229" t="s">
        <v>94</v>
      </c>
      <c r="C10" s="230">
        <f>ROUND(D10*E10/10000,0)</f>
        <v>497</v>
      </c>
      <c r="D10" s="932">
        <f>'数据-汇总表'!E6</f>
        <v>24865.040000000005</v>
      </c>
      <c r="E10" s="230">
        <f>'数据-取费表'!B28</f>
        <v>200</v>
      </c>
      <c r="F10" s="226"/>
      <c r="G10" s="231"/>
    </row>
    <row r="11" spans="1:7" s="219" customFormat="1" ht="13.5" hidden="1" customHeight="1">
      <c r="A11" s="232" t="s">
        <v>7</v>
      </c>
      <c r="B11" s="220" t="s">
        <v>95</v>
      </c>
      <c r="C11" s="216"/>
      <c r="D11" s="934"/>
      <c r="E11" s="223"/>
      <c r="F11" s="223"/>
      <c r="G11" s="224"/>
    </row>
    <row r="12" spans="1:7" s="219" customFormat="1" ht="13.5" hidden="1" customHeight="1">
      <c r="A12" s="232" t="s">
        <v>8</v>
      </c>
      <c r="B12" s="220" t="s">
        <v>96</v>
      </c>
      <c r="C12" s="216">
        <v>0</v>
      </c>
      <c r="D12" s="934"/>
      <c r="E12" s="233"/>
      <c r="F12" s="226">
        <v>3.0499999999999999E-2</v>
      </c>
      <c r="G12" s="224"/>
    </row>
    <row r="13" spans="1:7" s="219" customFormat="1" ht="13.5" hidden="1" customHeight="1">
      <c r="A13" s="232" t="s">
        <v>9</v>
      </c>
      <c r="B13" s="220" t="s">
        <v>97</v>
      </c>
      <c r="C13" s="216"/>
      <c r="D13" s="934"/>
      <c r="E13" s="223"/>
      <c r="F13" s="223"/>
      <c r="G13" s="224"/>
    </row>
    <row r="14" spans="1:7" s="219" customFormat="1" ht="13.5" hidden="1" customHeight="1">
      <c r="A14" s="232" t="s">
        <v>10</v>
      </c>
      <c r="B14" s="220" t="s">
        <v>92</v>
      </c>
      <c r="C14" s="216"/>
      <c r="D14" s="934"/>
      <c r="E14" s="223"/>
      <c r="F14" s="223"/>
      <c r="G14" s="224" t="s">
        <v>98</v>
      </c>
    </row>
    <row r="15" spans="1:7" s="219" customFormat="1" ht="13.5" hidden="1" customHeight="1">
      <c r="A15" s="232" t="s">
        <v>11</v>
      </c>
      <c r="B15" s="220" t="s">
        <v>99</v>
      </c>
      <c r="C15" s="225"/>
      <c r="D15" s="934"/>
      <c r="E15" s="223"/>
      <c r="F15" s="223"/>
      <c r="G15" s="224" t="s">
        <v>100</v>
      </c>
    </row>
    <row r="16" spans="1:7" s="219" customFormat="1" ht="13.5" hidden="1" customHeight="1">
      <c r="A16" s="232" t="s">
        <v>12</v>
      </c>
      <c r="B16" s="220" t="s">
        <v>92</v>
      </c>
      <c r="C16" s="225"/>
      <c r="D16" s="934"/>
      <c r="E16" s="223"/>
      <c r="F16" s="223"/>
      <c r="G16" s="224"/>
    </row>
    <row r="17" spans="1:7" s="219" customFormat="1" ht="13.5" hidden="1" customHeight="1">
      <c r="A17" s="232" t="s">
        <v>13</v>
      </c>
      <c r="B17" s="220" t="s">
        <v>101</v>
      </c>
      <c r="C17" s="234"/>
      <c r="D17" s="935"/>
      <c r="E17" s="234"/>
      <c r="F17" s="234"/>
      <c r="G17" s="224" t="s">
        <v>100</v>
      </c>
    </row>
    <row r="18" spans="1:7" s="219" customFormat="1" ht="13.5" hidden="1" customHeight="1">
      <c r="A18" s="232" t="s">
        <v>14</v>
      </c>
      <c r="B18" s="220" t="s">
        <v>102</v>
      </c>
      <c r="C18" s="225">
        <v>0</v>
      </c>
      <c r="D18" s="934"/>
      <c r="E18" s="223"/>
      <c r="F18" s="226">
        <v>3.0499999999999999E-2</v>
      </c>
      <c r="G18" s="224" t="s">
        <v>103</v>
      </c>
    </row>
    <row r="19" spans="1:7" s="228" customFormat="1" ht="13.5" customHeight="1">
      <c r="A19" s="863" t="s">
        <v>842</v>
      </c>
      <c r="B19" s="215" t="s">
        <v>111</v>
      </c>
      <c r="C19" s="216">
        <f>IF(G19="已包含在土地取得成本中","0",ROUND(D19*E19/10000,0))</f>
        <v>497</v>
      </c>
      <c r="D19" s="936">
        <f>'数据-汇总表'!E3</f>
        <v>24865.040000000005</v>
      </c>
      <c r="E19" s="216">
        <f>'数据-取费表'!B31</f>
        <v>200</v>
      </c>
      <c r="F19" s="236"/>
      <c r="G19" s="1" t="s">
        <v>861</v>
      </c>
    </row>
    <row r="20" spans="1:7" s="219" customFormat="1" ht="13.5" customHeight="1">
      <c r="A20" s="863" t="s">
        <v>844</v>
      </c>
      <c r="B20" s="215" t="s">
        <v>104</v>
      </c>
      <c r="C20" s="237">
        <f>ROUND((C5+C19)*F20,0)</f>
        <v>422</v>
      </c>
      <c r="D20" s="237"/>
      <c r="E20" s="237"/>
      <c r="F20" s="238">
        <f>'数据-取费表'!B37</f>
        <v>0.02</v>
      </c>
      <c r="G20" s="1176" t="s">
        <v>855</v>
      </c>
    </row>
    <row r="21" spans="1:7" s="219" customFormat="1" ht="13.5" customHeight="1">
      <c r="A21" s="863" t="s">
        <v>846</v>
      </c>
      <c r="B21" s="215" t="s">
        <v>105</v>
      </c>
      <c r="C21" s="240">
        <f>F21</f>
        <v>0.02</v>
      </c>
      <c r="D21" s="241" t="s">
        <v>126</v>
      </c>
      <c r="E21" s="237"/>
      <c r="F21" s="238">
        <f>'数据-取费表'!B38</f>
        <v>0.02</v>
      </c>
      <c r="G21" s="239" t="s">
        <v>106</v>
      </c>
    </row>
    <row r="22" spans="1:7" s="219" customFormat="1" ht="13.5" customHeight="1">
      <c r="A22" s="863" t="s">
        <v>605</v>
      </c>
      <c r="B22" s="215" t="s">
        <v>107</v>
      </c>
      <c r="C22" s="1213">
        <f ca="1">ROUND(SUM(C23:C25),0)</f>
        <v>1806</v>
      </c>
      <c r="D22" s="240">
        <f ca="1">C26</f>
        <v>8.0000000000000004E-4</v>
      </c>
      <c r="E22" s="241" t="s">
        <v>126</v>
      </c>
      <c r="F22" s="242">
        <f ca="1">'数据-取费表'!B40</f>
        <v>4.1499999999999995E-2</v>
      </c>
      <c r="G22" s="1176" t="str">
        <f>IF('数据-取费表'!B22&lt;=1,"单利计息","复利计息")</f>
        <v>复利计息</v>
      </c>
    </row>
    <row r="23" spans="1:7" s="219" customFormat="1" ht="13.5" customHeight="1">
      <c r="A23" s="866" t="s">
        <v>613</v>
      </c>
      <c r="B23" s="220" t="s">
        <v>848</v>
      </c>
      <c r="C23" s="1214">
        <f ca="1">ROUND(IF('数据-取费表'!B22&lt;=1,C5*F22*'数据-取费表'!B23,C5*(POWER((1+F22),'数据-取费表'!B23)-1)),0)</f>
        <v>1746</v>
      </c>
      <c r="D23" s="243"/>
      <c r="E23" s="243"/>
      <c r="F23" s="244"/>
      <c r="G23" s="245" t="s">
        <v>108</v>
      </c>
    </row>
    <row r="24" spans="1:7" s="219" customFormat="1" ht="13.5" customHeight="1">
      <c r="A24" s="866" t="s">
        <v>611</v>
      </c>
      <c r="B24" s="220" t="s">
        <v>843</v>
      </c>
      <c r="C24" s="1214">
        <f ca="1">ROUND(IF('数据-取费表'!B22&lt;=1,C19*F22*('数据-取费表'!B19/2+'数据-取费表'!B21),C19*(POWER((1+F22),('数据-取费表'!B19/2+'数据-取费表'!B21))-1)),0)</f>
        <v>42</v>
      </c>
      <c r="D24" s="243"/>
      <c r="E24" s="243"/>
      <c r="F24" s="244"/>
      <c r="G24" s="245" t="s">
        <v>109</v>
      </c>
    </row>
    <row r="25" spans="1:7" s="219" customFormat="1" ht="24">
      <c r="A25" s="866" t="s">
        <v>612</v>
      </c>
      <c r="B25" s="220" t="s">
        <v>845</v>
      </c>
      <c r="C25" s="1214">
        <f ca="1">ROUND(IF('数据-取费表'!B22&lt;=1,C20*F22*'数据-取费表'!B23/2,C20*(POWER((1+F22),'数据-取费表'!B23/2)-1)),0)</f>
        <v>18</v>
      </c>
      <c r="D25" s="243"/>
      <c r="E25" s="246"/>
      <c r="F25" s="244"/>
      <c r="G25" s="247" t="s">
        <v>110</v>
      </c>
    </row>
    <row r="26" spans="1:7" s="219" customFormat="1">
      <c r="A26" s="866" t="s">
        <v>614</v>
      </c>
      <c r="B26" s="220" t="s">
        <v>847</v>
      </c>
      <c r="C26" s="243">
        <f ca="1">ROUND(IF('数据-取费表'!B22&lt;=1,F21*F22*'数据-取费表'!B23/2,F21*(POWER((1+F22),'数据-取费表'!B23/2)-1)),4)</f>
        <v>8.0000000000000004E-4</v>
      </c>
      <c r="D26" s="243"/>
      <c r="E26" s="246"/>
      <c r="F26" s="244"/>
      <c r="G26" s="248"/>
    </row>
    <row r="27" spans="1:7" s="219" customFormat="1" ht="24.75">
      <c r="A27" s="863" t="s">
        <v>606</v>
      </c>
      <c r="B27" s="249" t="s">
        <v>112</v>
      </c>
      <c r="C27" s="250">
        <f>C28</f>
        <v>4306</v>
      </c>
      <c r="D27" s="240">
        <f>C29</f>
        <v>4.0000000000000001E-3</v>
      </c>
      <c r="E27" s="241" t="s">
        <v>126</v>
      </c>
      <c r="F27" s="251">
        <f>'数据-取费表'!Q16</f>
        <v>0.2</v>
      </c>
      <c r="G27" s="252" t="s">
        <v>856</v>
      </c>
    </row>
    <row r="28" spans="1:7" s="219" customFormat="1" ht="13.5" customHeight="1">
      <c r="A28" s="866" t="s">
        <v>613</v>
      </c>
      <c r="B28" s="253" t="s">
        <v>849</v>
      </c>
      <c r="C28" s="254">
        <f>ROUND((C5+C19+C20)*F27*'数据-取费表'!B21/'数据-取费表'!B20,0)</f>
        <v>4306</v>
      </c>
      <c r="D28" s="240"/>
      <c r="E28" s="241"/>
      <c r="F28" s="251"/>
      <c r="G28" s="252"/>
    </row>
    <row r="29" spans="1:7" s="219" customFormat="1" ht="13.5" customHeight="1">
      <c r="A29" s="866" t="s">
        <v>611</v>
      </c>
      <c r="B29" s="253" t="s">
        <v>850</v>
      </c>
      <c r="C29" s="243">
        <f>ROUND(C21*F27*'数据-取费表'!B21/'数据-取费表'!B20,4)</f>
        <v>4.0000000000000001E-3</v>
      </c>
      <c r="D29" s="240"/>
      <c r="E29" s="241"/>
      <c r="F29" s="251"/>
      <c r="G29" s="252"/>
    </row>
    <row r="30" spans="1:7" s="219" customFormat="1" ht="13.5" customHeight="1">
      <c r="A30" s="863"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29984</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1205</v>
      </c>
      <c r="D33" s="237"/>
      <c r="E33" s="217"/>
      <c r="F33" s="246"/>
      <c r="G33" s="239"/>
    </row>
    <row r="34" spans="1:7" s="263" customFormat="1" ht="13.5" customHeight="1">
      <c r="A34" s="866" t="s">
        <v>613</v>
      </c>
      <c r="B34" s="220" t="s">
        <v>59</v>
      </c>
      <c r="C34" s="225">
        <f>IF(F34=100%,'数据-取费表'!M16-SUMIF('数据-取费表'!C:C,"公共配套",'数据-取费表'!M:M),'数据-取费表'!O16-SUMIF('数据-取费表'!C:C,"公共配套",'数据-取费表'!O:O))</f>
        <v>678</v>
      </c>
      <c r="D34" s="222"/>
      <c r="E34" s="225"/>
      <c r="F34" s="262">
        <f>IF('数据-取费表'!B24=0,1,'数据-取费表'!N16)</f>
        <v>1</v>
      </c>
      <c r="G34" s="224" t="s">
        <v>116</v>
      </c>
    </row>
    <row r="35" spans="1:7" ht="13.5" customHeight="1">
      <c r="A35" s="866" t="s">
        <v>615</v>
      </c>
      <c r="B35" s="220" t="s">
        <v>60</v>
      </c>
      <c r="C35" s="225">
        <f>ROUND(C34*F35,0)</f>
        <v>20</v>
      </c>
      <c r="D35" s="225"/>
      <c r="E35" s="225"/>
      <c r="F35" s="264">
        <f>'数据-取费表'!B33</f>
        <v>0.03</v>
      </c>
      <c r="G35" s="224" t="s">
        <v>117</v>
      </c>
    </row>
    <row r="36" spans="1:7" ht="24">
      <c r="A36" s="866"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6" t="s">
        <v>617</v>
      </c>
      <c r="B37" s="220" t="s">
        <v>118</v>
      </c>
      <c r="C37" s="254">
        <f>ROUND(E37*D37*F34/10000,0)</f>
        <v>497</v>
      </c>
      <c r="D37" s="222">
        <f>'数据-汇总表'!E3</f>
        <v>24865.040000000005</v>
      </c>
      <c r="E37" s="254">
        <f>'数据-取费表'!B35</f>
        <v>200</v>
      </c>
      <c r="F37" s="264"/>
      <c r="G37" s="266" t="s">
        <v>119</v>
      </c>
    </row>
    <row r="38" spans="1:7" ht="13.5" customHeight="1">
      <c r="A38" s="866" t="s">
        <v>618</v>
      </c>
      <c r="B38" s="220" t="s">
        <v>63</v>
      </c>
      <c r="C38" s="225">
        <f>ROUND(C34*F38,0)</f>
        <v>10</v>
      </c>
      <c r="D38" s="225"/>
      <c r="E38" s="225"/>
      <c r="F38" s="264">
        <f>'数据-取费表'!B36</f>
        <v>1.4999999999999999E-2</v>
      </c>
      <c r="G38" s="224" t="s">
        <v>117</v>
      </c>
    </row>
    <row r="39" spans="1:7" s="219" customFormat="1" ht="13.5" customHeight="1">
      <c r="A39" s="863" t="s">
        <v>602</v>
      </c>
      <c r="B39" s="215" t="s">
        <v>104</v>
      </c>
      <c r="C39" s="237">
        <f>ROUND(C33*F20,0)</f>
        <v>24</v>
      </c>
      <c r="D39" s="237"/>
      <c r="E39" s="237"/>
      <c r="F39" s="238"/>
      <c r="G39" s="1176" t="s">
        <v>858</v>
      </c>
    </row>
    <row r="40" spans="1:7" s="219" customFormat="1" ht="13.5" customHeight="1">
      <c r="A40" s="863" t="s">
        <v>603</v>
      </c>
      <c r="B40" s="215" t="s">
        <v>105</v>
      </c>
      <c r="C40" s="267">
        <f>F21</f>
        <v>0.02</v>
      </c>
      <c r="D40" s="241" t="s">
        <v>129</v>
      </c>
      <c r="E40" s="237"/>
      <c r="F40" s="238"/>
      <c r="G40" s="239" t="s">
        <v>120</v>
      </c>
    </row>
    <row r="41" spans="1:7" s="219" customFormat="1" ht="13.5" customHeight="1">
      <c r="A41" s="863" t="s">
        <v>604</v>
      </c>
      <c r="B41" s="215" t="s">
        <v>107</v>
      </c>
      <c r="C41" s="237">
        <f ca="1">ROUND(SUM(C42:C43),0)</f>
        <v>51</v>
      </c>
      <c r="D41" s="240">
        <f ca="1">C44</f>
        <v>8.0000000000000004E-4</v>
      </c>
      <c r="E41" s="241" t="s">
        <v>129</v>
      </c>
      <c r="F41" s="242"/>
      <c r="G41" s="1176" t="str">
        <f>IF('数据-取费表'!B22&lt;=1,"单利计息","复利计息")</f>
        <v>复利计息</v>
      </c>
    </row>
    <row r="42" spans="1:7" ht="13.5" customHeight="1">
      <c r="A42" s="866" t="s">
        <v>613</v>
      </c>
      <c r="B42" s="220" t="s">
        <v>848</v>
      </c>
      <c r="C42" s="243">
        <f ca="1">ROUND(IF('数据-取费表'!B22&lt;=1,C33*F22*'数据-取费表'!B21/2,C33*(POWER((1+F22),'数据-取费表'!B21/2)-1)),0)</f>
        <v>50</v>
      </c>
      <c r="D42" s="243"/>
      <c r="E42" s="243"/>
      <c r="F42" s="244"/>
      <c r="G42" s="3503" t="s">
        <v>121</v>
      </c>
    </row>
    <row r="43" spans="1:7" ht="13.5" customHeight="1">
      <c r="A43" s="866" t="s">
        <v>611</v>
      </c>
      <c r="B43" s="220" t="s">
        <v>851</v>
      </c>
      <c r="C43" s="243">
        <f ca="1">ROUND(IF('数据-取费表'!B22&lt;=1,C39*F22*'数据-取费表'!B21/2,C39*(POWER((1+F22),'数据-取费表'!B21/2)-1)),0)</f>
        <v>1</v>
      </c>
      <c r="D43" s="243"/>
      <c r="E43" s="243"/>
      <c r="F43" s="244"/>
      <c r="G43" s="3504"/>
    </row>
    <row r="44" spans="1:7" ht="13.5" customHeight="1">
      <c r="A44" s="866" t="s">
        <v>612</v>
      </c>
      <c r="B44" s="220" t="s">
        <v>853</v>
      </c>
      <c r="C44" s="243">
        <f ca="1">ROUND(IF('数据-取费表'!B22&lt;=1,C40*F22*'数据-取费表'!B21/2,C40*(POWER((1+F22),'数据-取费表'!B21/2)-1)),4)</f>
        <v>8.0000000000000004E-4</v>
      </c>
      <c r="D44" s="243"/>
      <c r="E44" s="243"/>
      <c r="F44" s="244"/>
      <c r="G44" s="3505"/>
    </row>
    <row r="45" spans="1:7" s="219" customFormat="1" ht="13.5" customHeight="1">
      <c r="A45" s="863" t="s">
        <v>605</v>
      </c>
      <c r="B45" s="249" t="s">
        <v>112</v>
      </c>
      <c r="C45" s="250">
        <f>C46</f>
        <v>246</v>
      </c>
      <c r="D45" s="240">
        <f>C47</f>
        <v>4.0000000000000001E-3</v>
      </c>
      <c r="E45" s="241" t="s">
        <v>129</v>
      </c>
      <c r="F45" s="251"/>
      <c r="G45" s="252" t="s">
        <v>859</v>
      </c>
    </row>
    <row r="46" spans="1:7" s="219" customFormat="1" ht="13.5" customHeight="1">
      <c r="A46" s="866" t="s">
        <v>613</v>
      </c>
      <c r="B46" s="253" t="s">
        <v>852</v>
      </c>
      <c r="C46" s="254">
        <f>ROUND((C33+C39)*F27,0)</f>
        <v>246</v>
      </c>
      <c r="D46" s="268"/>
      <c r="E46" s="241"/>
      <c r="F46" s="251"/>
      <c r="G46" s="252"/>
    </row>
    <row r="47" spans="1:7" s="219" customFormat="1" ht="13.5" customHeight="1">
      <c r="A47" s="866" t="s">
        <v>611</v>
      </c>
      <c r="B47" s="253" t="s">
        <v>854</v>
      </c>
      <c r="C47" s="243">
        <f>ROUND(C40*F27,4)</f>
        <v>4.0000000000000001E-3</v>
      </c>
      <c r="D47" s="268"/>
      <c r="E47" s="241"/>
      <c r="F47" s="251"/>
      <c r="G47" s="252"/>
    </row>
    <row r="48" spans="1:7" s="219" customFormat="1" ht="13.5" customHeight="1">
      <c r="A48" s="863" t="s">
        <v>606</v>
      </c>
      <c r="B48" s="215" t="s">
        <v>122</v>
      </c>
      <c r="C48" s="267">
        <f>F30</f>
        <v>5.6000000000000001E-2</v>
      </c>
      <c r="D48" s="241" t="s">
        <v>130</v>
      </c>
      <c r="E48" s="237"/>
      <c r="F48" s="242"/>
      <c r="G48" s="239" t="s">
        <v>123</v>
      </c>
    </row>
    <row r="49" spans="1:7" ht="16.5" customHeight="1">
      <c r="A49" s="863" t="s">
        <v>607</v>
      </c>
      <c r="B49" s="215" t="s">
        <v>131</v>
      </c>
      <c r="C49" s="237">
        <f ca="1">ROUND((C33+C39+C41+C45)/(1-C40-D41-D45-C48/(1+'数据-取费表'!B42)),0)</f>
        <v>1655</v>
      </c>
      <c r="D49" s="237"/>
      <c r="E49" s="237"/>
      <c r="F49" s="269"/>
      <c r="G49" s="239" t="s">
        <v>860</v>
      </c>
    </row>
    <row r="50" spans="1:7" s="263" customFormat="1" ht="24">
      <c r="A50" s="863" t="s">
        <v>608</v>
      </c>
      <c r="B50" s="215" t="s">
        <v>124</v>
      </c>
      <c r="C50" s="237"/>
      <c r="D50" s="237"/>
      <c r="E50" s="237"/>
      <c r="F50" s="269">
        <f>IF('数据-取费表'!B24=0,'数据-取费表'!N16,1)</f>
        <v>0.77</v>
      </c>
      <c r="G50" s="252" t="s">
        <v>125</v>
      </c>
    </row>
    <row r="51" spans="1:7" ht="16.5" customHeight="1">
      <c r="A51" s="863" t="s">
        <v>609</v>
      </c>
      <c r="B51" s="215" t="s">
        <v>132</v>
      </c>
      <c r="C51" s="237">
        <f ca="1">ROUND(C49*F50,0)</f>
        <v>1274</v>
      </c>
      <c r="D51" s="237"/>
      <c r="E51" s="237"/>
      <c r="F51" s="269"/>
      <c r="G51" s="239" t="s">
        <v>64</v>
      </c>
    </row>
    <row r="52" spans="1:7" s="213" customFormat="1" ht="16.5" thickBot="1">
      <c r="A52" s="270" t="s">
        <v>65</v>
      </c>
      <c r="B52" s="271"/>
      <c r="C52" s="272">
        <f ca="1">C31+C51</f>
        <v>31258</v>
      </c>
      <c r="D52" s="271"/>
      <c r="E52" s="271"/>
      <c r="F52" s="271"/>
      <c r="G52" s="273"/>
    </row>
    <row r="55" spans="1:7" ht="15">
      <c r="B55" s="275" t="s">
        <v>66</v>
      </c>
      <c r="C55" s="276"/>
    </row>
    <row r="56" spans="1:7">
      <c r="B56" s="278" t="s">
        <v>67</v>
      </c>
      <c r="C56" s="279">
        <f ca="1">ROUND(C51/C52,3)</f>
        <v>4.1000000000000002E-2</v>
      </c>
    </row>
    <row r="57" spans="1:7">
      <c r="B57" s="278" t="s">
        <v>68</v>
      </c>
      <c r="C57" s="280">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07" t="s">
        <v>156</v>
      </c>
      <c r="B1" s="3607"/>
      <c r="C1" s="3607"/>
      <c r="D1" s="3607"/>
      <c r="E1" s="3607"/>
      <c r="F1" s="360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08" t="s">
        <v>169</v>
      </c>
      <c r="B2" s="3608"/>
      <c r="C2" s="3608"/>
      <c r="D2" s="3608"/>
      <c r="E2" s="3608"/>
      <c r="F2" s="360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9"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0"/>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07" t="s">
        <v>658</v>
      </c>
      <c r="B1" s="3607"/>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44805</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8">
        <v>44795</v>
      </c>
      <c r="D13" s="2999">
        <v>3.65</v>
      </c>
      <c r="E13" s="2999">
        <f>D13</f>
        <v>3.65</v>
      </c>
      <c r="F13" s="2999">
        <f>D13</f>
        <v>3.65</v>
      </c>
      <c r="G13" s="2999">
        <f>D13</f>
        <v>3.65</v>
      </c>
      <c r="H13" s="2999">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3"/>
      <c r="C14" s="2995">
        <v>44701</v>
      </c>
      <c r="D14" s="2994">
        <v>3.7</v>
      </c>
      <c r="E14" s="2994">
        <v>3.7</v>
      </c>
      <c r="F14" s="2994">
        <v>3.7</v>
      </c>
      <c r="G14" s="2994">
        <v>3.7</v>
      </c>
      <c r="H14" s="2994">
        <v>4.45</v>
      </c>
      <c r="I14" s="2999"/>
      <c r="J14" s="2999"/>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3"/>
      <c r="C15" s="2995">
        <v>44581</v>
      </c>
      <c r="D15" s="2994">
        <v>3.7</v>
      </c>
      <c r="E15" s="2994">
        <f>D15</f>
        <v>3.7</v>
      </c>
      <c r="F15" s="2994">
        <f>D15</f>
        <v>3.7</v>
      </c>
      <c r="G15" s="2994">
        <f>D15</f>
        <v>3.7</v>
      </c>
      <c r="H15" s="2994">
        <v>4.5999999999999996</v>
      </c>
      <c r="I15" s="2999"/>
      <c r="J15" s="2999"/>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4"/>
      <c r="C16" s="2995">
        <v>44550</v>
      </c>
      <c r="D16" s="2994">
        <v>3.8</v>
      </c>
      <c r="E16" s="2994">
        <f>D16</f>
        <v>3.8</v>
      </c>
      <c r="F16" s="2994">
        <f>D16</f>
        <v>3.8</v>
      </c>
      <c r="G16" s="2994">
        <f>D16</f>
        <v>3.8</v>
      </c>
      <c r="H16" s="2994">
        <v>4.6500000000000004</v>
      </c>
      <c r="I16" s="2994"/>
      <c r="J16" s="2999"/>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4"/>
      <c r="C17" s="2995">
        <v>43941</v>
      </c>
      <c r="D17" s="2994">
        <v>3.85</v>
      </c>
      <c r="E17" s="2994">
        <v>3.85</v>
      </c>
      <c r="F17" s="2994">
        <v>3.85</v>
      </c>
      <c r="G17" s="2994">
        <v>3.85</v>
      </c>
      <c r="H17" s="2994">
        <v>4.6500000000000004</v>
      </c>
      <c r="I17" s="2994"/>
      <c r="J17" s="2994"/>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1"/>
      <c r="B19" s="2994"/>
      <c r="C19" s="2995">
        <v>43789</v>
      </c>
      <c r="D19" s="2994">
        <v>4.1500000000000004</v>
      </c>
      <c r="E19" s="2994">
        <v>4.1500000000000004</v>
      </c>
      <c r="F19" s="2994">
        <v>4.1500000000000004</v>
      </c>
      <c r="G19" s="2994">
        <v>4.1500000000000004</v>
      </c>
      <c r="H19" s="2994">
        <v>4.8</v>
      </c>
      <c r="I19" s="2994"/>
      <c r="J19" s="2994"/>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4"/>
      <c r="C20" s="2995">
        <v>43728</v>
      </c>
      <c r="D20" s="2994">
        <v>4.2</v>
      </c>
      <c r="E20" s="2994">
        <v>4.2</v>
      </c>
      <c r="F20" s="2994">
        <v>4.2</v>
      </c>
      <c r="G20" s="2994">
        <v>4.2</v>
      </c>
      <c r="H20" s="2994">
        <v>4.8499999999999996</v>
      </c>
      <c r="I20" s="2994"/>
      <c r="J20" s="2994"/>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3" t="s">
        <v>2813</v>
      </c>
      <c r="C21" s="2996">
        <v>43697</v>
      </c>
      <c r="D21" s="2997">
        <v>4.25</v>
      </c>
      <c r="E21" s="2997">
        <v>4.25</v>
      </c>
      <c r="F21" s="2997">
        <v>4.25</v>
      </c>
      <c r="G21" s="2997">
        <v>4.25</v>
      </c>
      <c r="H21" s="2997">
        <v>4.8499999999999996</v>
      </c>
      <c r="I21" s="2997"/>
      <c r="J21" s="2997"/>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3000"/>
      <c r="B22" s="3001"/>
      <c r="C22" s="3002">
        <v>42301</v>
      </c>
      <c r="D22" s="3003">
        <v>4.3499999999999996</v>
      </c>
      <c r="E22" s="3003">
        <v>4.3499999999999996</v>
      </c>
      <c r="F22" s="3003">
        <v>4.75</v>
      </c>
      <c r="G22" s="3003">
        <v>4.75</v>
      </c>
      <c r="H22" s="3003">
        <v>4.9000000000000004</v>
      </c>
      <c r="I22" s="3003"/>
      <c r="J22" s="3003"/>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82" t="str">
        <f>IF(项目基本情况!B9="房地产市场价值","估价结果一览表","结果表-2")</f>
        <v>结果表-2</v>
      </c>
      <c r="B1" s="3282"/>
      <c r="C1" s="3282"/>
      <c r="D1" s="3282"/>
      <c r="E1" s="3282"/>
      <c r="F1" s="3282"/>
      <c r="G1" s="3282"/>
      <c r="H1" s="3282"/>
      <c r="I1" s="3282"/>
    </row>
    <row r="2" spans="1:9" ht="30" customHeight="1" thickTop="1">
      <c r="A2" s="3283" t="s">
        <v>1365</v>
      </c>
      <c r="B2" s="3283" t="s">
        <v>1366</v>
      </c>
      <c r="C2" s="3283" t="s">
        <v>1367</v>
      </c>
      <c r="D2" s="3283" t="str">
        <f>结果表!D116</f>
        <v>出让国有建设用地使用权价值</v>
      </c>
      <c r="E2" s="3283"/>
      <c r="F2" s="3283" t="str">
        <f>结果表!F116</f>
        <v>在建建筑物价值</v>
      </c>
      <c r="G2" s="3283"/>
      <c r="H2" s="3283" t="str">
        <f>IF(项目基本情况!B9="房地产市场价值","房地产市场价值","房地产价值")</f>
        <v>房地产价值</v>
      </c>
      <c r="I2" s="3283"/>
    </row>
    <row r="3" spans="1:9" ht="15">
      <c r="A3" s="3277"/>
      <c r="B3" s="3277"/>
      <c r="C3" s="3277"/>
      <c r="D3" s="941" t="s">
        <v>1362</v>
      </c>
      <c r="E3" s="941" t="s">
        <v>1368</v>
      </c>
      <c r="F3" s="941" t="s">
        <v>1362</v>
      </c>
      <c r="G3" s="941" t="s">
        <v>1363</v>
      </c>
      <c r="H3" s="941" t="s">
        <v>1362</v>
      </c>
      <c r="I3" s="941" t="s">
        <v>1363</v>
      </c>
    </row>
    <row r="4" spans="1:9" ht="15">
      <c r="A4" s="1637" t="str">
        <f>项目基本情况!S2</f>
        <v>北京市房地产</v>
      </c>
      <c r="B4" s="941">
        <f>项目基本情况!C17</f>
        <v>24865.040000000005</v>
      </c>
      <c r="C4" s="941">
        <f>项目基本情况!C18</f>
        <v>1899.7</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277" t="s">
        <v>1364</v>
      </c>
      <c r="B5" s="3277"/>
      <c r="C5" s="3277"/>
      <c r="D5" s="3278" t="e">
        <f ca="1">结果表!D119</f>
        <v>#REF!</v>
      </c>
      <c r="E5" s="3278"/>
      <c r="F5" s="3278" t="e">
        <f ca="1">结果表!F119</f>
        <v>#REF!</v>
      </c>
      <c r="G5" s="3278"/>
      <c r="H5" s="3278" t="e">
        <f ca="1">结果表!H119</f>
        <v>#REF!</v>
      </c>
      <c r="I5" s="3278"/>
    </row>
    <row r="6" spans="1:9" ht="15.75">
      <c r="A6" s="3276" t="str">
        <f>结果表!A120</f>
        <v>估价师知悉的法定优先受偿款</v>
      </c>
      <c r="B6" s="3276"/>
      <c r="C6" s="3276"/>
      <c r="D6" s="3276">
        <f>结果表!D120</f>
        <v>0</v>
      </c>
      <c r="E6" s="3276"/>
      <c r="F6" s="3276"/>
      <c r="G6" s="3276"/>
      <c r="H6" s="3276"/>
      <c r="I6" s="3276"/>
    </row>
    <row r="7" spans="1:9" ht="15">
      <c r="A7" s="3277" t="s">
        <v>1364</v>
      </c>
      <c r="B7" s="3277"/>
      <c r="C7" s="3277"/>
      <c r="D7" s="3279" t="str">
        <f>结果表!D121</f>
        <v>零元整</v>
      </c>
      <c r="E7" s="3280"/>
      <c r="F7" s="3280"/>
      <c r="G7" s="3280"/>
      <c r="H7" s="3280"/>
      <c r="I7" s="3281"/>
    </row>
    <row r="8" spans="1:9" ht="15.75">
      <c r="A8" s="3276" t="str">
        <f>结果表!A122</f>
        <v>房地产抵押价值</v>
      </c>
      <c r="B8" s="3276"/>
      <c r="C8" s="3276"/>
      <c r="D8" s="3276" t="e">
        <f ca="1">结果表!D122</f>
        <v>#REF!</v>
      </c>
      <c r="E8" s="3276"/>
      <c r="F8" s="3276"/>
      <c r="G8" s="3276"/>
      <c r="H8" s="3276"/>
      <c r="I8" s="3276"/>
    </row>
    <row r="9" spans="1:9" ht="15">
      <c r="A9" s="3277" t="s">
        <v>1364</v>
      </c>
      <c r="B9" s="3277"/>
      <c r="C9" s="3277"/>
      <c r="D9" s="3278" t="e">
        <f ca="1">结果表!D123</f>
        <v>#REF!</v>
      </c>
      <c r="E9" s="3278"/>
      <c r="F9" s="3278"/>
      <c r="G9" s="3278"/>
      <c r="H9" s="3278"/>
      <c r="I9" s="3278"/>
    </row>
    <row r="10" spans="1:9" ht="15.75">
      <c r="A10" s="3276" t="str">
        <f>结果表!A124</f>
        <v/>
      </c>
      <c r="B10" s="3276"/>
      <c r="C10" s="3276"/>
      <c r="D10" s="3276" t="str">
        <f>结果表!D124</f>
        <v>——</v>
      </c>
      <c r="E10" s="3276"/>
      <c r="F10" s="3276"/>
      <c r="G10" s="3276"/>
      <c r="H10" s="3276"/>
      <c r="I10" s="3276"/>
    </row>
    <row r="11" spans="1:9" ht="15">
      <c r="A11" s="3277" t="s">
        <v>1364</v>
      </c>
      <c r="B11" s="3277"/>
      <c r="C11" s="3277"/>
      <c r="D11" s="3278" t="e">
        <f>结果表!D125</f>
        <v>#VALUE!</v>
      </c>
      <c r="E11" s="3278"/>
      <c r="F11" s="3278"/>
      <c r="G11" s="3278"/>
      <c r="H11" s="3278"/>
      <c r="I11" s="3278"/>
    </row>
    <row r="12" spans="1:9" ht="15.75">
      <c r="A12" s="3276" t="str">
        <f>结果表!A126</f>
        <v/>
      </c>
      <c r="B12" s="3276"/>
      <c r="C12" s="3276"/>
      <c r="D12" s="3276" t="str">
        <f>结果表!D126</f>
        <v>——</v>
      </c>
      <c r="E12" s="3276"/>
      <c r="F12" s="3276"/>
      <c r="G12" s="3276"/>
      <c r="H12" s="3276"/>
      <c r="I12" s="3276"/>
    </row>
    <row r="13" spans="1:9" ht="15.75" thickBot="1">
      <c r="A13" s="3273" t="s">
        <v>1364</v>
      </c>
      <c r="B13" s="3273"/>
      <c r="C13" s="3273"/>
      <c r="D13" s="3274" t="e">
        <f>结果表!D127</f>
        <v>#VALUE!</v>
      </c>
      <c r="E13" s="3274"/>
      <c r="F13" s="3274"/>
      <c r="G13" s="3274"/>
      <c r="H13" s="3274"/>
      <c r="I13" s="3274"/>
    </row>
    <row r="14" spans="1:9" ht="15" thickTop="1">
      <c r="A14" s="3275" t="s">
        <v>1369</v>
      </c>
      <c r="B14" s="3275"/>
      <c r="C14" s="3275"/>
      <c r="D14" s="3275"/>
      <c r="E14" s="3275"/>
      <c r="F14" s="3275"/>
      <c r="G14" s="3275"/>
      <c r="H14" s="3275"/>
      <c r="I14" s="3275"/>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290" t="s">
        <v>1386</v>
      </c>
      <c r="B1" s="3290"/>
      <c r="C1" s="3290"/>
      <c r="D1" s="3290"/>
    </row>
    <row r="2" spans="1:4" ht="18">
      <c r="A2" s="3291" t="s">
        <v>1370</v>
      </c>
      <c r="B2" s="3291"/>
      <c r="C2" s="3291"/>
      <c r="D2" s="3291"/>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291" t="s">
        <v>1376</v>
      </c>
      <c r="B6" s="3291"/>
      <c r="C6" s="3291"/>
      <c r="D6" s="3291"/>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292" t="s">
        <v>1379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4" t="str">
        <f>IF(项目基本情况!B8="抵押","4.本次评估估价师所知悉的法定优先受偿款情况说明如下：","——")</f>
        <v>4.本次评估估价师所知悉的法定优先受偿款情况说明如下：</v>
      </c>
      <c r="B14" s="3289"/>
      <c r="C14" s="3289"/>
      <c r="D14" s="3289"/>
    </row>
    <row r="15" spans="1:4" ht="42" customHeight="1">
      <c r="A15" s="32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6" t="s">
        <v>1380</v>
      </c>
      <c r="B16" s="3286"/>
      <c r="C16" s="3286"/>
      <c r="D16" s="3286"/>
    </row>
    <row r="17" spans="1:4" ht="144" customHeight="1">
      <c r="A17" s="3286" t="s">
        <v>1381</v>
      </c>
      <c r="B17" s="3286"/>
      <c r="C17" s="3286"/>
      <c r="D17" s="3286"/>
    </row>
    <row r="18" spans="1:4" ht="15.75" customHeight="1">
      <c r="A18" s="3284" t="str">
        <f>IF(项目基本情况!B8="抵押",结果表!K120,"——")</f>
        <v>故，本次评估不存在估价师知悉的法定优先受偿款</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1382</v>
      </c>
      <c r="B22" s="3288"/>
      <c r="C22" s="3288"/>
      <c r="D22" s="3288"/>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298" t="s">
        <v>1393</v>
      </c>
      <c r="B15" s="3293" t="s">
        <v>136</v>
      </c>
      <c r="C15" s="3294"/>
    </row>
    <row r="16" spans="1:7" ht="13.5">
      <c r="A16" s="3299"/>
      <c r="B16" s="3293" t="s">
        <v>69</v>
      </c>
      <c r="C16" s="3294"/>
    </row>
    <row r="17" spans="1:3" ht="13.5">
      <c r="A17" s="3299"/>
      <c r="B17" s="3296" t="s">
        <v>1394</v>
      </c>
      <c r="C17" s="1664" t="s">
        <v>1393</v>
      </c>
    </row>
    <row r="18" spans="1:3" ht="13.5">
      <c r="A18" s="3299"/>
      <c r="B18" s="3296"/>
      <c r="C18" s="1664" t="s">
        <v>1395</v>
      </c>
    </row>
    <row r="19" spans="1:3" ht="13.5">
      <c r="A19" s="3299"/>
      <c r="B19" s="3296"/>
      <c r="C19" s="1664" t="s">
        <v>1396</v>
      </c>
    </row>
    <row r="20" spans="1:3" ht="13.5">
      <c r="A20" s="3300"/>
      <c r="B20" s="3295" t="s">
        <v>1397</v>
      </c>
      <c r="C20" s="3294"/>
    </row>
    <row r="21" spans="1:3" ht="13.5">
      <c r="A21" s="1665" t="s">
        <v>1398</v>
      </c>
      <c r="B21" s="1666"/>
      <c r="C21" s="1667"/>
    </row>
    <row r="22" spans="1:3" ht="13.5">
      <c r="A22" s="3297" t="s">
        <v>1399</v>
      </c>
      <c r="B22" s="3295" t="s">
        <v>1400</v>
      </c>
      <c r="C22" s="3294"/>
    </row>
    <row r="23" spans="1:3" ht="13.5">
      <c r="A23" s="3297"/>
      <c r="B23" s="3295" t="s">
        <v>1401</v>
      </c>
      <c r="C23" s="3294"/>
    </row>
    <row r="24" spans="1:3" ht="13.5">
      <c r="A24" s="3297"/>
      <c r="B24" s="3295" t="s">
        <v>1402</v>
      </c>
      <c r="C24" s="3294"/>
    </row>
    <row r="25" spans="1:3" ht="13.5">
      <c r="A25" s="3297"/>
      <c r="B25" s="3296" t="s">
        <v>1403</v>
      </c>
      <c r="C25" s="1664" t="s">
        <v>1404</v>
      </c>
    </row>
    <row r="26" spans="1:3" ht="13.5">
      <c r="A26" s="3297"/>
      <c r="B26" s="3296"/>
      <c r="C26" s="1664" t="s">
        <v>1405</v>
      </c>
    </row>
    <row r="27" spans="1:3" ht="13.5">
      <c r="A27" s="3297"/>
      <c r="B27" s="3296"/>
      <c r="C27" s="1664" t="s">
        <v>1406</v>
      </c>
    </row>
    <row r="28" spans="1:3" ht="13.5">
      <c r="A28" s="3297"/>
      <c r="B28" s="3296"/>
      <c r="C28" s="1664" t="s">
        <v>1407</v>
      </c>
    </row>
    <row r="29" spans="1:3" ht="13.5">
      <c r="A29" s="3297"/>
      <c r="B29" s="3296"/>
      <c r="C29" s="1664" t="s">
        <v>1408</v>
      </c>
    </row>
    <row r="30" spans="1:3" ht="13.5">
      <c r="A30" s="3297"/>
      <c r="B30" s="3296"/>
      <c r="C30" s="1664" t="s">
        <v>1409</v>
      </c>
    </row>
    <row r="31" spans="1:3" ht="13.5">
      <c r="A31" s="3297"/>
      <c r="B31" s="3296"/>
      <c r="C31" s="1664" t="s">
        <v>1410</v>
      </c>
    </row>
    <row r="32" spans="1:3" ht="13.5">
      <c r="A32" s="3297"/>
      <c r="B32" s="3296"/>
      <c r="C32" s="1664" t="s">
        <v>1411</v>
      </c>
    </row>
    <row r="33" spans="1:3" ht="13.5">
      <c r="A33" s="3297"/>
      <c r="B33" s="3296"/>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2638</v>
      </c>
      <c r="B2" s="2509">
        <f ca="1">TODAY()</f>
        <v>44806</v>
      </c>
      <c r="C2" s="2510" t="s">
        <v>2639</v>
      </c>
      <c r="D2" s="2510"/>
      <c r="E2" s="2510"/>
      <c r="F2" s="2506"/>
      <c r="G2" s="2506"/>
      <c r="H2" s="2506"/>
    </row>
    <row r="3" spans="1:8" ht="24" customHeight="1">
      <c r="A3" s="2511" t="s">
        <v>2640</v>
      </c>
      <c r="B3" s="2512" t="s">
        <v>2641</v>
      </c>
      <c r="C3" s="2512" t="s">
        <v>2642</v>
      </c>
      <c r="D3" s="2513" t="s">
        <v>2643</v>
      </c>
      <c r="E3" s="2514" t="s">
        <v>2644</v>
      </c>
      <c r="F3" s="1421" t="s">
        <v>2645</v>
      </c>
      <c r="G3" s="2512" t="s">
        <v>2642</v>
      </c>
      <c r="H3" s="2513" t="s">
        <v>2646</v>
      </c>
    </row>
    <row r="4" spans="1:8" ht="24" customHeight="1">
      <c r="A4" s="1421" t="s">
        <v>2647</v>
      </c>
      <c r="B4" s="1421">
        <f ca="1">IF(C4&lt;B2,"已过期",1119970066)</f>
        <v>1119970066</v>
      </c>
      <c r="C4" s="2515">
        <v>44876</v>
      </c>
      <c r="D4" s="2516" t="str">
        <f ca="1">A4&amp;"（注册号："&amp;B4&amp;"）"</f>
        <v>梁津（注册号：1119970066）</v>
      </c>
      <c r="E4" s="2517" t="s">
        <v>2647</v>
      </c>
      <c r="F4" s="1421">
        <f ca="1">IF(G4&lt;B2,"已过期",96010014)</f>
        <v>96010014</v>
      </c>
      <c r="G4" s="2518">
        <v>47118</v>
      </c>
      <c r="H4" s="2519" t="str">
        <f ca="1">E4&amp;"（注册号："&amp;F4&amp;"）"</f>
        <v>梁津（注册号：96010014）</v>
      </c>
    </row>
    <row r="5" spans="1:8" ht="24" customHeight="1">
      <c r="A5" s="1421" t="s">
        <v>2648</v>
      </c>
      <c r="B5" s="1421">
        <f ca="1">IF(C5&lt;B2,"已过期",1119970111)</f>
        <v>1119970111</v>
      </c>
      <c r="C5" s="2515">
        <v>44876</v>
      </c>
      <c r="D5" s="2516" t="str">
        <f t="shared" ref="D5:D15" ca="1" si="0">A5&amp;"（注册号："&amp;B5&amp;"）"</f>
        <v>叶凌（注册号：1119970111）</v>
      </c>
      <c r="E5" s="2517" t="s">
        <v>2648</v>
      </c>
      <c r="F5" s="1421">
        <f ca="1">IF(G5&lt;B2,"已过期",94010078)</f>
        <v>94010078</v>
      </c>
      <c r="G5" s="2518">
        <v>46387</v>
      </c>
      <c r="H5" s="2519" t="str">
        <f t="shared" ref="H5:H16" ca="1" si="1">E5&amp;"（注册号："&amp;F5&amp;"）"</f>
        <v>叶凌（注册号：94010078）</v>
      </c>
    </row>
    <row r="6" spans="1:8" ht="24" customHeight="1">
      <c r="A6" s="1421" t="s">
        <v>2649</v>
      </c>
      <c r="B6" s="1421">
        <f ca="1">IF(C6&lt;B2,"已过期",1120050019)</f>
        <v>1120050019</v>
      </c>
      <c r="C6" s="2515">
        <v>45410</v>
      </c>
      <c r="D6" s="2516" t="str">
        <f t="shared" ca="1" si="0"/>
        <v>王鹏（注册号：1120050019）</v>
      </c>
      <c r="E6" s="2517" t="s">
        <v>2649</v>
      </c>
      <c r="F6" s="1421">
        <f ca="1">IF(G6&lt;B2,"已过期",2002110030)</f>
        <v>2002110030</v>
      </c>
      <c r="G6" s="2518">
        <v>46387</v>
      </c>
      <c r="H6" s="2519" t="str">
        <f t="shared" ca="1" si="1"/>
        <v>王鹏（注册号：2002110030）</v>
      </c>
    </row>
    <row r="7" spans="1:8" ht="24" customHeight="1">
      <c r="A7" s="1421" t="s">
        <v>2650</v>
      </c>
      <c r="B7" s="1421">
        <f ca="1">IF(C7&lt;B2,"已过期",1120000080)</f>
        <v>1120000080</v>
      </c>
      <c r="C7" s="2515">
        <v>44876</v>
      </c>
      <c r="D7" s="2516" t="str">
        <f t="shared" ca="1" si="0"/>
        <v>欧红伟（注册号：1120000080）</v>
      </c>
      <c r="E7" s="2517" t="s">
        <v>2650</v>
      </c>
      <c r="F7" s="1421">
        <f ca="1">IF(G7&lt;B2,"已过期",2000110082)</f>
        <v>2000110082</v>
      </c>
      <c r="G7" s="2518">
        <v>46387</v>
      </c>
      <c r="H7" s="2519" t="str">
        <f t="shared" ca="1" si="1"/>
        <v>欧红伟（注册号：2000110082）</v>
      </c>
    </row>
    <row r="8" spans="1:8" ht="24" customHeight="1">
      <c r="A8" s="1421" t="s">
        <v>2651</v>
      </c>
      <c r="B8" s="1421">
        <f ca="1">IF(C8&lt;B2,"已过期",1419970001)</f>
        <v>1419970001</v>
      </c>
      <c r="C8" s="2515">
        <v>44899</v>
      </c>
      <c r="D8" s="2516" t="str">
        <f t="shared" ca="1" si="0"/>
        <v>吴薇（注册号：1419970001）</v>
      </c>
      <c r="E8" s="2517" t="s">
        <v>2651</v>
      </c>
      <c r="F8" s="1421">
        <f ca="1">IF(G8&lt;B2,"已过期",2002110125)</f>
        <v>2002110125</v>
      </c>
      <c r="G8" s="2518">
        <v>47118</v>
      </c>
      <c r="H8" s="2519" t="str">
        <f t="shared" ca="1" si="1"/>
        <v>吴薇（注册号：2002110125）</v>
      </c>
    </row>
    <row r="9" spans="1:8" ht="24" customHeight="1">
      <c r="A9" s="1421" t="s">
        <v>2652</v>
      </c>
      <c r="B9" s="1421">
        <f ca="1">IF(C9&lt;B2,"已过期",1120060040)</f>
        <v>1120060040</v>
      </c>
      <c r="C9" s="2520">
        <v>45592</v>
      </c>
      <c r="D9" s="2516" t="str">
        <f t="shared" ca="1" si="0"/>
        <v>陈颖（注册号：1120060040）</v>
      </c>
      <c r="E9" s="2517" t="s">
        <v>2652</v>
      </c>
      <c r="F9" s="1421">
        <f ca="1">IF(G9&lt;B2,"已过期",2004110096)</f>
        <v>2004110096</v>
      </c>
      <c r="G9" s="2518">
        <v>47118</v>
      </c>
      <c r="H9" s="2519" t="str">
        <f t="shared" ca="1" si="1"/>
        <v>陈颖（注册号：2004110096）</v>
      </c>
    </row>
    <row r="10" spans="1:8" ht="24" customHeight="1">
      <c r="A10" s="1421" t="s">
        <v>2653</v>
      </c>
      <c r="B10" s="1421" t="str">
        <f ca="1">IF(C10&lt;B2,"已过期",1120100036)</f>
        <v>已过期</v>
      </c>
      <c r="C10" s="2520">
        <v>44675</v>
      </c>
      <c r="D10" s="2516" t="str">
        <f t="shared" ca="1" si="0"/>
        <v>崔锴（注册号：已过期）</v>
      </c>
      <c r="E10" s="2517" t="s">
        <v>2653</v>
      </c>
      <c r="F10" s="1421">
        <f ca="1">IF(G10&lt;B2,"已过期",2010110070)</f>
        <v>2010110070</v>
      </c>
      <c r="G10" s="2518">
        <v>47907</v>
      </c>
      <c r="H10" s="2519" t="str">
        <f t="shared" ca="1" si="1"/>
        <v>崔锴（注册号：2010110070）</v>
      </c>
    </row>
    <row r="11" spans="1:8" ht="24" customHeight="1">
      <c r="A11" s="1421" t="s">
        <v>2654</v>
      </c>
      <c r="B11" s="1421">
        <f ca="1">IF(C11&lt;B2,"已过期",1120070131)</f>
        <v>1120070131</v>
      </c>
      <c r="C11" s="2515">
        <v>44849</v>
      </c>
      <c r="D11" s="2516" t="str">
        <f t="shared" ca="1" si="0"/>
        <v>郑燚（注册号：1120070131）</v>
      </c>
      <c r="E11" s="2517" t="s">
        <v>2654</v>
      </c>
      <c r="F11" s="1421">
        <f ca="1">IF(G11&lt;B2,"已过期",2014110011)</f>
        <v>2014110011</v>
      </c>
      <c r="G11" s="2518">
        <v>49302</v>
      </c>
      <c r="H11" s="2519" t="str">
        <f t="shared" ca="1" si="1"/>
        <v>郑燚（注册号：2014110011）</v>
      </c>
    </row>
    <row r="12" spans="1:8" ht="24" customHeight="1">
      <c r="A12" s="1421" t="s">
        <v>2655</v>
      </c>
      <c r="B12" s="1421">
        <f ca="1">IF(C12&lt;B2,"已过期",1120040230)</f>
        <v>1120040230</v>
      </c>
      <c r="C12" s="2520">
        <v>44864</v>
      </c>
      <c r="D12" s="2516" t="str">
        <f t="shared" ca="1" si="0"/>
        <v>苏海（注册号：1120040230）</v>
      </c>
      <c r="E12" s="2517" t="s">
        <v>2655</v>
      </c>
      <c r="F12" s="1421">
        <f ca="1">IF(G12&lt;B2,"已过期",98030020)</f>
        <v>98030020</v>
      </c>
      <c r="G12" s="2518">
        <v>47118</v>
      </c>
      <c r="H12" s="2519" t="str">
        <f t="shared" ca="1" si="1"/>
        <v>苏海（注册号：98030020）</v>
      </c>
    </row>
    <row r="13" spans="1:8" ht="24" customHeight="1">
      <c r="A13" s="1421" t="s">
        <v>2656</v>
      </c>
      <c r="B13" s="1421" t="str">
        <f ca="1">IF(C13&lt;B2,"已过期",1120020033)</f>
        <v>已过期</v>
      </c>
      <c r="C13" s="2515">
        <v>44339</v>
      </c>
      <c r="D13" s="2516" t="str">
        <f t="shared" ca="1" si="0"/>
        <v>刘敬东（注册号：已过期）</v>
      </c>
      <c r="E13" s="2517" t="s">
        <v>2656</v>
      </c>
      <c r="F13" s="1421">
        <f ca="1">IF(G13&lt;B2,"已过期",2000110137)</f>
        <v>2000110137</v>
      </c>
      <c r="G13" s="2518">
        <v>46387</v>
      </c>
      <c r="H13" s="2519" t="str">
        <f t="shared" ca="1" si="1"/>
        <v>刘敬东（注册号：2000110137）</v>
      </c>
    </row>
    <row r="14" spans="1:8" ht="24" customHeight="1">
      <c r="A14" s="1421" t="s">
        <v>2657</v>
      </c>
      <c r="B14" s="1421">
        <f ca="1">IF(C14&lt;B2,"已过期",1119980106)</f>
        <v>1119980106</v>
      </c>
      <c r="C14" s="2520">
        <v>44969</v>
      </c>
      <c r="D14" s="2516" t="str">
        <f t="shared" ca="1" si="0"/>
        <v>刘俊财（注册号：1119980106）</v>
      </c>
      <c r="E14" s="2517" t="s">
        <v>2657</v>
      </c>
      <c r="F14" s="1421">
        <f ca="1">IF(G14&lt;B2,"已过期",96010063)</f>
        <v>96010063</v>
      </c>
      <c r="G14" s="2518">
        <v>47483</v>
      </c>
      <c r="H14" s="2519" t="str">
        <f t="shared" ca="1" si="1"/>
        <v>刘俊财（注册号：96010063）</v>
      </c>
    </row>
    <row r="15" spans="1:8" ht="24" customHeight="1">
      <c r="A15" s="1421" t="s">
        <v>2941</v>
      </c>
      <c r="B15" s="1421">
        <v>1120210056</v>
      </c>
      <c r="C15" s="2520">
        <v>45410</v>
      </c>
      <c r="D15" s="2516" t="str">
        <f t="shared" si="0"/>
        <v>宁小鳗（注册号：1120210056）</v>
      </c>
      <c r="E15" s="2517" t="s">
        <v>2658</v>
      </c>
      <c r="F15" s="1421">
        <f ca="1">IF(G15&lt;B2,"已过期",2011110090)</f>
        <v>2011110090</v>
      </c>
      <c r="G15" s="2518">
        <v>48302</v>
      </c>
      <c r="H15" s="2519" t="str">
        <f t="shared" ca="1" si="1"/>
        <v>赵雯（注册号：2011110090）</v>
      </c>
    </row>
    <row r="16" spans="1:8" s="2522" customFormat="1" ht="24" customHeight="1">
      <c r="A16" s="1421"/>
      <c r="B16" s="1421"/>
      <c r="C16" s="1421"/>
      <c r="D16" s="2516" t="str">
        <f>A16&amp;"（注册号："&amp;B16&amp;"）"</f>
        <v>（注册号：）</v>
      </c>
      <c r="E16" s="2517"/>
      <c r="F16" s="1421"/>
      <c r="G16" s="1421"/>
      <c r="H16" s="2521" t="str">
        <f t="shared" si="1"/>
        <v>（注册号：）</v>
      </c>
    </row>
    <row r="17" spans="1:8" ht="24" customHeight="1">
      <c r="A17" s="3301" t="s">
        <v>2659</v>
      </c>
      <c r="B17" s="3301"/>
      <c r="C17" s="3301"/>
      <c r="D17" s="3301"/>
      <c r="E17" s="3301"/>
      <c r="F17" s="3301"/>
      <c r="G17" s="3301"/>
      <c r="H17" s="3301"/>
    </row>
    <row r="18" spans="1:8" ht="24" customHeight="1">
      <c r="A18" s="3302" t="s">
        <v>2660</v>
      </c>
      <c r="B18" s="3302"/>
      <c r="C18" s="3302"/>
      <c r="D18" s="2513"/>
      <c r="E18" s="3303" t="s">
        <v>2661</v>
      </c>
      <c r="F18" s="3302"/>
      <c r="G18" s="3302"/>
    </row>
    <row r="19" spans="1:8" s="2524" customFormat="1" ht="24" customHeight="1">
      <c r="A19" s="2523" t="s">
        <v>2662</v>
      </c>
      <c r="B19" s="2512" t="s">
        <v>2663</v>
      </c>
      <c r="C19" s="2512" t="s">
        <v>2642</v>
      </c>
      <c r="D19" s="2513"/>
      <c r="E19" s="2517" t="s">
        <v>2662</v>
      </c>
      <c r="F19" s="2512" t="s">
        <v>2663</v>
      </c>
      <c r="G19" s="2512" t="s">
        <v>2642</v>
      </c>
    </row>
    <row r="20" spans="1:8" s="2524" customFormat="1" ht="24" customHeight="1">
      <c r="A20" s="2525" t="s">
        <v>2664</v>
      </c>
      <c r="B20" s="2525" t="s">
        <v>2665</v>
      </c>
      <c r="C20" s="2518">
        <v>44820</v>
      </c>
      <c r="D20" s="2526"/>
      <c r="E20" s="2527" t="s">
        <v>2666</v>
      </c>
      <c r="F20" s="2530" t="s">
        <v>2942</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2022-09-02T01:56:45Z</dcterms:modified>
</cp:coreProperties>
</file>