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收益法-办公" sheetId="78" r:id="rId23"/>
    <sheet name="收益法-车库"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19" i="6" l="1"/>
  <c r="F20" i="6"/>
  <c r="B3" i="34"/>
  <c r="C20" i="9"/>
  <c r="A6" i="1"/>
  <c r="A7" i="1"/>
  <c r="G1" i="78"/>
  <c r="F6" i="78"/>
  <c r="F8" i="78"/>
  <c r="E19" i="6"/>
  <c r="K6" i="1"/>
  <c r="F7" i="78"/>
  <c r="F9" i="78"/>
  <c r="C6" i="78"/>
  <c r="F4" i="73"/>
  <c r="I1" i="73"/>
  <c r="B39" i="1"/>
  <c r="F11" i="78"/>
  <c r="C10" i="78"/>
  <c r="C5" i="78"/>
  <c r="C32" i="78"/>
  <c r="C33" i="78"/>
  <c r="E20"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A5" i="3"/>
  <c r="BB5" i="3"/>
  <c r="E8" i="6"/>
  <c r="F27" i="6"/>
  <c r="E27" i="6"/>
  <c r="BQ13" i="3"/>
  <c r="BQ14" i="3"/>
  <c r="BQ15" i="3"/>
  <c r="BQ16" i="3"/>
  <c r="BQ17" i="3"/>
  <c r="BQ18" i="3"/>
  <c r="BQ19" i="3"/>
  <c r="BQ20" i="3"/>
  <c r="BQ21" i="3"/>
  <c r="BQ22" i="3"/>
  <c r="BQ23" i="3"/>
  <c r="BQ5" i="3"/>
  <c r="BS13" i="3"/>
  <c r="BS14" i="3"/>
  <c r="BS15" i="3"/>
  <c r="BS16" i="3"/>
  <c r="BS17" i="3"/>
  <c r="BS18" i="3"/>
  <c r="BS19" i="3"/>
  <c r="BS20" i="3"/>
  <c r="BS21" i="3"/>
  <c r="BS22" i="3"/>
  <c r="BS23" i="3"/>
  <c r="BS5" i="3"/>
  <c r="F28" i="6"/>
  <c r="BR13" i="3"/>
  <c r="BR14" i="3"/>
  <c r="BR15" i="3"/>
  <c r="BR16" i="3"/>
  <c r="BR17" i="3"/>
  <c r="BR18" i="3"/>
  <c r="BR19" i="3"/>
  <c r="BR20" i="3"/>
  <c r="BR21" i="3"/>
  <c r="BR22" i="3"/>
  <c r="BR23" i="3"/>
  <c r="BR5" i="3"/>
  <c r="BT13" i="3"/>
  <c r="BT14" i="3"/>
  <c r="BT15" i="3"/>
  <c r="BT16" i="3"/>
  <c r="BT17" i="3"/>
  <c r="BT18" i="3"/>
  <c r="BT19" i="3"/>
  <c r="BT20" i="3"/>
  <c r="BT21" i="3"/>
  <c r="BT22" i="3"/>
  <c r="BT23" i="3"/>
  <c r="BT5" i="3"/>
  <c r="G28" i="6"/>
  <c r="E28" i="6"/>
  <c r="K19" i="6"/>
  <c r="L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AZ5" i="3"/>
  <c r="AY6" i="3"/>
  <c r="D3" i="6"/>
  <c r="E3" i="6"/>
  <c r="H19" i="6"/>
  <c r="D19" i="6"/>
  <c r="R19" i="6"/>
  <c r="R6" i="1"/>
  <c r="F35" i="78"/>
  <c r="C34" i="78"/>
  <c r="C31" i="78"/>
  <c r="M6" i="1"/>
  <c r="S6" i="1"/>
  <c r="T6" i="1"/>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M47" i="78"/>
  <c r="J53" i="78"/>
  <c r="F1" i="78"/>
  <c r="AE6" i="1"/>
  <c r="F41" i="78"/>
  <c r="C40" i="78"/>
  <c r="M6" i="78"/>
  <c r="M8" i="78"/>
  <c r="M7" i="78"/>
  <c r="M9" i="78"/>
  <c r="J6" i="78"/>
  <c r="M11" i="78"/>
  <c r="J10" i="78"/>
  <c r="J5" i="78"/>
  <c r="J26" i="78"/>
  <c r="J29" i="78"/>
  <c r="J60" i="78"/>
  <c r="L46" i="78"/>
  <c r="B2" i="78"/>
  <c r="B3" i="78"/>
  <c r="D20" i="9"/>
  <c r="C17" i="9"/>
  <c r="D17" i="9"/>
  <c r="C18" i="9"/>
  <c r="D18" i="9"/>
  <c r="G20" i="9"/>
  <c r="R24" i="31"/>
  <c r="C34" i="34"/>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I37" i="34"/>
  <c r="G37" i="34"/>
  <c r="E37" i="34"/>
  <c r="C37" i="34"/>
  <c r="I7" i="34"/>
  <c r="G7" i="34"/>
  <c r="D20" i="6"/>
  <c r="D21" i="6"/>
  <c r="D22" i="6"/>
  <c r="D23" i="6"/>
  <c r="D24" i="6"/>
  <c r="D25" i="6"/>
  <c r="D26" i="6"/>
  <c r="D27" i="6"/>
  <c r="D28" i="6"/>
  <c r="BM5" i="3"/>
  <c r="BO5" i="3"/>
  <c r="F29" i="6"/>
  <c r="BN5" i="3"/>
  <c r="BP5" i="3"/>
  <c r="G29" i="6"/>
  <c r="E29" i="6"/>
  <c r="D29" i="6"/>
  <c r="D30" i="6"/>
  <c r="D31" i="6"/>
  <c r="F30" i="6"/>
  <c r="F31" i="6"/>
  <c r="I6" i="6"/>
  <c r="Y6" i="1"/>
  <c r="K7" i="1"/>
  <c r="K8" i="1"/>
  <c r="K9" i="1"/>
  <c r="K10" i="1"/>
  <c r="K11" i="1"/>
  <c r="K12" i="1"/>
  <c r="K13" i="1"/>
  <c r="K14" i="1"/>
  <c r="K15" i="1"/>
  <c r="K16" i="1"/>
  <c r="B29" i="1"/>
  <c r="F15" i="78"/>
  <c r="F17" i="78"/>
  <c r="F18" i="78"/>
  <c r="F20" i="78"/>
  <c r="D3" i="73"/>
  <c r="B22" i="1"/>
  <c r="E1" i="73"/>
  <c r="K1" i="73"/>
  <c r="F23" i="78"/>
  <c r="F21" i="78"/>
  <c r="B43" i="1"/>
  <c r="B41" i="1"/>
  <c r="F28" i="78"/>
  <c r="C42" i="1"/>
  <c r="C28" i="78"/>
  <c r="F32" i="78"/>
  <c r="F33" i="78"/>
  <c r="B52" i="1"/>
  <c r="F34" i="78"/>
  <c r="R8" i="1"/>
  <c r="AE8" i="1"/>
  <c r="J50" i="78"/>
  <c r="J51" i="78"/>
  <c r="C83" i="78"/>
  <c r="C82" i="78"/>
  <c r="C76" i="78"/>
  <c r="C75" i="78"/>
  <c r="C80" i="78"/>
  <c r="C7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B24" i="1"/>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14" i="1"/>
  <c r="N6" i="1"/>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26" i="31"/>
  <c r="Q26" i="31"/>
  <c r="R26" i="31"/>
  <c r="C27" i="31"/>
  <c r="Q27" i="31"/>
  <c r="R27" i="31"/>
  <c r="C28" i="31"/>
  <c r="Q28" i="31"/>
  <c r="R28" i="31"/>
  <c r="C29" i="31"/>
  <c r="Q29" i="31"/>
  <c r="R29" i="31"/>
  <c r="C30" i="31"/>
  <c r="Q30" i="31"/>
  <c r="R30" i="31"/>
  <c r="C31" i="31"/>
  <c r="Q31" i="31"/>
  <c r="R31" i="31"/>
  <c r="C32" i="31"/>
  <c r="Q32" i="31"/>
  <c r="R32" i="31"/>
  <c r="C33" i="31"/>
  <c r="Q33" i="31"/>
  <c r="R33" i="31"/>
  <c r="C34" i="31"/>
  <c r="Q34" i="31"/>
  <c r="R34" i="31"/>
  <c r="C35" i="31"/>
  <c r="Q35" i="31"/>
  <c r="R35" i="31"/>
  <c r="C36" i="31"/>
  <c r="Q36" i="31"/>
  <c r="R36" i="31"/>
  <c r="C37" i="31"/>
  <c r="Q37" i="31"/>
  <c r="R37" i="31"/>
  <c r="C38" i="31"/>
  <c r="Q38" i="31"/>
  <c r="R38" i="31"/>
  <c r="C39" i="31"/>
  <c r="Q39" i="31"/>
  <c r="R39" i="31"/>
  <c r="C40" i="31"/>
  <c r="Q40" i="31"/>
  <c r="R40" i="31"/>
  <c r="C41" i="31"/>
  <c r="Q41"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E21" i="6"/>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AZ80" i="3"/>
  <c r="AZ84" i="3"/>
  <c r="AZ88" i="3"/>
  <c r="AZ107" i="3"/>
  <c r="AZ111" i="3"/>
  <c r="M12" i="1"/>
  <c r="O12" i="1"/>
  <c r="P12" i="1"/>
  <c r="S13" i="1"/>
  <c r="AR13" i="1"/>
  <c r="R13" i="1"/>
  <c r="S11" i="1"/>
  <c r="AQ11" i="1"/>
  <c r="R11" i="1"/>
  <c r="S9" i="1"/>
  <c r="AR9" i="1"/>
  <c r="R9" i="1"/>
  <c r="J51" i="67"/>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10" i="6"/>
  <c r="E11" i="6"/>
  <c r="E60" i="39"/>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68"/>
  <c r="C10" i="68"/>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22" i="6"/>
  <c r="D16" i="6"/>
  <c r="A7" i="51"/>
  <c r="B7" i="72"/>
  <c r="C4" i="52"/>
  <c r="B45" i="72"/>
  <c r="A10" i="51"/>
  <c r="B9" i="72"/>
  <c r="H27" i="6"/>
  <c r="R27" i="6"/>
  <c r="I5" i="6"/>
  <c r="E2" i="70"/>
  <c r="C34" i="69"/>
  <c r="C35" i="69"/>
  <c r="D10" i="69"/>
  <c r="C10" i="69"/>
  <c r="S16" i="1"/>
  <c r="L48" i="15"/>
  <c r="J53" i="15"/>
  <c r="F1" i="15"/>
  <c r="AE7" i="1"/>
  <c r="T1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D19" i="68"/>
  <c r="C19" i="68"/>
  <c r="F22" i="68"/>
  <c r="C24" i="68"/>
  <c r="C26" i="68"/>
  <c r="D22" i="68"/>
  <c r="C29" i="68"/>
  <c r="D27" i="68"/>
  <c r="C35" i="68"/>
  <c r="C36" i="68"/>
  <c r="D37" i="68"/>
  <c r="C37" i="68"/>
  <c r="C38" i="68"/>
  <c r="C33" i="68"/>
  <c r="C39" i="68"/>
  <c r="C42" i="68"/>
  <c r="C43" i="68"/>
  <c r="C41" i="68"/>
  <c r="C46" i="68"/>
  <c r="C45" i="68"/>
  <c r="C44" i="68"/>
  <c r="D41" i="68"/>
  <c r="C47" i="68"/>
  <c r="D45" i="68"/>
  <c r="C49" i="68"/>
  <c r="C51" i="68"/>
  <c r="R49" i="34"/>
  <c r="T49" i="34"/>
  <c r="V49" i="34"/>
  <c r="R50" i="34"/>
  <c r="C50" i="34"/>
  <c r="B2" i="34"/>
  <c r="C19" i="9"/>
  <c r="D34" i="9"/>
  <c r="E13" i="76"/>
  <c r="M6" i="67"/>
  <c r="F7" i="15"/>
  <c r="F16" i="67"/>
  <c r="F13" i="15"/>
  <c r="AO12" i="1"/>
  <c r="E2" i="68"/>
  <c r="F26" i="15"/>
  <c r="F42" i="67"/>
  <c r="M28" i="67"/>
  <c r="L47" i="67"/>
  <c r="F36" i="67"/>
  <c r="B8" i="76"/>
  <c r="AO6" i="1"/>
  <c r="B6" i="70"/>
  <c r="F6" i="15"/>
  <c r="F8" i="15"/>
  <c r="F9" i="15"/>
  <c r="C6" i="15"/>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AO7" i="1"/>
  <c r="B7" i="70"/>
  <c r="AO8" i="1"/>
  <c r="B8" i="70"/>
  <c r="AO9" i="1"/>
  <c r="B9" i="70"/>
  <c r="AO10" i="1"/>
  <c r="B10" i="70"/>
  <c r="AO11" i="1"/>
  <c r="B11" i="70"/>
  <c r="B12" i="70"/>
  <c r="AO13" i="1"/>
  <c r="B13" i="70"/>
  <c r="B2" i="70"/>
  <c r="B3" i="70"/>
  <c r="D2" i="34"/>
  <c r="F7" i="34"/>
  <c r="AA7" i="34"/>
  <c r="C76" i="67"/>
  <c r="M28" i="15"/>
  <c r="L48" i="67"/>
  <c r="M29" i="15"/>
  <c r="F20" i="31"/>
  <c r="D2" i="33"/>
  <c r="M24" i="15"/>
  <c r="D35" i="9"/>
  <c r="F6" i="67"/>
  <c r="E2" i="69"/>
  <c r="F7" i="73"/>
  <c r="F8" i="67"/>
  <c r="M24" i="67"/>
  <c r="F9" i="67"/>
  <c r="B7" i="76"/>
  <c r="F6" i="73"/>
  <c r="D2" i="35"/>
  <c r="D6" i="73"/>
  <c r="M9" i="67"/>
  <c r="M26" i="15"/>
  <c r="L47" i="15"/>
  <c r="F37" i="67"/>
  <c r="B9" i="76"/>
  <c r="C76" i="15"/>
  <c r="F41" i="67"/>
  <c r="M29" i="67"/>
  <c r="F26" i="67"/>
  <c r="M26" i="67"/>
  <c r="D4" i="73"/>
  <c r="E11" i="76"/>
  <c r="M22" i="67"/>
  <c r="D2" i="21"/>
  <c r="M21" i="67"/>
  <c r="F5" i="73"/>
  <c r="D7" i="73"/>
  <c r="B11" i="76"/>
  <c r="J15" i="15"/>
  <c r="F43" i="67"/>
  <c r="F38" i="67"/>
  <c r="F40" i="67"/>
  <c r="B12" i="76"/>
  <c r="E9" i="76"/>
  <c r="M8" i="67"/>
  <c r="E10" i="76"/>
  <c r="F35" i="67"/>
  <c r="E7" i="76"/>
  <c r="B10" i="76"/>
  <c r="D19" i="9"/>
  <c r="M22" i="15"/>
  <c r="B13" i="76"/>
  <c r="M23" i="67"/>
  <c r="M23" i="15"/>
  <c r="F7" i="67"/>
  <c r="D2" i="37"/>
  <c r="M21" i="15"/>
  <c r="F13" i="67"/>
  <c r="M27" i="67"/>
  <c r="J15" i="67"/>
  <c r="E12" i="76"/>
  <c r="D2" i="36"/>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D102" i="9"/>
  <c r="D21" i="9"/>
  <c r="Q71" i="15"/>
  <c r="F63" i="15"/>
  <c r="C62" i="15"/>
  <c r="L56" i="15"/>
  <c r="J57" i="15"/>
  <c r="J55" i="15"/>
  <c r="J58" i="15"/>
  <c r="Q50" i="15"/>
  <c r="I54" i="15"/>
  <c r="B20" i="31"/>
  <c r="B21" i="31"/>
  <c r="F51" i="67"/>
  <c r="F65" i="67"/>
  <c r="J20" i="67"/>
  <c r="J53" i="67"/>
  <c r="J57" i="67"/>
  <c r="J55" i="67"/>
  <c r="J58" i="67"/>
  <c r="Q50" i="67"/>
  <c r="L56" i="67"/>
  <c r="I54" i="67"/>
  <c r="F69" i="15"/>
  <c r="F50" i="15"/>
  <c r="F51" i="15"/>
  <c r="F71" i="15"/>
  <c r="F69" i="67"/>
  <c r="F66" i="67"/>
  <c r="M59" i="15"/>
  <c r="L59" i="15"/>
  <c r="N59" i="15"/>
  <c r="L58" i="15"/>
  <c r="F66" i="15"/>
  <c r="Q71" i="67"/>
  <c r="F64" i="15"/>
  <c r="F70" i="67"/>
  <c r="D103" i="9"/>
  <c r="C27" i="67"/>
  <c r="F71" i="67"/>
  <c r="F65" i="15"/>
  <c r="C103" i="9"/>
  <c r="N59" i="67"/>
  <c r="L59" i="67"/>
  <c r="L58" i="67"/>
  <c r="M59" i="67"/>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J59"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L51" i="15"/>
  <c r="L57" i="15"/>
  <c r="L60"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B3" i="15"/>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C6" i="68"/>
  <c r="C7" i="68"/>
  <c r="C5" i="68"/>
  <c r="C20" i="68"/>
  <c r="C23" i="68"/>
  <c r="C25" i="68"/>
  <c r="C22" i="68"/>
  <c r="C28" i="68"/>
  <c r="C27" i="68"/>
  <c r="C31" i="68"/>
  <c r="C52" i="68"/>
  <c r="C57" i="68"/>
  <c r="C56" i="68"/>
  <c r="B2" i="68"/>
  <c r="B3" i="68"/>
  <c r="L68" i="9"/>
  <c r="M68" i="9"/>
  <c r="L65" i="9"/>
  <c r="M65" i="9"/>
  <c r="L66" i="9"/>
  <c r="M66" i="9"/>
  <c r="L64" i="9"/>
  <c r="M64" i="9"/>
  <c r="L67" i="9"/>
  <c r="M67" i="9"/>
  <c r="L63" i="9"/>
  <c r="M63" i="9"/>
  <c r="M69" i="9"/>
  <c r="N69" i="9"/>
  <c r="P57" i="9"/>
  <c r="D55" i="9"/>
  <c r="M53" i="9"/>
  <c r="N57" i="9"/>
  <c r="N58" i="9"/>
  <c r="H4" i="52"/>
  <c r="C104" i="9"/>
  <c r="C105" i="9"/>
  <c r="I4" i="52"/>
  <c r="E14" i="74"/>
  <c r="F14" i="74"/>
  <c r="D5" i="74"/>
  <c r="D14" i="74"/>
  <c r="B5" i="74"/>
  <c r="C5" i="74"/>
  <c r="D6" i="74"/>
  <c r="G14" i="74"/>
  <c r="B6" i="74"/>
  <c r="C6" i="74"/>
  <c r="D52" i="9"/>
  <c r="D53" i="9"/>
  <c r="B52" i="72"/>
  <c r="G4" i="52"/>
  <c r="B48" i="72"/>
  <c r="E4" i="52"/>
  <c r="B20" i="72"/>
  <c r="D8" i="52"/>
  <c r="M55" i="9"/>
  <c r="D59" i="9"/>
  <c r="E97" i="9"/>
  <c r="E96" i="9"/>
  <c r="C96" i="9"/>
  <c r="M54" i="9"/>
  <c r="D56" i="9"/>
  <c r="D58" i="9"/>
  <c r="C85" i="9"/>
  <c r="C95" i="9"/>
  <c r="C97" i="9"/>
  <c r="B49" i="72"/>
  <c r="D5" i="52"/>
  <c r="D119" i="9"/>
  <c r="B32" i="72"/>
  <c r="D14" i="53"/>
  <c r="C81" i="9"/>
  <c r="M48" i="9"/>
  <c r="D13" i="53"/>
  <c r="B30" i="72"/>
  <c r="C64" i="9"/>
  <c r="C63" i="9"/>
  <c r="C67" i="9"/>
  <c r="C68" i="9"/>
  <c r="D54" i="9"/>
  <c r="C78" i="9"/>
  <c r="C73" i="9"/>
  <c r="E118" i="9"/>
  <c r="D118" i="9"/>
  <c r="D4" i="52"/>
  <c r="B47" i="72"/>
  <c r="N61" i="9"/>
  <c r="M49" i="9"/>
  <c r="N59" i="9"/>
  <c r="N60" i="9"/>
  <c r="C72" i="9"/>
  <c r="C79" i="9"/>
  <c r="C80" i="9"/>
  <c r="E80" i="9"/>
  <c r="E81" i="9"/>
  <c r="H102" i="9"/>
  <c r="D7" i="53"/>
  <c r="B21" i="72"/>
  <c r="D122" i="9"/>
  <c r="D123" i="9"/>
  <c r="D9" i="52"/>
  <c r="B31" i="72"/>
  <c r="D15" i="53"/>
  <c r="H107" i="9"/>
  <c r="H108" i="9"/>
  <c r="F4" i="52"/>
  <c r="B51" i="72"/>
  <c r="D45" i="9"/>
  <c r="C93" i="9"/>
  <c r="C86" i="9"/>
  <c r="H101" i="9"/>
  <c r="D5" i="53"/>
  <c r="D6" i="53"/>
  <c r="B22" i="72"/>
  <c r="G118" i="9"/>
  <c r="F118" i="9"/>
  <c r="F119" i="9"/>
  <c r="F5" i="52"/>
  <c r="B53" i="72"/>
  <c r="I118" i="9"/>
  <c r="H118" i="9"/>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<sst xmlns="http://schemas.openxmlformats.org/spreadsheetml/2006/main" count="8003" uniqueCount="3268">
  <si>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</si>
  <si>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</si>
  <si>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</si>
  <si>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</si>
  <si>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</si>
  <si>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</si>
  <si>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</si>
  <si>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</si>
  <si>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</si>
  <si>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</si>
  <si>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</si>
  <si>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</si>
  <si>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</si>
  <si>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</si>
  <si>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</si>
  <si>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</si>
  <si>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</si>
  <si>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</si>
  <si>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</si>
  <si>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</si>
  <si>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</si>
  <si>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</si>
  <si>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</si>
  <si>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</si>
  <si>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</si>
  <si>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</si>
  <si>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</si>
  <si>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</si>
  <si>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</si>
  <si>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</si>
  <si>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</si>
  <si>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</si>
  <si>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</si>
  <si>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</si>
  <si>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</si>
  <si>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</si>
  <si>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</si>
  <si>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</si>
  <si>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</si>
  <si>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</si>
  <si>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</si>
  <si>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</si>
  <si>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</si>
  <si>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</si>
  <si>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</si>
  <si>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</si>
  <si>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</si>
  <si>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</si>
  <si>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</si>
  <si>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</si>
  <si>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</si>
  <si>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</si>
  <si>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</si>
  <si>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</si>
  <si>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</si>
  <si>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</si>
  <si>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</si>
  <si>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</si>
  <si>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</si>
  <si>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</si>
  <si>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</si>
  <si>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</si>
  <si>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</si>
  <si>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</si>
  <si>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</si>
  <si>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</si>
  <si>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</si>
  <si>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</si>
  <si>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</si>
  <si>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</si>
  <si>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</si>
  <si>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</si>
  <si>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</si>
  <si>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</si>
  <si>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</si>
  <si>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</si>
  <si>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</si>
  <si>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</si>
  <si>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</si>
  <si>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</si>
  <si>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</si>
  <si>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</si>
  <si>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</si>
  <si>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</si>
  <si>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</si>
  <si>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</si>
  <si>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</si>
  <si>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</si>
  <si>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</si>
  <si>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</si>
  <si>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</si>
  <si>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</si>
  <si>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</si>
  <si>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</si>
  <si>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</si>
  <si>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</si>
  <si>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</si>
  <si>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</si>
  <si>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</si>
  <si>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</si>
  <si>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</si>
  <si>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</si>
  <si>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</si>
  <si>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</si>
  <si>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</si>
  <si>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</si>
  <si>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</si>
  <si>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</si>
  <si>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</si>
  <si>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</si>
  <si>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</si>
  <si>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</si>
  <si>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</si>
  <si>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</si>
  <si>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</si>
  <si>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</si>
  <si>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</si>
  <si>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</si>
  <si>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</si>
  <si>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</si>
  <si>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</si>
  <si>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</si>
  <si>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</si>
  <si>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</si>
  <si>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</si>
  <si>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</si>
  <si>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</si>
  <si>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</si>
  <si>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</si>
  <si>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</si>
  <si>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</si>
  <si>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</si>
  <si>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</si>
  <si>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</si>
  <si>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</si>
  <si>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</si>
  <si>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</si>
  <si>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</si>
  <si>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</si>
  <si>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</si>
  <si>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</si>
  <si>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</si>
  <si>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</si>
  <si>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</si>
  <si>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</si>
  <si>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</si>
  <si>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</si>
  <si>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</si>
  <si>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</si>
  <si>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</si>
  <si>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</si>
  <si>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</si>
  <si>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</si>
  <si>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</si>
  <si>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</si>
  <si>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</si>
  <si>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</si>
  <si>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</si>
  <si>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</si>
  <si>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</si>
  <si>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</si>
  <si>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</si>
  <si>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</si>
  <si>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</si>
  <si>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</si>
  <si>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</si>
  <si>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</si>
  <si>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</si>
  <si>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</si>
  <si>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</si>
  <si>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</si>
  <si>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</si>
  <si>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</si>
  <si>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</si>
  <si>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</si>
  <si>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</si>
  <si>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</si>
  <si>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</si>
  <si>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</si>
  <si>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</si>
  <si>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</si>
  <si>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</si>
  <si>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</si>
  <si>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</si>
  <si>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</si>
  <si>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</si>
  <si>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</si>
  <si>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</si>
  <si>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</si>
  <si>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</si>
  <si>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</si>
  <si>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</si>
  <si>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</si>
  <si>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</si>
  <si>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</si>
  <si>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</si>
  <si>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</si>
  <si>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</si>
  <si>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</si>
  <si>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</si>
  <si>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</si>
  <si>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</si>
  <si>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</si>
  <si>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</si>
  <si>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</si>
  <si>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</si>
  <si>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</si>
  <si>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</si>
  <si>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</si>
  <si>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</si>
  <si>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</si>
  <si>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</si>
  <si>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</si>
  <si>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</si>
  <si>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</si>
  <si>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</si>
  <si>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</si>
  <si>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</si>
  <si>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</si>
  <si>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</si>
  <si>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</si>
  <si>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</si>
  <si>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</si>
  <si>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</si>
  <si>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</si>
  <si>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</si>
  <si>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</si>
  <si>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</si>
  <si>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</si>
  <si>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</si>
  <si>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</si>
  <si>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</si>
  <si>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</si>
  <si>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</si>
  <si>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</si>
  <si>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</si>
  <si>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</si>
  <si>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</si>
  <si>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</si>
  <si>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</si>
  <si>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</si>
  <si>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</si>
  <si>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</si>
  <si>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</si>
  <si>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</si>
  <si>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</si>
  <si>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</si>
  <si>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</si>
  <si>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</si>
  <si>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</si>
  <si>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</si>
  <si>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</si>
  <si>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</si>
  <si>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</si>
  <si>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</si>
  <si>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</si>
  <si>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</si>
  <si>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</si>
  <si>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</si>
  <si>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</si>
  <si>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</si>
  <si>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</si>
  <si>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</si>
  <si>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</si>
  <si>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</si>
  <si>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</si>
  <si>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</si>
  <si>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</si>
  <si>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</si>
  <si>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</si>
  <si>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</si>
  <si>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</si>
  <si>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</si>
  <si>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</si>
  <si>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</si>
  <si>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</si>
  <si>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</si>
  <si>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</si>
  <si>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</si>
  <si>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</si>
  <si>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</si>
  <si>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</si>
  <si>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</si>
  <si>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</si>
  <si>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</si>
  <si>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</si>
  <si>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</si>
  <si>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</si>
  <si>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</si>
  <si>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</si>
  <si>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</si>
  <si>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</si>
  <si>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</si>
  <si>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</si>
  <si>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</si>
  <si>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</si>
  <si>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</si>
  <si>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</si>
  <si>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</si>
  <si>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</si>
  <si>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</si>
  <si>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</si>
  <si>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</si>
  <si>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</si>
  <si>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</si>
  <si>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</si>
  <si>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</si>
  <si>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</si>
  <si>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</si>
  <si>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</si>
  <si>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</si>
  <si>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</si>
  <si>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</si>
  <si>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</si>
  <si>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</si>
  <si>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</si>
  <si>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</si>
  <si>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</si>
  <si>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</si>
  <si>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</si>
  <si>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</si>
  <si>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</si>
  <si>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</si>
  <si>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</si>
  <si>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</si>
  <si>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</si>
  <si>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</si>
  <si>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</si>
  <si>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</si>
  <si>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</si>
  <si>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</si>
  <si>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</si>
  <si>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</si>
  <si>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</si>
  <si>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</si>
  <si>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</si>
  <si>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</si>
  <si>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</si>
  <si>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</si>
  <si>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</si>
  <si>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</si>
  <si>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</si>
  <si>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</si>
  <si>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</si>
  <si>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</si>
  <si>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</si>
  <si>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</si>
  <si>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</si>
  <si>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</si>
  <si>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</si>
  <si>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</si>
  <si>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</si>
  <si>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</si>
  <si>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</si>
  <si>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</si>
  <si>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</si>
  <si>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</si>
  <si>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</si>
  <si>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</si>
  <si>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</si>
  <si>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</si>
  <si>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</si>
  <si>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</si>
  <si>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</si>
  <si>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</si>
  <si>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</si>
  <si>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</si>
  <si>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</si>
  <si>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</si>
  <si>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</si>
  <si>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</si>
  <si>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</si>
  <si>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</si>
  <si>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</si>
  <si>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</si>
  <si>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</si>
  <si>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</si>
  <si>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</si>
  <si>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</si>
  <si>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</si>
  <si>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</si>
  <si>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</si>
  <si>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</si>
  <si>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</si>
  <si>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</si>
  <si>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</si>
  <si>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</si>
  <si>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</si>
  <si>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</si>
  <si>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</si>
  <si>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</si>
  <si>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</si>
  <si>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</si>
  <si>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</si>
  <si>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</si>
  <si>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</si>
  <si>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</si>
  <si>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</si>
  <si>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</si>
  <si>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</si>
  <si>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</si>
  <si>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</si>
  <si>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</si>
  <si>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</si>
  <si>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</si>
  <si>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</si>
  <si>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</si>
  <si>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</si>
  <si>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</si>
  <si>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</si>
  <si>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</si>
  <si>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</si>
  <si>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</si>
  <si>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</si>
  <si>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</si>
  <si>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</si>
  <si>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</si>
  <si>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</si>
  <si>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</si>
  <si>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</si>
  <si>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</si>
  <si>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</si>
  <si>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</si>
  <si>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</si>
  <si>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</si>
  <si>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</si>
  <si>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</si>
  <si>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</si>
  <si>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</si>
  <si>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</si>
  <si>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</si>
  <si>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</si>
  <si>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</si>
  <si>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</si>
  <si>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</si>
  <si>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</si>
  <si>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</si>
  <si>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</si>
  <si>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</si>
  <si>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</si>
  <si>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</si>
  <si>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</si>
  <si>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</si>
  <si>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</si>
  <si>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</si>
  <si>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</si>
  <si>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</si>
  <si>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</si>
  <si>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</si>
  <si>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</si>
  <si>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</si>
  <si>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</si>
  <si>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</si>
  <si>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</si>
  <si>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</si>
  <si>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</si>
  <si>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</si>
  <si>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</si>
  <si>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</si>
  <si>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</si>
  <si>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</si>
  <si>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</si>
  <si>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</si>
  <si>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</si>
  <si>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</si>
  <si>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</si>
  <si>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</si>
  <si>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</si>
  <si>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</si>
  <si>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</si>
  <si>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</si>
  <si>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</si>
  <si>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</si>
  <si>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</si>
  <si>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</si>
  <si>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</si>
  <si>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</si>
  <si>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</si>
  <si>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</si>
  <si>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</si>
  <si>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</si>
  <si>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</si>
  <si>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</si>
  <si>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</si>
  <si>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</si>
  <si>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</si>
  <si>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</si>
  <si>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</si>
  <si>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</si>
  <si>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</si>
  <si>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</si>
  <si>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</si>
  <si>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</si>
  <si>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</si>
  <si>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</si>
  <si>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</si>
  <si>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</si>
  <si>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</si>
  <si>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</si>
  <si>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</si>
  <si>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</si>
  <si>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</si>
  <si>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</si>
  <si>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</si>
  <si>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</si>
  <si>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</si>
  <si>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</si>
  <si>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</si>
  <si>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</si>
  <si>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</si>
  <si>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</si>
  <si>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</si>
  <si>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</si>
  <si>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</si>
  <si>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</si>
  <si>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</si>
  <si>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</si>
  <si>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</si>
  <si>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</si>
  <si>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</si>
  <si>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</si>
  <si>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</si>
  <si>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</si>
  <si>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</si>
  <si>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</si>
  <si>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</si>
  <si>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</si>
  <si>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</si>
  <si>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</si>
  <si>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</si>
  <si>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</si>
  <si>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</si>
  <si>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</si>
  <si>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</si>
  <si>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</si>
  <si>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</si>
  <si>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</si>
  <si>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</si>
  <si>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</si>
  <si>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</si>
  <si>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</si>
  <si>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</si>
  <si>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</si>
  <si>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</si>
  <si>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</si>
  <si>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</si>
  <si>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</si>
  <si>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</si>
  <si>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</si>
  <si>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</si>
  <si>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</si>
  <si>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</si>
  <si>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</si>
  <si>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</si>
  <si>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</si>
  <si>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</si>
  <si>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</si>
  <si>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</si>
  <si>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</si>
  <si>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</si>
  <si>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</si>
  <si>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</si>
  <si>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</si>
  <si>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</si>
  <si>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</si>
  <si>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</si>
  <si>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</si>
  <si>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</si>
  <si>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</si>
  <si>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</si>
  <si>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</si>
  <si>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</si>
  <si>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</si>
  <si>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</si>
  <si>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</si>
  <si>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</si>
  <si>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</si>
  <si>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</si>
  <si>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</si>
  <si>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</si>
  <si>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</si>
  <si>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</si>
  <si>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</si>
  <si>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</si>
  <si>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</si>
  <si>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</si>
  <si>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</si>
  <si>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</si>
  <si>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</si>
  <si>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</si>
  <si>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</si>
  <si>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</si>
  <si>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</si>
  <si>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</si>
  <si>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</si>
  <si>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</si>
  <si>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</si>
  <si>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</si>
  <si>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</si>
  <si>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</si>
  <si>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</si>
  <si>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</si>
  <si>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</si>
  <si>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</si>
  <si>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</si>
  <si>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</si>
  <si>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</si>
  <si>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</si>
  <si>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</si>
  <si>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</si>
  <si>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</si>
  <si>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</si>
  <si>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</si>
  <si>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</si>
  <si>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</si>
  <si>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</si>
  <si>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</si>
  <si>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</si>
  <si>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</si>
  <si>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</si>
  <si>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</si>
  <si>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</si>
  <si>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</si>
  <si>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</si>
  <si>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</si>
  <si>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</si>
  <si>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</si>
  <si>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</si>
  <si>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</si>
  <si>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</si>
  <si>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</si>
  <si>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</si>
  <si>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</si>
  <si>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</si>
  <si>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</si>
  <si>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</si>
  <si>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</si>
  <si>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</si>
  <si>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</si>
  <si>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</si>
  <si>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</si>
  <si>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</si>
  <si>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</si>
  <si>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</si>
  <si>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</si>
  <si>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</si>
  <si>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</si>
  <si>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</si>
  <si>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</si>
  <si>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</si>
  <si>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</si>
  <si>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</si>
  <si>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</si>
  <si>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</si>
  <si>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</si>
  <si>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</si>
  <si>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</si>
  <si>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</si>
  <si>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</si>
  <si>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</si>
  <si>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</si>
  <si>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</si>
  <si>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</si>
  <si>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</si>
  <si>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</si>
  <si>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</si>
  <si>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</si>
  <si>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</si>
  <si>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</si>
  <si>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</si>
  <si>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</si>
  <si>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</si>
  <si>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</si>
  <si>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</si>
  <si>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</si>
  <si>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</si>
  <si>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</si>
  <si>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</si>
  <si>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</si>
  <si>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</si>
  <si>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</si>
  <si>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</si>
  <si>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</si>
  <si>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</si>
  <si>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</si>
  <si>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</si>
  <si>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</si>
  <si>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</si>
  <si>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</si>
  <si>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</si>
  <si>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</si>
  <si>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</si>
  <si>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</si>
  <si>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</si>
  <si>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</si>
  <si>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</si>
  <si>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</si>
  <si>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</si>
  <si>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</si>
  <si>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</si>
  <si>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</si>
  <si>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</si>
  <si>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</si>
  <si>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</si>
  <si>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</si>
  <si>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</si>
  <si>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</si>
  <si>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</si>
  <si>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</si>
  <si>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</si>
  <si>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</si>
  <si>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</si>
  <si>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</si>
  <si>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</si>
  <si>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</si>
  <si>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</si>
  <si>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</si>
  <si>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</si>
  <si>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</si>
  <si>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</si>
  <si>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</si>
  <si>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</si>
  <si>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</si>
  <si>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</si>
  <si>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</si>
  <si>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</si>
  <si>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</si>
  <si>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</si>
  <si>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</si>
  <si>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</si>
  <si>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</si>
  <si>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</si>
  <si>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</si>
  <si>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</si>
  <si>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</si>
  <si>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</si>
  <si>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</si>
  <si>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</si>
  <si>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</si>
  <si>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</si>
  <si>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</si>
  <si>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</si>
  <si>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</si>
  <si>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</si>
  <si>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</si>
  <si>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</si>
  <si>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</si>
  <si>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</si>
  <si>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</si>
  <si>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</si>
  <si>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</si>
  <si>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</si>
  <si>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</si>
  <si>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</si>
  <si>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</si>
  <si>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</si>
  <si>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</si>
  <si>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</si>
  <si>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</si>
  <si>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</si>
  <si>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</si>
  <si>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</si>
  <si>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</si>
  <si>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</si>
  <si>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</si>
  <si>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</si>
  <si>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</si>
  <si>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</si>
  <si>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</si>
  <si>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</si>
  <si>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</si>
  <si>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</si>
  <si>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</si>
  <si>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</si>
  <si>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</si>
  <si>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</si>
  <si>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</si>
  <si>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</si>
  <si>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</si>
  <si>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</si>
  <si>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</si>
  <si>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</si>
  <si>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</si>
  <si>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</si>
  <si>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</si>
  <si>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</si>
  <si>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</si>
  <si>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</si>
  <si>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</si>
  <si>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</si>
  <si>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</si>
  <si>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</si>
  <si>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</si>
  <si>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</si>
  <si>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</si>
  <si>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</si>
  <si>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</si>
  <si>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</si>
  <si>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</si>
  <si>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</si>
  <si>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</si>
  <si>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</si>
  <si>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</si>
  <si>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</si>
  <si>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</si>
  <si>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</si>
  <si>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</si>
  <si>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</si>
  <si>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</si>
  <si>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</si>
  <si>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</si>
  <si>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</si>
  <si>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</si>
  <si>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</si>
  <si>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</si>
  <si>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</si>
  <si>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</si>
  <si>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</si>
  <si>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</si>
  <si>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</si>
  <si>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</si>
  <si>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</si>
  <si>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</si>
  <si>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</si>
  <si>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</si>
  <si>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</si>
  <si>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</si>
  <si>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</si>
  <si>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</si>
  <si>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</si>
  <si>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</si>
  <si>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</si>
  <si>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</si>
  <si>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</si>
  <si>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</si>
  <si>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</si>
  <si>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</si>
  <si>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</si>
  <si>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</si>
  <si>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</si>
  <si>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</si>
  <si>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</si>
  <si>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</si>
  <si>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</si>
  <si>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</si>
  <si>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</si>
  <si>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</si>
  <si>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</si>
  <si>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</si>
  <si>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</si>
  <si>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</si>
  <si>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</si>
  <si>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</si>
  <si>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</si>
  <si>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</si>
  <si>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</si>
  <si>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</si>
  <si>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</si>
  <si>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</si>
  <si>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</si>
  <si>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</si>
  <si>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</si>
  <si>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</si>
  <si>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</si>
  <si>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</si>
  <si>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</si>
  <si>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</si>
  <si>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</si>
  <si>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</si>
  <si>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</si>
  <si>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</si>
  <si>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</si>
  <si>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</si>
  <si>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</si>
  <si>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</si>
  <si>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</si>
  <si>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</si>
  <si>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</si>
  <si>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</si>
  <si>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</si>
  <si>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</si>
  <si>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</si>
  <si>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</si>
  <si>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</si>
  <si>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</si>
  <si>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</si>
  <si>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</si>
  <si>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</si>
  <si>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</si>
  <si>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</si>
  <si>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</si>
  <si>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</si>
  <si>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</si>
  <si>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</si>
  <si>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</si>
  <si>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</si>
  <si>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</si>
  <si>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</si>
  <si>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</si>
  <si>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</si>
  <si>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</si>
  <si>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</si>
  <si>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</si>
  <si>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</si>
  <si>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</si>
  <si>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</si>
  <si>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</si>
  <si>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</si>
  <si>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</si>
  <si>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</si>
  <si>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</si>
  <si>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</si>
  <si>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</si>
  <si>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</si>
  <si>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</si>
  <si>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</si>
  <si>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</si>
  <si>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</si>
  <si>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</si>
  <si>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</si>
  <si>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</si>
  <si>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</si>
  <si>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</si>
  <si>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</si>
  <si>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</si>
  <si>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</si>
  <si>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</si>
  <si>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</si>
  <si>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</si>
  <si>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</si>
  <si>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</si>
  <si>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</si>
  <si>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</si>
  <si>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</si>
  <si>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</si>
  <si>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</si>
  <si>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</si>
  <si>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</si>
  <si>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</si>
  <si>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</si>
  <si>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</si>
  <si>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</si>
  <si>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</si>
  <si>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</si>
  <si>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</si>
  <si>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</si>
  <si>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</si>
  <si>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</si>
  <si>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</si>
  <si>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</si>
  <si>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</si>
  <si>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</si>
  <si>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</si>
  <si>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</si>
  <si>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</si>
  <si>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</si>
  <si>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</si>
  <si>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</si>
  <si>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</si>
  <si>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</si>
  <si>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</si>
  <si>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</si>
  <si>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</si>
  <si>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</si>
  <si>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</si>
  <si>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</si>
  <si>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</si>
  <si>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</si>
  <si>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</si>
  <si>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</si>
  <si>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</si>
  <si>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</si>
  <si>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</si>
  <si>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</si>
  <si>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</si>
  <si>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</si>
  <si>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</si>
  <si>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</si>
  <si>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</si>
  <si>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</si>
  <si>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</si>
  <si>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</si>
  <si>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</si>
  <si>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</si>
  <si>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</si>
  <si>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</si>
  <si>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</si>
  <si>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</si>
  <si>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</si>
  <si>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</si>
  <si>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</si>
  <si>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</si>
  <si>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</si>
  <si>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</si>
  <si>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</si>
  <si>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</si>
  <si>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</si>
  <si>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</si>
  <si>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</si>
  <si>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</si>
  <si>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</si>
  <si>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</si>
  <si>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</si>
  <si>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</si>
  <si>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</si>
  <si>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</si>
  <si>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</si>
  <si>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</si>
  <si>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</si>
  <si>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</si>
  <si>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</si>
  <si>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</si>
  <si>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</si>
  <si>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</si>
  <si>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</si>
  <si>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</si>
  <si>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</si>
  <si>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</si>
  <si>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</si>
  <si>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</si>
  <si>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</si>
  <si>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</si>
  <si>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</si>
  <si>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</si>
  <si>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</si>
  <si>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</si>
  <si>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</si>
  <si>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</si>
  <si>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</si>
  <si>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</si>
  <si>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</si>
  <si>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</si>
  <si>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</si>
  <si>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</si>
  <si>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</si>
  <si>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</si>
  <si>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</si>
  <si>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</si>
  <si>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</si>
  <si>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</si>
  <si>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</si>
  <si>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</si>
  <si>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</si>
  <si>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</si>
  <si>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</si>
  <si>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</si>
  <si>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</si>
  <si>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</si>
  <si>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</si>
  <si>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</si>
  <si>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</si>
  <si>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</si>
  <si>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</si>
  <si>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</si>
  <si>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</si>
  <si>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</si>
  <si>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</si>
  <si>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</si>
  <si>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</si>
  <si>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</si>
  <si>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</si>
  <si>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</si>
  <si>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</si>
  <si>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</si>
  <si>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</si>
  <si>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</si>
  <si>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</si>
  <si>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</si>
  <si>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</si>
  <si>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</si>
  <si>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</si>
  <si>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</si>
  <si>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</si>
  <si>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</si>
  <si>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</si>
  <si>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</si>
  <si>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</si>
  <si>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</si>
  <si>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</si>
  <si>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</si>
  <si>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</si>
  <si>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</si>
  <si>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</si>
  <si>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</si>
  <si>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</si>
  <si>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</si>
  <si>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</si>
  <si>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</si>
  <si>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</si>
  <si>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</si>
  <si>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</si>
  <si>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</si>
  <si>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</si>
  <si>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</si>
  <si>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</si>
  <si>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</si>
  <si>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</si>
  <si>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</si>
  <si>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</si>
  <si>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</si>
  <si>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</si>
  <si>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</si>
  <si>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</si>
  <si>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</si>
  <si>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</si>
  <si>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</si>
  <si>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</si>
  <si>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</si>
  <si>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</si>
  <si>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</si>
  <si>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</si>
  <si>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</si>
  <si>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</si>
  <si>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</si>
  <si>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</si>
  <si>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</si>
  <si>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</si>
  <si>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</si>
  <si>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</si>
  <si>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</si>
  <si>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</si>
  <si>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</si>
  <si>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</si>
  <si>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</si>
  <si>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</si>
  <si>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</si>
  <si>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</si>
  <si>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</si>
  <si>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</si>
  <si>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</si>
  <si>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</si>
  <si>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</si>
  <si>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</si>
  <si>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</si>
  <si>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</si>
  <si>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</si>
  <si>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</si>
  <si>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</si>
  <si>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</si>
  <si>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</si>
  <si>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</si>
  <si>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</si>
  <si>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</si>
  <si>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</si>
  <si>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</si>
  <si>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</si>
  <si>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</si>
  <si>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</si>
  <si>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</si>
  <si>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</si>
  <si>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</si>
  <si>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</si>
  <si>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</si>
  <si>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</si>
  <si>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</si>
  <si>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</si>
  <si>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</si>
  <si>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</si>
  <si>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</si>
  <si>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</si>
  <si>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</si>
  <si>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</si>
  <si>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</si>
  <si>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</si>
  <si>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</si>
  <si>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</si>
  <si>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</si>
  <si>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</si>
  <si>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</si>
  <si>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</si>
  <si>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</si>
  <si>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</si>
  <si>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</si>
  <si>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</si>
  <si>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</si>
  <si>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</si>
  <si>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</si>
  <si>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</si>
  <si>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</si>
  <si>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</si>
  <si>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</si>
  <si>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</si>
  <si>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</si>
  <si>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</si>
  <si>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</si>
  <si>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</si>
  <si>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</si>
  <si>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</si>
  <si>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</si>
  <si>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</si>
  <si>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</si>
  <si>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</si>
  <si>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</si>
  <si>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</si>
  <si>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</si>
  <si>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</si>
  <si>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</si>
  <si>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</si>
  <si>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</si>
  <si>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</si>
  <si>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</si>
  <si>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</si>
  <si>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</si>
  <si>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</si>
  <si>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</si>
  <si>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</si>
  <si>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</si>
  <si>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</si>
  <si>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</si>
  <si>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</si>
  <si>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</si>
  <si>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</si>
  <si>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</si>
  <si>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</si>
  <si>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</si>
  <si>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</si>
  <si>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</si>
  <si>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</si>
  <si>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</si>
  <si>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</si>
  <si>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</si>
  <si>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</si>
  <si>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</si>
  <si>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</si>
  <si>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</si>
  <si>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</si>
  <si>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</si>
  <si>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</si>
  <si>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</si>
  <si>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</si>
  <si>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</si>
  <si>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</si>
  <si>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</si>
  <si>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</si>
  <si>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</si>
  <si>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</si>
  <si>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</si>
  <si>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</si>
  <si>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</si>
  <si>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</si>
  <si>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</si>
  <si>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</si>
  <si>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</si>
  <si>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</si>
  <si>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</si>
  <si>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</si>
  <si>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</si>
  <si>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</si>
  <si>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</si>
  <si>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</si>
  <si>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</si>
  <si>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</si>
  <si>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</si>
  <si>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</si>
  <si>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</si>
  <si>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</si>
  <si>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</si>
  <si>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</si>
  <si>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</si>
  <si>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</si>
  <si>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</si>
  <si>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</si>
  <si>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</si>
  <si>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</si>
  <si>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</si>
  <si>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</si>
  <si>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</si>
  <si>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</si>
  <si>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</si>
  <si>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</si>
  <si>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</si>
  <si>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</si>
  <si>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</si>
  <si>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</si>
  <si>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</si>
  <si>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</si>
  <si>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</si>
  <si>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</si>
  <si>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</si>
  <si>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</si>
  <si>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</si>
  <si>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</si>
  <si>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</si>
  <si>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</si>
  <si>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</si>
  <si>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</si>
  <si>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</si>
  <si>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</si>
  <si>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</si>
  <si>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</si>
  <si>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</si>
  <si>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</si>
  <si>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</si>
  <si>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</si>
  <si>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</si>
  <si>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</si>
  <si>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</si>
  <si>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</si>
  <si>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</si>
  <si>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</si>
  <si>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</si>
  <si>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</si>
  <si>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</si>
  <si>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</si>
  <si>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</si>
  <si>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</si>
  <si>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</si>
  <si>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</si>
  <si>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</si>
  <si>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</si>
  <si>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</si>
  <si>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</si>
  <si>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</si>
  <si>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</si>
  <si>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</si>
  <si>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</si>
  <si>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</si>
  <si>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</si>
  <si>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</si>
  <si>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</si>
  <si>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</si>
  <si>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</si>
  <si>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</si>
  <si>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</si>
  <si>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</si>
  <si>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</si>
  <si>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</si>
  <si>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</si>
  <si>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</si>
  <si>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</si>
  <si>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</si>
  <si>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</si>
  <si>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</si>
  <si>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</si>
  <si>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</si>
  <si>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</si>
  <si>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</si>
  <si>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</si>
  <si>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</si>
  <si>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</si>
  <si>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</si>
  <si>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</si>
  <si>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</si>
  <si>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</si>
  <si>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</si>
  <si>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</si>
  <si>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</si>
  <si>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</si>
  <si>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</si>
  <si>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</si>
  <si>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</si>
  <si>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</si>
  <si>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</si>
  <si>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</si>
  <si>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</si>
  <si>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</si>
  <si>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</si>
  <si>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</si>
  <si>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</si>
  <si>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</si>
  <si>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</si>
  <si>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</si>
  <si>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</si>
  <si>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</si>
  <si>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</si>
  <si>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</si>
  <si>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</si>
  <si>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</si>
  <si>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</si>
  <si>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</si>
  <si>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</si>
  <si>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</si>
  <si>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</si>
  <si>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</si>
  <si>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</si>
  <si>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</si>
  <si>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</si>
  <si>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</si>
  <si>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</si>
  <si>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</si>
  <si>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</si>
  <si>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</si>
  <si>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</si>
  <si>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</si>
  <si>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</si>
  <si>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</si>
  <si>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</si>
  <si>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</si>
  <si>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</si>
  <si>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</si>
  <si>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</si>
  <si>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</si>
  <si>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</si>
  <si>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</si>
  <si>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</si>
  <si>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</si>
  <si>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</si>
  <si>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</si>
  <si>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</si>
  <si>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</si>
  <si>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</si>
  <si>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</si>
  <si>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</si>
  <si>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</si>
  <si>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</si>
  <si>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</si>
  <si>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</si>
  <si>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</si>
  <si>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</si>
  <si>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</si>
  <si>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</si>
  <si>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</si>
  <si>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</si>
  <si>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</si>
  <si>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</si>
  <si>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</si>
  <si>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</si>
  <si>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</si>
  <si>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</si>
  <si>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</si>
  <si>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</si>
  <si>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</si>
  <si>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</si>
  <si>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</si>
  <si>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</si>
  <si>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</si>
  <si>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</si>
  <si>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</si>
  <si>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</si>
  <si>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</si>
  <si>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</si>
  <si>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</si>
  <si>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</si>
  <si>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</si>
  <si>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</si>
  <si>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</si>
  <si>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</si>
  <si>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</si>
  <si>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</si>
  <si>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</si>
  <si>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</si>
  <si>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</si>
  <si>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</si>
  <si>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</si>
  <si>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</si>
  <si>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</si>
  <si>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</si>
  <si>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</si>
  <si>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</si>
  <si>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</si>
  <si>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</si>
  <si>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</si>
  <si>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</si>
  <si>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</si>
  <si>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</si>
  <si>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</si>
  <si>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</si>
  <si>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</si>
  <si>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</si>
  <si>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</si>
  <si>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</si>
  <si>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</si>
  <si>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</si>
  <si>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</si>
  <si>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</si>
  <si>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</si>
  <si>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</si>
  <si>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</si>
  <si>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</si>
  <si>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</si>
  <si>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</si>
  <si>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</si>
  <si>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</si>
  <si>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</si>
  <si>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</si>
  <si>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</si>
  <si>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</si>
  <si>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</si>
  <si>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</si>
  <si>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</si>
  <si>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</si>
  <si>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</si>
  <si>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</si>
  <si>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</si>
  <si>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</si>
  <si>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</si>
  <si>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</si>
  <si>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</si>
  <si>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</si>
  <si>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</si>
  <si>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</si>
  <si>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</si>
  <si>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</si>
  <si>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</si>
  <si>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</si>
  <si>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</si>
  <si>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</si>
  <si>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</si>
  <si>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</si>
  <si>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</si>
  <si>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</si>
  <si>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</si>
  <si>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</si>
  <si>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</si>
  <si>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</si>
  <si>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</si>
  <si>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</si>
  <si>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</si>
  <si>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</si>
  <si>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</si>
  <si>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</si>
  <si>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</si>
  <si>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</si>
  <si>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</si>
  <si>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</si>
  <si>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</si>
  <si>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</si>
  <si>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</si>
  <si>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</si>
  <si>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</si>
  <si>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</si>
  <si>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</si>
  <si>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</si>
  <si>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</si>
  <si>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</si>
  <si>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</si>
  <si>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</si>
  <si>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</si>
  <si>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</si>
  <si>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</si>
  <si>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</si>
  <si>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</si>
  <si>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</si>
  <si>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</si>
  <si>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</si>
  <si>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</si>
  <si>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</si>
  <si>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</si>
  <si>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</si>
  <si>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</si>
  <si>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</si>
  <si>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</si>
  <si>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</si>
  <si>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</si>
  <si>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</si>
  <si>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</si>
  <si>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</si>
  <si>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</si>
  <si>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</si>
  <si>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</si>
  <si>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</si>
  <si>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</si>
  <si>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</si>
  <si>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</si>
  <si>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</si>
  <si>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</si>
  <si>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</si>
  <si>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</si>
  <si>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</si>
  <si>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</si>
  <si>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</si>
  <si>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</si>
  <si>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</si>
  <si>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</si>
  <si>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</si>
  <si>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</si>
  <si>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</si>
  <si>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</si>
  <si>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</si>
  <si>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</si>
  <si>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</si>
  <si>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</si>
  <si>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</si>
  <si>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</si>
  <si>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</si>
  <si>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</si>
  <si>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</si>
  <si>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</si>
  <si>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</si>
  <si>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</si>
  <si>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</si>
  <si>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</si>
  <si>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</si>
  <si>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</si>
  <si>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</si>
  <si>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</si>
  <si>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</si>
  <si>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</si>
  <si>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</si>
  <si>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</si>
  <si>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</si>
  <si>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</si>
  <si>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</si>
  <si>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</si>
  <si>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</si>
  <si>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</si>
  <si>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</si>
  <si>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</si>
  <si>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</si>
  <si>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</si>
  <si>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</si>
  <si>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</si>
  <si>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</si>
  <si>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</si>
  <si>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</si>
  <si>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</si>
  <si>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</si>
  <si>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</si>
  <si>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</si>
  <si>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</si>
  <si>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</si>
  <si>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</si>
  <si>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</si>
  <si>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</si>
  <si>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</si>
  <si>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</si>
  <si>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</si>
  <si>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</si>
  <si>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</si>
  <si>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</si>
  <si>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</si>
  <si>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</si>
  <si>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</si>
  <si>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</si>
  <si>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</si>
  <si>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</si>
  <si>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</si>
  <si>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</si>
  <si>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</si>
  <si>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</si>
  <si>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</si>
  <si>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</si>
  <si>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</si>
  <si>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</si>
  <si>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</si>
  <si>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</si>
  <si>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</si>
  <si>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</si>
  <si>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</si>
  <si>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</si>
  <si>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</si>
  <si>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</si>
  <si>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</si>
  <si>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</si>
  <si>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</si>
  <si>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</si>
  <si>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</si>
  <si>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</si>
  <si>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</si>
  <si>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</si>
  <si>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</si>
  <si>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</si>
  <si>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</si>
  <si>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</si>
  <si>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</si>
  <si>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</si>
  <si>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</si>
  <si>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</si>
  <si>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</si>
  <si>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</si>
  <si>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</si>
  <si>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</si>
  <si>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</si>
  <si>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</si>
  <si>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</si>
  <si>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</si>
  <si>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</si>
  <si>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</si>
  <si>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</si>
  <si>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</si>
  <si>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</si>
  <si>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</si>
  <si>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</si>
  <si>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</si>
  <si>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</si>
  <si>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</si>
  <si>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</si>
  <si>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</si>
  <si>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</si>
  <si>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</si>
  <si>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</si>
  <si>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</si>
  <si>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</si>
  <si>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</si>
  <si>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</si>
  <si>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</si>
  <si>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</si>
  <si>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</si>
  <si>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</si>
  <si>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</si>
  <si>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</si>
  <si>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</si>
  <si>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</si>
  <si>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</si>
  <si>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</si>
  <si>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</si>
  <si>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</si>
  <si>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</si>
  <si>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</si>
  <si>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</si>
  <si>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</si>
  <si>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</si>
  <si>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</si>
  <si>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</si>
  <si>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</si>
  <si>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</si>
  <si>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</si>
  <si>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</si>
  <si>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</si>
  <si>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</si>
  <si>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</si>
  <si>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</si>
  <si>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</si>
  <si>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</si>
  <si>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</si>
  <si>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</si>
  <si>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</si>
  <si>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</si>
  <si>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</si>
  <si>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</si>
  <si>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</si>
  <si>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</si>
  <si>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</si>
  <si>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</si>
  <si>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</si>
  <si>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</si>
  <si>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</si>
  <si>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</si>
  <si>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</si>
  <si>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</si>
  <si>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</si>
  <si>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</si>
  <si>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</si>
  <si>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</si>
  <si>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</si>
  <si>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</si>
  <si>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</si>
  <si>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</si>
  <si>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</si>
  <si>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</si>
  <si>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</si>
  <si>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</si>
  <si>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</si>
  <si>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</si>
  <si>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</si>
  <si>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</si>
  <si>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</si>
  <si>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</si>
  <si>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</si>
  <si>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</si>
  <si>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</si>
  <si>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</si>
  <si>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</si>
  <si>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</si>
  <si>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</si>
  <si>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</si>
  <si>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</si>
  <si>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</si>
  <si>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</si>
  <si>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</si>
  <si>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</si>
  <si>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</si>
  <si>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</si>
  <si>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</si>
  <si>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</si>
  <si>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</si>
  <si>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</si>
  <si>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</si>
  <si>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</si>
  <si>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</si>
  <si>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</si>
  <si>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</si>
  <si>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</si>
  <si>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</si>
  <si>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</si>
  <si>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</si>
  <si>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</si>
  <si>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</si>
  <si>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</si>
  <si>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</si>
  <si>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</si>
  <si>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</si>
  <si>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</si>
  <si>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</si>
  <si>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</si>
  <si>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</si>
  <si>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</si>
  <si>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</si>
  <si>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</si>
  <si>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</si>
  <si>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</si>
  <si>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</si>
  <si>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</si>
  <si>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</si>
  <si>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</si>
  <si>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</si>
  <si>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</si>
  <si>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</si>
  <si>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</si>
  <si>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</si>
  <si>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</si>
  <si>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</si>
  <si>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</si>
  <si>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</si>
  <si>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</si>
  <si>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</si>
  <si>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</si>
  <si>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</si>
  <si>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</si>
  <si>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</si>
  <si>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</si>
  <si>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</si>
  <si>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</si>
  <si>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</si>
  <si>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</si>
  <si>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</si>
  <si>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</si>
  <si>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</si>
  <si>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</si>
  <si>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</si>
  <si>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</si>
  <si>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</si>
  <si>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</si>
  <si>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</si>
  <si>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</si>
  <si>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</si>
  <si>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</si>
  <si>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</si>
  <si>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</si>
  <si>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</si>
  <si>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</si>
  <si>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</si>
  <si>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</si>
  <si>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</si>
  <si>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</si>
  <si>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</si>
  <si>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</si>
  <si>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</si>
  <si>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</si>
  <si>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</si>
  <si>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</si>
  <si>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</si>
  <si>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</si>
  <si>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</si>
  <si>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</si>
  <si>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</si>
  <si>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</si>
  <si>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</si>
  <si>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</si>
  <si>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</si>
  <si>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</si>
  <si>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</si>
  <si>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</si>
  <si>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</si>
  <si>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</si>
  <si>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</si>
  <si>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</si>
  <si>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</si>
  <si>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</si>
  <si>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</si>
  <si>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</si>
  <si>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</si>
  <si>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</si>
  <si>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</si>
  <si>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</si>
  <si>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</si>
  <si>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</si>
  <si>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</si>
  <si>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</si>
  <si>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</si>
  <si>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</si>
  <si>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</si>
  <si>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</si>
  <si>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</si>
  <si>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</si>
  <si>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</si>
  <si>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</si>
  <si>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</si>
  <si>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</si>
  <si>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</si>
  <si>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</si>
  <si>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</si>
  <si>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</si>
  <si>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</si>
  <si>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</si>
  <si>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</si>
  <si>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</si>
  <si>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</si>
  <si>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</si>
  <si>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</si>
  <si>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</si>
  <si>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</si>
  <si>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</si>
  <si>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</si>
  <si>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</si>
  <si>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</si>
  <si>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</si>
  <si>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</si>
  <si>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</si>
  <si>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</si>
  <si>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</si>
  <si>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</si>
  <si>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</si>
  <si>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</si>
  <si>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</si>
  <si>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</si>
  <si>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</si>
  <si>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</si>
  <si>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</si>
  <si>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</si>
  <si>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</si>
  <si>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</si>
  <si>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</si>
  <si>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</si>
  <si>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</si>
  <si>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</si>
  <si>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</si>
  <si>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</si>
  <si>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</si>
  <si>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</si>
  <si>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</si>
  <si>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</si>
  <si>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</si>
  <si>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</si>
  <si>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</si>
  <si>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</si>
  <si>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</si>
  <si>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</si>
  <si>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</si>
  <si>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</si>
  <si>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</si>
  <si>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</si>
  <si>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</si>
  <si>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</si>
  <si>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</si>
  <si>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</si>
  <si>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</si>
  <si>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</si>
  <si>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</si>
  <si>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</si>
  <si>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</si>
  <si>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</si>
  <si>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</si>
  <si>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</si>
  <si>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</si>
  <si>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</si>
  <si>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</si>
  <si>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</si>
  <si>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</si>
  <si>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</si>
  <si>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</si>
  <si>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</si>
  <si>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</si>
  <si>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</si>
  <si>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</si>
  <si>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</si>
  <si>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</si>
  <si>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</si>
  <si>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</si>
  <si>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</si>
  <si>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</si>
  <si>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</si>
  <si>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</si>
  <si>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</si>
  <si>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</si>
  <si>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</si>
  <si>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</si>
  <si>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</si>
  <si>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</si>
  <si>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</si>
  <si>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</si>
  <si>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</si>
  <si>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</si>
  <si>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</si>
  <si>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</si>
  <si>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</si>
  <si>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</si>
  <si>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</si>
  <si>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</si>
  <si>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</si>
  <si>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</si>
  <si>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</si>
  <si>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</si>
  <si>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</si>
  <si>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</si>
  <si>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</si>
  <si>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</si>
  <si>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</si>
  <si>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</si>
  <si>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</si>
  <si>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</si>
  <si>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</si>
  <si>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</si>
  <si>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</si>
  <si>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</si>
  <si>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</si>
  <si>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</si>
  <si>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</si>
  <si>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</si>
  <si>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</si>
  <si>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</si>
  <si>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</si>
  <si>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</si>
  <si>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</si>
  <si>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</si>
  <si>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</si>
  <si>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</si>
  <si>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</si>
  <si>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</si>
  <si>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</si>
  <si>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</si>
  <si>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</si>
  <si>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</si>
  <si>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</si>
  <si>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</si>
  <si>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</si>
  <si>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</si>
  <si>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</si>
  <si>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</si>
  <si>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</si>
  <si>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</si>
  <si>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</si>
  <si>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</si>
  <si>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</si>
  <si>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</si>
  <si>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</si>
  <si>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</si>
  <si>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</si>
  <si>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</si>
  <si>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</si>
  <si>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</si>
  <si>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</si>
  <si>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</si>
  <si>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</si>
  <si>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</si>
  <si>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</si>
  <si>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</si>
  <si>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</si>
  <si>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</si>
  <si>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</si>
  <si>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</si>
  <si>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</si>
  <si>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</si>
  <si>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</si>
  <si>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</si>
  <si>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</si>
  <si>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</si>
  <si>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</si>
  <si>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</si>
  <si>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</si>
  <si>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</si>
  <si>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</si>
  <si>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</si>
  <si>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</si>
  <si>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</si>
  <si>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</si>
  <si>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</si>
  <si>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</si>
  <si>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</si>
  <si>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</si>
  <si>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</si>
  <si>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</si>
  <si>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</si>
  <si>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</si>
  <si>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</si>
  <si>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</si>
  <si>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</si>
  <si>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</si>
  <si>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</si>
  <si>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</si>
  <si>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</si>
  <si>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</si>
  <si>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</si>
  <si>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</si>
  <si>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</si>
  <si>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</si>
  <si>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</si>
  <si>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</si>
  <si>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</si>
  <si>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</si>
  <si>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</si>
  <si>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</si>
  <si>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</si>
  <si>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</si>
  <si>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</si>
  <si>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</si>
  <si>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</si>
  <si>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</si>
  <si>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</si>
  <si>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</si>
  <si>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</si>
  <si>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</si>
  <si>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</si>
  <si>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</si>
  <si>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</si>
  <si>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</si>
  <si>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</si>
  <si>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</si>
  <si>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</si>
  <si>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</si>
  <si>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</si>
  <si>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</si>
  <si>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</si>
  <si>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</si>
  <si>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</si>
  <si>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</si>
  <si>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</si>
  <si>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</si>
  <si>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</si>
  <si>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</si>
  <si>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</si>
  <si>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</si>
  <si>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</si>
  <si>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</si>
  <si>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</si>
  <si>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</si>
  <si>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</si>
  <si>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</si>
  <si>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</si>
  <si>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</si>
  <si>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</si>
  <si>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</si>
  <si>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</si>
  <si>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</si>
  <si>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</si>
  <si>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</si>
  <si>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</si>
  <si>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</si>
  <si>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</si>
  <si>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</si>
  <si>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</si>
  <si>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</si>
  <si>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</si>
  <si>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</si>
  <si>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</si>
  <si>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</si>
  <si>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</si>
  <si>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</si>
  <si>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</si>
  <si>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</si>
  <si>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</si>
  <si>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</si>
  <si>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</si>
  <si>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</si>
  <si>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</si>
  <si>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</si>
  <si>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</si>
  <si>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</si>
  <si>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</si>
  <si>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</si>
  <si>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</si>
  <si>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</si>
  <si>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</si>
  <si>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</si>
  <si>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</si>
  <si>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</si>
  <si>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</si>
  <si>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</si>
  <si>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</si>
  <si>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</si>
  <si>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</si>
  <si>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</si>
  <si>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</si>
  <si>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</si>
  <si>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</si>
  <si>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</si>
  <si>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</si>
  <si>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</si>
  <si>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</si>
  <si>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</si>
  <si>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</si>
  <si>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</si>
  <si>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</si>
  <si>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</si>
  <si>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</si>
  <si>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</si>
  <si>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</si>
  <si>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</si>
  <si>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</si>
  <si>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</si>
  <si>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</si>
  <si>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</si>
  <si>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</si>
  <si>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</si>
  <si>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</si>
  <si>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</si>
  <si>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</si>
  <si>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</si>
  <si>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</si>
  <si>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</si>
  <si>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</si>
  <si>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</si>
  <si>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</si>
  <si>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</si>
  <si>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</si>
  <si>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</si>
  <si>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</si>
  <si>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</si>
  <si>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</si>
  <si>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</si>
  <si>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</si>
  <si>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</si>
  <si>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</si>
  <si>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</si>
  <si>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</si>
  <si>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</si>
  <si>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</si>
  <si>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</si>
  <si>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</si>
  <si>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</si>
  <si>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</si>
  <si>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</si>
  <si>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</si>
  <si>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</si>
  <si>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</si>
  <si>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</si>
  <si>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</si>
  <si>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</si>
  <si>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</si>
  <si>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</si>
  <si>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</si>
  <si>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</si>
  <si>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</si>
  <si>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</si>
  <si>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</si>
  <si>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</si>
  <si>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</si>
  <si>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</si>
  <si>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</si>
  <si>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</si>
  <si>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</si>
  <si>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</si>
  <si>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</si>
  <si>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</si>
  <si>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</si>
  <si>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</si>
  <si>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</si>
  <si>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</si>
  <si>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</si>
  <si>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</si>
  <si>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</si>
  <si>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</si>
  <si>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</si>
  <si>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</si>
  <si>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</si>
  <si>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</si>
  <si>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</si>
  <si>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</si>
  <si>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</si>
  <si>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</si>
  <si>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</si>
  <si>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</si>
  <si>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</si>
  <si>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</si>
  <si>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</si>
  <si>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</si>
  <si>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</si>
  <si>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</si>
  <si>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</si>
  <si>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</si>
  <si>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</si>
  <si>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</si>
  <si>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</si>
  <si>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</si>
  <si>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</si>
  <si>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</si>
  <si>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</si>
  <si>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</si>
  <si>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</si>
  <si>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</si>
  <si>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</si>
  <si>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</si>
  <si>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</si>
  <si>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</si>
  <si>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</si>
  <si>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</si>
  <si>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</si>
  <si>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</si>
  <si>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</si>
  <si>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</si>
  <si>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</si>
  <si>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</si>
  <si>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</si>
  <si>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</si>
  <si>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</si>
  <si>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</si>
  <si>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</si>
  <si>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</si>
  <si>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</si>
  <si>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</si>
  <si>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</si>
  <si>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</si>
  <si>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</si>
  <si>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</si>
  <si>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</si>
  <si>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</si>
  <si>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</si>
  <si>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</si>
  <si>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</si>
  <si>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</si>
  <si>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</si>
  <si>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</si>
  <si>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</si>
  <si>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</si>
  <si>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</si>
  <si>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</si>
  <si>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</si>
  <si>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</si>
  <si>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</si>
  <si>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</si>
  <si>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</si>
  <si>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</si>
  <si>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</si>
  <si>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</si>
  <si>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</si>
  <si>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</si>
  <si>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</si>
  <si>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</si>
  <si>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</si>
  <si>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</si>
  <si>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</si>
  <si>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</si>
  <si>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</si>
  <si>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</si>
  <si>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</si>
  <si>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</si>
  <si>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</si>
  <si>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</si>
  <si>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</si>
  <si>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</si>
  <si>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</si>
  <si>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</si>
  <si>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</si>
  <si>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</si>
  <si>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</si>
  <si>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</si>
  <si>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</si>
  <si>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</si>
  <si>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</si>
  <si>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</si>
  <si>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</si>
  <si>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</si>
  <si>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</si>
  <si>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</si>
  <si>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</si>
  <si>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</si>
  <si>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</si>
  <si>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</si>
  <si>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</si>
  <si>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</si>
  <si>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</si>
  <si>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</si>
  <si>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</si>
  <si>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</si>
  <si>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</si>
  <si>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</si>
  <si>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</si>
  <si>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</si>
  <si>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</si>
  <si>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</si>
  <si>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</si>
  <si>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</si>
  <si>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</si>
  <si>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</si>
  <si>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</si>
  <si>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</si>
  <si>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</si>
  <si>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</si>
  <si>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</si>
  <si>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</si>
  <si>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</si>
  <si>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</si>
  <si>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</si>
  <si>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</si>
  <si>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</si>
  <si>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</si>
  <si>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</si>
  <si>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</si>
  <si>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</si>
  <si>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</si>
  <si>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</si>
  <si>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</si>
  <si>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</si>
  <si>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</si>
  <si>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</si>
  <si>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</si>
  <si>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</si>
  <si>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</si>
  <si>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</si>
  <si>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</si>
  <si>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</si>
  <si>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</si>
  <si>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</si>
  <si>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</si>
  <si>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</si>
  <si>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</si>
  <si>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</si>
  <si>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</si>
  <si>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</si>
  <si>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</si>
  <si>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</si>
  <si>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</si>
  <si>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</si>
  <si>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</si>
  <si>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</si>
  <si>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</si>
  <si>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</si>
  <si>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</si>
  <si>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</si>
  <si>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</si>
  <si>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</si>
  <si>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</si>
  <si>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</si>
  <si>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</si>
  <si>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</si>
  <si>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</si>
  <si>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</si>
  <si>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</si>
  <si>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</si>
  <si>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</si>
  <si>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</si>
  <si>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</si>
  <si>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</si>
  <si>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</si>
  <si>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</si>
  <si>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</si>
  <si>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</si>
  <si>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</si>
  <si>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</si>
  <si>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</si>
  <si>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</si>
  <si>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</si>
  <si>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</si>
  <si>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</si>
  <si>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</si>
  <si>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</si>
  <si>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</si>
  <si>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</si>
  <si>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</si>
  <si>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</si>
  <si>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</si>
  <si>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</si>
  <si>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</si>
  <si>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</si>
  <si>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</si>
  <si>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</si>
  <si>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</si>
  <si>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</si>
  <si>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</si>
  <si>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</si>
  <si>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</si>
  <si>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</si>
  <si>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</si>
  <si>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</si>
  <si>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</si>
  <si>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</si>
  <si>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</si>
  <si>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</si>
  <si>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</si>
  <si>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</si>
  <si>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</si>
  <si>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</si>
  <si>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</si>
  <si>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</si>
  <si>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</si>
  <si>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</si>
  <si>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</si>
  <si>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</si>
  <si>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</si>
  <si>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</si>
  <si>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</si>
  <si>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</si>
  <si>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</si>
  <si>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</si>
  <si>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</si>
  <si>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</si>
  <si>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</si>
  <si>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</si>
  <si>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</si>
  <si>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</si>
  <si>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</si>
  <si>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</si>
  <si>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</si>
  <si>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</si>
  <si>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</si>
  <si>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</si>
  <si>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</si>
  <si>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</si>
  <si>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</si>
  <si>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</si>
  <si>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</si>
  <si>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</si>
  <si>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</si>
  <si>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</si>
  <si>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</si>
  <si>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</si>
  <si>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</si>
  <si>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</si>
  <si>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</si>
  <si>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</si>
  <si>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</si>
  <si>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</si>
  <si>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</si>
  <si>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</si>
  <si>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</si>
  <si>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</si>
  <si>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</si>
  <si>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</si>
  <si>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</si>
  <si>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</si>
  <si>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</si>
  <si>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</si>
  <si>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</si>
  <si>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</si>
  <si>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</si>
  <si>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</si>
  <si>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</si>
  <si>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</si>
  <si>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</si>
  <si>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</si>
  <si>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</si>
  <si>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</si>
  <si>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</si>
  <si>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</si>
  <si>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</si>
  <si>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</si>
  <si>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</si>
  <si>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</si>
  <si>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</si>
  <si>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</si>
  <si>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</si>
  <si>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</si>
  <si>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</si>
  <si>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</si>
  <si>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</si>
  <si>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</si>
  <si>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</si>
  <si>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</si>
  <si>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</si>
  <si>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</si>
  <si>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</si>
  <si>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</si>
  <si>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</si>
  <si>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</si>
  <si>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</si>
  <si>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</si>
  <si>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</si>
  <si>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</si>
  <si>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</si>
  <si>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</si>
  <si>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</si>
  <si>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</si>
  <si>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</si>
  <si>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</si>
  <si>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</si>
  <si>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</si>
  <si>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</si>
  <si>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</si>
  <si>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</si>
  <si>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</si>
  <si>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</si>
  <si>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</si>
  <si>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</si>
  <si>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</si>
  <si>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</si>
  <si>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</si>
  <si>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</si>
  <si>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</si>
  <si>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</si>
  <si>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</si>
  <si>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</si>
  <si>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</si>
  <si>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</si>
  <si>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</si>
  <si>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</si>
  <si>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</si>
  <si>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</si>
  <si>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</si>
  <si>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</si>
  <si>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</si>
  <si>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</si>
  <si>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</si>
  <si>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</si>
  <si>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</si>
  <si>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</si>
  <si>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</si>
  <si>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</si>
  <si>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</si>
  <si>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</si>
  <si>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</si>
  <si>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</si>
  <si>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</si>
  <si>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</si>
  <si>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</si>
  <si>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</si>
  <si>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</si>
  <si>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</si>
  <si>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</si>
  <si>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</si>
  <si>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</si>
  <si>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</si>
  <si>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</si>
  <si>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</si>
  <si>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</si>
  <si>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</si>
  <si>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</si>
  <si>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</si>
  <si>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</si>
  <si>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</si>
  <si>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</si>
  <si>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</si>
  <si>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</si>
  <si>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</si>
  <si>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</si>
  <si>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</si>
  <si>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</si>
  <si>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</si>
  <si>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</si>
  <si>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</si>
  <si>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</si>
  <si>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</si>
  <si>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</si>
  <si>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</si>
  <si>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</si>
  <si>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</si>
  <si>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</si>
  <si>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</si>
  <si>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</si>
  <si>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</si>
  <si>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</si>
  <si>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</si>
  <si>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</si>
  <si>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</si>
  <si>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</si>
  <si>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</si>
  <si>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</si>
  <si>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</si>
  <si>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</si>
  <si>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</si>
  <si>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</si>
  <si>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</si>
  <si>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</si>
  <si>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</si>
  <si>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</si>
  <si>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</si>
  <si>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</si>
  <si>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</si>
  <si>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</si>
  <si>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</si>
  <si>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</si>
  <si>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</si>
  <si>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</si>
  <si>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</si>
  <si>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</si>
  <si>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</si>
  <si>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</si>
  <si>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</si>
  <si>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</si>
  <si>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</si>
  <si>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</si>
  <si>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</si>
  <si>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</si>
  <si>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</si>
  <si>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</si>
  <si>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</si>
  <si>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</si>
  <si>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</si>
  <si>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</si>
  <si>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</si>
  <si>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</si>
  <si>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</si>
  <si>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</si>
  <si>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</si>
  <si>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</si>
  <si>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</si>
  <si>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</si>
  <si>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</si>
  <si>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</si>
  <si>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</si>
  <si>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</si>
  <si>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</si>
  <si>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</si>
  <si>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</si>
  <si>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</si>
  <si>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</si>
  <si>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</si>
  <si>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</si>
  <si>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</si>
  <si>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</si>
  <si>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</si>
  <si>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</si>
  <si>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</si>
  <si>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</si>
  <si>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</si>
  <si>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</si>
  <si>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</si>
  <si>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</si>
  <si>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</si>
  <si>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</si>
  <si>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</si>
  <si>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</si>
  <si>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</si>
  <si>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</si>
  <si>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</si>
  <si>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</si>
  <si>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</si>
  <si>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</si>
  <si>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</si>
  <si>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</si>
  <si>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</si>
  <si>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</si>
  <si>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</si>
  <si>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</si>
  <si>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</si>
  <si>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</si>
  <si>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</si>
  <si>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</si>
  <si>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</si>
  <si>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</si>
  <si>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</si>
  <si>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</si>
  <si>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</si>
  <si>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</si>
  <si>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</si>
  <si>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</si>
  <si>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</si>
  <si>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</si>
  <si>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</si>
  <si>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</si>
  <si>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</si>
  <si>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</si>
  <si>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</si>
  <si>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</si>
  <si>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</si>
  <si>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</si>
  <si>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</si>
  <si>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</si>
  <si>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</si>
  <si>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</si>
  <si>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</si>
  <si>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</si>
  <si>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</si>
  <si>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</si>
  <si>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</si>
  <si>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</si>
  <si>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</si>
  <si>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</si>
  <si>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</si>
  <si>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</si>
  <si>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</si>
  <si>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</si>
  <si>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</si>
  <si>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</si>
  <si>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</si>
  <si>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</si>
  <si>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</si>
  <si>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</si>
  <si>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</si>
  <si>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</si>
  <si>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</si>
  <si>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</si>
  <si>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</si>
  <si>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</si>
  <si>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</si>
  <si>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</si>
  <si>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</si>
  <si>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</si>
  <si>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</si>
  <si>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</si>
  <si>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</si>
  <si>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</si>
  <si>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</si>
  <si>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</si>
  <si>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</si>
  <si>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</si>
  <si>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</si>
  <si>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</si>
  <si>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</si>
  <si>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</si>
  <si>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</si>
  <si>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</si>
  <si>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</si>
  <si>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</si>
  <si>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</si>
  <si>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</si>
  <si>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</si>
  <si>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</si>
  <si>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</si>
  <si>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</si>
  <si>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</si>
  <si>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</si>
  <si>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</si>
  <si>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</si>
  <si>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</si>
  <si>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</si>
  <si>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</si>
  <si>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</si>
  <si>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</si>
  <si>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</si>
  <si>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</si>
  <si>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</si>
  <si>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</si>
  <si>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</si>
  <si>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</si>
  <si>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</si>
  <si>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</si>
  <si>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</si>
  <si>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</si>
  <si>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</si>
  <si>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</si>
  <si>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</si>
  <si>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</si>
  <si>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</si>
  <si>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</si>
  <si>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</si>
  <si>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</si>
  <si>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</si>
  <si>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</si>
  <si>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</si>
  <si>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</si>
  <si>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</si>
  <si>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</si>
  <si>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</si>
  <si>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</si>
  <si>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</si>
  <si>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</si>
  <si>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</si>
  <si>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</si>
  <si>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</si>
  <si>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</si>
  <si>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</si>
  <si>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</si>
  <si>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</si>
  <si>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</si>
  <si>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</si>
  <si>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</si>
  <si>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</si>
  <si>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</si>
  <si>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</si>
  <si>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</si>
  <si>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</si>
  <si>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</si>
  <si>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</si>
  <si>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</si>
  <si>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</si>
  <si>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</si>
  <si>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</si>
  <si>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</si>
  <si>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</si>
  <si>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</si>
  <si>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</si>
  <si>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</si>
  <si>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</si>
  <si>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</si>
  <si>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</si>
  <si>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</si>
  <si>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</si>
  <si>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</si>
  <si>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</si>
  <si>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</si>
  <si>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</si>
  <si>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</si>
  <si>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</si>
  <si>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</si>
  <si>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</si>
  <si>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</si>
  <si>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</si>
  <si>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</si>
  <si>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</si>
  <si>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</si>
  <si>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</si>
  <si>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</si>
  <si>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</si>
  <si>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</si>
  <si>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</si>
  <si>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</si>
  <si>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</si>
  <si>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</si>
  <si>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</si>
  <si>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</si>
  <si>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</si>
  <si>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</si>
  <si>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</si>
  <si>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</si>
  <si>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</si>
  <si>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</si>
  <si>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</si>
  <si>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</si>
  <si>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</si>
  <si>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</si>
  <si>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</si>
  <si>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</si>
  <si>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</si>
  <si>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</si>
  <si>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</si>
  <si>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</si>
  <si>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</si>
  <si>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</si>
  <si>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</si>
  <si>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</si>
  <si>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</si>
  <si>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</si>
  <si>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</si>
  <si>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</si>
  <si>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</si>
  <si>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</si>
  <si>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</si>
  <si>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</si>
  <si>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</si>
  <si>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</si>
  <si>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</si>
  <si>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</si>
  <si>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</si>
  <si>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</si>
  <si>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</si>
  <si>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</si>
  <si>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</si>
  <si>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</si>
  <si>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</si>
  <si>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</si>
  <si>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</si>
  <si>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</si>
  <si>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</si>
  <si>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</si>
  <si>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</si>
  <si>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</si>
  <si>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</si>
  <si>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</si>
  <si>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</si>
  <si>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</si>
  <si>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</si>
  <si>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</si>
  <si>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</si>
  <si>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</si>
  <si>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</si>
  <si>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</si>
  <si>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</si>
  <si>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</si>
  <si>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</si>
  <si>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</si>
  <si>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</si>
  <si>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</si>
  <si>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</si>
  <si>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</si>
  <si>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</si>
  <si>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</si>
  <si>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</si>
  <si>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</si>
  <si>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</si>
  <si>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</si>
  <si>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</si>
  <si>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</si>
  <si>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</si>
  <si>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</si>
  <si>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</si>
  <si>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</si>
  <si>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</si>
  <si>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</si>
  <si>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</si>
  <si>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</si>
  <si>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</si>
  <si>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</si>
  <si>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</si>
  <si>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</si>
  <si>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</si>
  <si>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</si>
  <si>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</si>
  <si>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</si>
  <si>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</si>
  <si>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</si>
  <si>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</si>
  <si>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</si>
  <si>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</si>
  <si>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</si>
  <si>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</si>
  <si>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</si>
  <si>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</si>
  <si>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</si>
  <si>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</si>
  <si>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</si>
  <si>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</si>
  <si>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</si>
  <si>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</si>
  <si>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</si>
  <si>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</si>
  <si>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</si>
  <si>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</si>
  <si>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</si>
  <si>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</si>
  <si>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</si>
  <si>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</si>
  <si>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</si>
  <si>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</si>
  <si>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</si>
  <si>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</si>
  <si>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</si>
  <si>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</si>
  <si>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</si>
  <si>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</si>
  <si>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</si>
  <si>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</si>
  <si>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</si>
  <si>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</si>
  <si>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</si>
  <si>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</si>
  <si>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</si>
  <si>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</si>
  <si>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</si>
  <si>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</si>
  <si>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</si>
  <si>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</si>
  <si>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</si>
  <si>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</si>
  <si>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</si>
  <si>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</si>
  <si>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</si>
  <si>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</si>
  <si>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</si>
  <si>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</si>
  <si>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</si>
  <si>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</si>
  <si>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</si>
  <si>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</si>
  <si>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</si>
  <si>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</si>
  <si>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</si>
  <si>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</si>
  <si>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</si>
  <si>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</si>
  <si>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</si>
  <si>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</si>
  <si>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</si>
  <si>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</si>
  <si>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</si>
  <si>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</si>
  <si>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</si>
  <si>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</si>
  <si>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</si>
  <si>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</si>
  <si>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</si>
  <si>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</si>
  <si>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</si>
  <si>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</si>
  <si>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</si>
  <si>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</si>
  <si>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</si>
  <si>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</si>
  <si>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</si>
  <si>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</si>
  <si>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</si>
  <si>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</si>
  <si>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</si>
  <si>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</si>
  <si>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</si>
  <si>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</si>
  <si>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</si>
  <si>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</si>
  <si>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</si>
  <si>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</si>
  <si>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</si>
  <si>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</si>
  <si>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</si>
  <si>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</si>
  <si>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</si>
  <si>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</si>
  <si>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</si>
  <si>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</si>
  <si>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</si>
  <si>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</si>
  <si>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</si>
  <si>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</si>
  <si>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</si>
  <si>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</si>
  <si>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</si>
  <si>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</si>
  <si>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</si>
  <si>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</si>
  <si>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</si>
  <si>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</si>
  <si>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</si>
  <si>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</si>
  <si>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</si>
  <si>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</si>
  <si>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</si>
  <si>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</si>
  <si>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</si>
  <si>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</si>
  <si>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</si>
  <si>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</si>
  <si>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</si>
  <si>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</si>
  <si>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</si>
  <si>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</si>
  <si>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</si>
  <si>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</si>
  <si>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</si>
  <si>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</si>
  <si>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</si>
  <si>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</si>
  <si>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</si>
  <si>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</si>
  <si>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</si>
  <si>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</si>
  <si>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</si>
  <si>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</si>
  <si>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</si>
  <si>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</si>
  <si>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</si>
  <si>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</si>
  <si>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</si>
  <si>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</si>
  <si>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</si>
  <si>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</si>
  <si>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</si>
  <si>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</si>
  <si>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</si>
  <si>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</si>
  <si>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</si>
  <si>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</si>
  <si>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</si>
  <si>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</si>
  <si>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</si>
  <si>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</si>
  <si>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</si>
  <si>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</si>
  <si>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</si>
  <si>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</si>
  <si>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</si>
  <si>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</si>
  <si>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</si>
  <si>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</si>
  <si>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</si>
  <si>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</si>
  <si>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</si>
  <si>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</si>
  <si>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</si>
  <si>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</si>
  <si>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</si>
  <si>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</si>
  <si>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</si>
  <si>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</si>
  <si>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</si>
  <si>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</si>
  <si>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</si>
  <si>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</si>
  <si>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</si>
  <si>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</si>
  <si>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</si>
  <si>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</si>
  <si>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</si>
  <si>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</si>
  <si>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</si>
  <si>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</si>
  <si>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</si>
  <si>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</si>
  <si>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</si>
  <si>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</si>
  <si>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</si>
  <si>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</si>
  <si>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</si>
  <si>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</si>
  <si>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</si>
  <si>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</si>
  <si>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</si>
  <si>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</si>
  <si>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</si>
  <si>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</si>
  <si>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</si>
  <si>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</si>
  <si>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</si>
  <si>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</si>
  <si>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</si>
  <si>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</si>
  <si>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</si>
  <si>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</si>
  <si>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</si>
  <si>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</si>
  <si>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</si>
  <si>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</si>
  <si>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通路</t>
  </si>
  <si>
    <t>通电</t>
  </si>
  <si>
    <t>通讯</t>
  </si>
  <si>
    <t>通上水</t>
  </si>
  <si>
    <t>通下水</t>
  </si>
  <si>
    <t>燃气</t>
  </si>
  <si>
    <t>现房</t>
  </si>
  <si>
    <t>办公项目</t>
  </si>
  <si>
    <t>无</t>
  </si>
  <si>
    <t>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</si>
  <si>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</si>
  <si>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</si>
  <si>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</si>
  <si>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</si>
  <si>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</si>
  <si>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</si>
  <si>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</si>
  <si>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</si>
  <si>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</si>
  <si>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</si>
  <si>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</si>
  <si>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</si>
  <si>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</si>
  <si>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</si>
  <si>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</si>
  <si>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</si>
  <si>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</si>
  <si>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</si>
  <si>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</si>
  <si>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</si>
  <si>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</si>
  <si>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</si>
  <si>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地上</t>
  </si>
  <si>
    <t>办公楼</t>
  </si>
  <si>
    <t>地下</t>
  </si>
  <si>
    <t>车库—办公</t>
  </si>
  <si>
    <t>成新度</t>
  </si>
  <si>
    <t>押一</t>
  </si>
  <si>
    <t>按租金收入计税</t>
  </si>
  <si>
    <t>钢混</t>
  </si>
  <si>
    <t>非生产用房</t>
  </si>
  <si>
    <t>收益法-办公</t>
  </si>
  <si>
    <t>收益法-办公</t>
    <phoneticPr fontId="16" type="noConversion"/>
  </si>
  <si>
    <t>收益法-车库</t>
    <phoneticPr fontId="16" type="noConversion"/>
  </si>
  <si>
    <t>利息：取LPR加浮动点数</t>
  </si>
  <si>
    <t>比较法-办公</t>
  </si>
  <si>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</si>
  <si>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</si>
  <si>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</si>
  <si>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</si>
  <si>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</si>
  <si>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</si>
  <si>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塔楼</t>
  </si>
  <si>
    <t>塔楼</t>
    <phoneticPr fontId="32" type="noConversion"/>
  </si>
  <si>
    <t>钢混</t>
    <phoneticPr fontId="32" type="noConversion"/>
  </si>
  <si>
    <t>精装</t>
  </si>
  <si>
    <t>精装</t>
    <phoneticPr fontId="32" type="noConversion"/>
  </si>
  <si>
    <t>甲</t>
  </si>
  <si>
    <t>甲</t>
    <phoneticPr fontId="32" type="noConversion"/>
  </si>
  <si>
    <t>专业</t>
  </si>
  <si>
    <t>专业</t>
    <phoneticPr fontId="32" type="noConversion"/>
  </si>
  <si>
    <t>七通</t>
  </si>
  <si>
    <t>六通</t>
  </si>
  <si>
    <t>五通</t>
  </si>
  <si>
    <t>四通</t>
  </si>
  <si>
    <t>三通</t>
  </si>
  <si>
    <t>办公</t>
    <phoneticPr fontId="32" type="noConversion"/>
  </si>
  <si>
    <t>20-30（含）</t>
  </si>
  <si>
    <t>正常</t>
  </si>
  <si>
    <t>较好</t>
  </si>
  <si>
    <t>高区</t>
  </si>
  <si>
    <t>高区</t>
    <phoneticPr fontId="32" type="noConversion"/>
  </si>
  <si>
    <t>中区</t>
  </si>
  <si>
    <t>中区</t>
    <phoneticPr fontId="32" type="noConversion"/>
  </si>
  <si>
    <t>低区</t>
  </si>
  <si>
    <t>低区</t>
    <phoneticPr fontId="32" type="noConversion"/>
  </si>
  <si>
    <t>5层</t>
    <phoneticPr fontId="3" type="noConversion"/>
  </si>
  <si>
    <t>高区</t>
    <phoneticPr fontId="3" type="noConversion"/>
  </si>
  <si>
    <t>中区</t>
    <phoneticPr fontId="3" type="noConversion"/>
  </si>
  <si>
    <t>低区</t>
    <phoneticPr fontId="3" type="noConversion"/>
  </si>
  <si>
    <t>科贸电子城</t>
    <phoneticPr fontId="3" type="noConversion"/>
  </si>
  <si>
    <t>银网中心</t>
    <phoneticPr fontId="3" type="noConversion"/>
  </si>
  <si>
    <t>简装</t>
  </si>
  <si>
    <t>简装</t>
    <phoneticPr fontId="32" type="noConversion"/>
  </si>
  <si>
    <t>毛坯</t>
  </si>
  <si>
    <t>毛坯</t>
    <phoneticPr fontId="32" type="noConversion"/>
  </si>
  <si>
    <t>售价</t>
  </si>
  <si>
    <t>办公</t>
    <phoneticPr fontId="3" type="noConversion"/>
  </si>
  <si>
    <t>办公其他</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</si>
</sst>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0" fontId="55" fillId="0" borderId="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10" fontId="46" fillId="0" borderId="1" xfId="0" applyNumberFormat="1"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86" fillId="0" borderId="1" xfId="0"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6032;&#19996;&#26041;&#2133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032;&#19996;&#26041;&#21335;&#27004;-&#28006;&#21457;-&#23828;&#20029;&#26032;20210902-1656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53413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比较法-办公"/>
      <sheetName val="收益法-办公"/>
      <sheetName val="收益法-车库"/>
      <sheetName val="典型户型修正"/>
      <sheetName val="租户"/>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C24">
            <v>101</v>
          </cell>
          <cell r="I24">
            <v>931.44</v>
          </cell>
        </row>
        <row r="25">
          <cell r="C25">
            <v>201</v>
          </cell>
          <cell r="I25">
            <v>950.88</v>
          </cell>
        </row>
        <row r="26">
          <cell r="C26">
            <v>301</v>
          </cell>
          <cell r="I26">
            <v>630.82000000000005</v>
          </cell>
        </row>
        <row r="27">
          <cell r="I27">
            <v>1506.52</v>
          </cell>
        </row>
        <row r="28">
          <cell r="C28">
            <v>601</v>
          </cell>
          <cell r="I28">
            <v>1506.52</v>
          </cell>
        </row>
        <row r="29">
          <cell r="C29">
            <v>701</v>
          </cell>
          <cell r="I29">
            <v>1506.52</v>
          </cell>
        </row>
        <row r="30">
          <cell r="C30">
            <v>801</v>
          </cell>
          <cell r="I30">
            <v>1506.52</v>
          </cell>
        </row>
        <row r="31">
          <cell r="C31">
            <v>901</v>
          </cell>
          <cell r="I31">
            <v>1506.52</v>
          </cell>
        </row>
        <row r="32">
          <cell r="C32">
            <v>1001</v>
          </cell>
          <cell r="I32">
            <v>1506.52</v>
          </cell>
        </row>
        <row r="33">
          <cell r="C33">
            <v>1101</v>
          </cell>
          <cell r="I33">
            <v>1506.52</v>
          </cell>
        </row>
        <row r="34">
          <cell r="C34">
            <v>1201</v>
          </cell>
          <cell r="I34">
            <v>1506.52</v>
          </cell>
        </row>
        <row r="35">
          <cell r="C35">
            <v>1301</v>
          </cell>
          <cell r="I35">
            <v>1506.52</v>
          </cell>
        </row>
        <row r="36">
          <cell r="C36">
            <v>1401</v>
          </cell>
          <cell r="I36">
            <v>1506.52</v>
          </cell>
        </row>
        <row r="37">
          <cell r="C37">
            <v>1501</v>
          </cell>
          <cell r="I37">
            <v>1506.52</v>
          </cell>
        </row>
        <row r="38">
          <cell r="C38">
            <v>1601</v>
          </cell>
          <cell r="I38">
            <v>1506.52</v>
          </cell>
        </row>
        <row r="39">
          <cell r="C39">
            <v>1701</v>
          </cell>
          <cell r="I39">
            <v>1506.52</v>
          </cell>
        </row>
        <row r="40">
          <cell r="C40">
            <v>1801</v>
          </cell>
          <cell r="I40">
            <v>1383.57</v>
          </cell>
        </row>
        <row r="41">
          <cell r="C41">
            <v>1901</v>
          </cell>
          <cell r="I41">
            <v>1383.57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估价对象为北京市房地产，为所有。根据《国有土地使用证》[]，估价对象（分摊）出让国有建设用地使用权面积为1899.7平方米，建筑面积为24865.04平方米。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2022年9月1日</v>
      </c>
    </row>
    <row r="13" spans="1:2" s="1317" customFormat="1">
      <c r="A13" s="1315" t="s">
        <v>954</v>
      </c>
      <c r="B13" s="1316" t="str">
        <f>'预评函-1'!A18</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24865.040000000005</v>
      </c>
    </row>
    <row r="44" spans="1:2" s="1317" customFormat="1">
      <c r="A44" s="1315" t="s">
        <v>1000</v>
      </c>
      <c r="B44" s="1316" t="str">
        <f>'预评函-3'!C2</f>
        <v>(分摊)土地面积</v>
      </c>
    </row>
    <row r="45" spans="1:2" s="1317" customFormat="1">
      <c r="A45" s="1315" t="s">
        <v>972</v>
      </c>
      <c r="B45" s="1316">
        <f>'预评函-3'!C4</f>
        <v>1899.7</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3221</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2792</v>
      </c>
      <c r="C17" s="1682"/>
    </row>
    <row r="18" spans="1:3">
      <c r="A18" s="1681" t="s">
        <v>1490</v>
      </c>
      <c r="B18" s="1681" t="s">
        <v>2936</v>
      </c>
      <c r="C18" s="1682"/>
    </row>
    <row r="19" spans="1:3">
      <c r="A19" s="1681" t="s">
        <v>1491</v>
      </c>
      <c r="B19" s="1684" t="s">
        <v>3222</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89" t="s">
        <v>651</v>
      </c>
      <c r="C54" s="1686" t="s">
        <v>1008</v>
      </c>
    </row>
    <row r="55" spans="1:4">
      <c r="A55" s="3283"/>
      <c r="B55" s="1689" t="s">
        <v>652</v>
      </c>
      <c r="C55" s="1686" t="s">
        <v>1009</v>
      </c>
    </row>
    <row r="56" spans="1:4">
      <c r="A56" s="3283"/>
      <c r="B56" s="1689" t="s">
        <v>653</v>
      </c>
      <c r="C56" s="1686" t="s">
        <v>1013</v>
      </c>
    </row>
    <row r="57" spans="1:4">
      <c r="A57" s="328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30" zoomScaleNormal="100" zoomScaleSheetLayoutView="130" workbookViewId="0">
      <selection activeCell="F13" sqref="F13:G1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2667</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2668</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2669</v>
      </c>
      <c r="B3" s="2546"/>
      <c r="C3" s="2547" t="s">
        <v>2670</v>
      </c>
      <c r="D3" s="2546">
        <v>44805</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2671</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2672</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2673</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2674</v>
      </c>
      <c r="B7" s="2560"/>
      <c r="C7" s="2558"/>
      <c r="D7" s="2559"/>
      <c r="E7" s="2838"/>
      <c r="F7" s="2840"/>
      <c r="G7" s="2840"/>
      <c r="H7" s="2840"/>
      <c r="I7" s="2840"/>
      <c r="J7" s="2614"/>
      <c r="K7" s="2791"/>
      <c r="L7" s="2788"/>
      <c r="M7" s="2788"/>
      <c r="N7" s="2614"/>
      <c r="O7" s="2625"/>
      <c r="P7" s="2614"/>
      <c r="Q7" s="2614"/>
      <c r="R7" s="2614"/>
    </row>
    <row r="8" spans="1:28">
      <c r="A8" s="2561" t="s">
        <v>2675</v>
      </c>
      <c r="B8" s="2562" t="s">
        <v>3173</v>
      </c>
      <c r="C8" s="2563"/>
      <c r="D8" s="3295" t="s">
        <v>2676</v>
      </c>
      <c r="E8" s="2564" t="s">
        <v>3174</v>
      </c>
      <c r="F8" s="2565"/>
      <c r="G8" s="2839"/>
      <c r="H8" s="2839"/>
      <c r="I8" s="2839"/>
      <c r="J8" s="2614"/>
      <c r="K8" s="2789"/>
      <c r="L8" s="2788"/>
      <c r="M8" s="2788"/>
      <c r="N8" s="2614"/>
      <c r="O8" s="2625"/>
      <c r="P8" s="2614"/>
      <c r="Q8" s="2614"/>
      <c r="R8" s="2614"/>
    </row>
    <row r="9" spans="1:28" ht="13.5" thickBot="1">
      <c r="A9" s="2566" t="s">
        <v>2677</v>
      </c>
      <c r="B9" s="2567" t="s">
        <v>3174</v>
      </c>
      <c r="C9" s="2568"/>
      <c r="D9" s="3296"/>
      <c r="E9" s="2567"/>
      <c r="F9" s="2569"/>
      <c r="G9" s="2841"/>
      <c r="H9" s="2841"/>
      <c r="I9" s="2841"/>
      <c r="J9" s="2614"/>
      <c r="K9" s="2791"/>
      <c r="L9" s="2788"/>
      <c r="M9" s="2788"/>
      <c r="N9" s="2614"/>
      <c r="O9" s="2625"/>
      <c r="P9" s="2614"/>
      <c r="Q9" s="2614"/>
      <c r="R9" s="2614"/>
    </row>
    <row r="10" spans="1:28" ht="13.5" thickTop="1">
      <c r="A10" s="2570" t="s">
        <v>2678</v>
      </c>
      <c r="B10" s="2571" t="s">
        <v>3175</v>
      </c>
      <c r="C10" s="2572"/>
      <c r="D10" s="2555"/>
      <c r="E10" s="2573" t="s">
        <v>2679</v>
      </c>
      <c r="F10" s="2842"/>
      <c r="G10" s="2843"/>
      <c r="H10" s="2844"/>
      <c r="I10" s="2845"/>
      <c r="J10" s="2614"/>
      <c r="K10" s="2791"/>
      <c r="L10" s="2788"/>
      <c r="M10" s="2788"/>
      <c r="N10" s="2614"/>
      <c r="O10" s="2625"/>
      <c r="P10" s="2614"/>
      <c r="Q10" s="2614"/>
      <c r="R10" s="2614"/>
    </row>
    <row r="11" spans="1:28">
      <c r="A11" s="2574" t="s">
        <v>2680</v>
      </c>
      <c r="B11" s="2575" t="s">
        <v>3176</v>
      </c>
      <c r="C11" s="2576"/>
      <c r="D11" s="2577"/>
      <c r="E11" s="2543"/>
      <c r="F11" s="2543"/>
      <c r="G11" s="2543"/>
      <c r="H11" s="2543"/>
      <c r="I11" s="2543"/>
      <c r="J11" s="2614"/>
      <c r="K11" s="2791"/>
      <c r="L11" s="2788"/>
      <c r="M11" s="2788"/>
      <c r="N11" s="2614"/>
      <c r="O11" s="2625"/>
      <c r="P11" s="2614"/>
      <c r="Q11" s="2614"/>
      <c r="R11" s="2614"/>
    </row>
    <row r="12" spans="1:28">
      <c r="A12" s="2578" t="s">
        <v>2681</v>
      </c>
      <c r="B12" s="2575" t="s">
        <v>3177</v>
      </c>
      <c r="C12" s="329" t="s">
        <v>2682</v>
      </c>
      <c r="D12" s="2579" t="s">
        <v>2683</v>
      </c>
      <c r="E12" s="2579" t="s">
        <v>2684</v>
      </c>
      <c r="F12" s="2579" t="s">
        <v>2685</v>
      </c>
      <c r="G12" s="2579" t="s">
        <v>2686</v>
      </c>
      <c r="H12" s="2579" t="s">
        <v>2687</v>
      </c>
      <c r="I12" s="2579" t="s">
        <v>2688</v>
      </c>
      <c r="J12" s="2614"/>
      <c r="K12" s="2791"/>
      <c r="L12" s="2788"/>
      <c r="M12" s="2788"/>
      <c r="N12" s="2614"/>
      <c r="O12" s="2625"/>
      <c r="P12" s="2614"/>
      <c r="Q12" s="2614"/>
      <c r="R12" s="2614"/>
    </row>
    <row r="13" spans="1:28" ht="15">
      <c r="A13" s="1193"/>
      <c r="B13" s="2580"/>
      <c r="C13" s="2581" t="s">
        <v>2689</v>
      </c>
      <c r="D13" s="946"/>
      <c r="E13" s="946"/>
      <c r="F13" s="3588">
        <v>55285</v>
      </c>
      <c r="G13" s="3588">
        <v>55285</v>
      </c>
      <c r="H13" s="946"/>
      <c r="I13" s="946"/>
      <c r="J13" s="2614"/>
      <c r="K13" s="2791"/>
      <c r="L13" s="2788"/>
      <c r="M13" s="2788"/>
      <c r="N13" s="2614"/>
      <c r="O13" s="2625"/>
      <c r="P13" s="2614"/>
      <c r="Q13" s="2614"/>
      <c r="R13" s="2614"/>
    </row>
    <row r="14" spans="1:28">
      <c r="A14" s="1193"/>
      <c r="B14" s="2580"/>
      <c r="C14" s="2581" t="s">
        <v>2690</v>
      </c>
      <c r="D14" s="2582"/>
      <c r="E14" s="2582"/>
      <c r="F14" s="2582">
        <v>50</v>
      </c>
      <c r="G14" s="2582">
        <v>50</v>
      </c>
      <c r="H14" s="2582"/>
      <c r="I14" s="2582"/>
      <c r="J14" s="2614"/>
      <c r="K14" s="2792"/>
      <c r="L14" s="2788"/>
      <c r="M14" s="2788"/>
      <c r="N14" s="2614"/>
      <c r="O14" s="2625"/>
      <c r="P14" s="2614"/>
      <c r="Q14" s="2614"/>
      <c r="R14" s="2614"/>
    </row>
    <row r="15" spans="1:28">
      <c r="A15" s="326"/>
      <c r="B15" s="2583"/>
      <c r="C15" s="2584" t="s">
        <v>2691</v>
      </c>
      <c r="D15" s="2585" t="str">
        <f>IF(B12="出让",IF(D13="","",ROUNDDOWN(MIN((D13-$D$3)/365,D14),2)),D14)</f>
        <v/>
      </c>
      <c r="E15" s="2585" t="str">
        <f>IF(B12="出让",IF(E13="","",ROUNDDOWN(MIN((E13-$D$3)/365,E14),2)),E14)</f>
        <v/>
      </c>
      <c r="F15" s="2585">
        <f>IF(B12="出让",IF(F13="","",ROUNDDOWN(MIN((F13-$D$3)/365,F14),2)),F14)</f>
        <v>28.71</v>
      </c>
      <c r="G15" s="2585">
        <f>IF(B12="出让",IF(G13="","",ROUNDDOWN(MIN((G13-$D$3)/365,G14),2)),G14)</f>
        <v>28.71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2692</v>
      </c>
      <c r="B16" s="3302"/>
      <c r="C16" s="3303"/>
      <c r="D16" s="3304"/>
      <c r="E16" s="2588" t="s">
        <v>2693</v>
      </c>
      <c r="F16" s="3305"/>
      <c r="G16" s="3306"/>
      <c r="H16" s="3306"/>
      <c r="I16" s="3307"/>
      <c r="J16" s="2614"/>
      <c r="K16" s="2793"/>
      <c r="L16" s="2626"/>
      <c r="M16" s="2626"/>
      <c r="N16" s="2684"/>
      <c r="O16" s="2626"/>
      <c r="P16" s="2684"/>
      <c r="Q16" s="2614"/>
      <c r="R16" s="2614"/>
    </row>
    <row r="17" spans="1:28">
      <c r="A17" s="319" t="s">
        <v>2694</v>
      </c>
      <c r="B17" s="308" t="s">
        <v>2695</v>
      </c>
      <c r="C17" s="11">
        <f>'数据-汇总表'!E3</f>
        <v>24865.040000000005</v>
      </c>
      <c r="D17" s="2495" t="s">
        <v>2696</v>
      </c>
      <c r="E17" s="3308" t="s">
        <v>2697</v>
      </c>
      <c r="F17" s="3309"/>
      <c r="G17" s="3309"/>
      <c r="H17" s="3309"/>
      <c r="I17" s="3310"/>
      <c r="J17" s="2614"/>
      <c r="K17" s="2794"/>
      <c r="L17" s="2626"/>
      <c r="M17" s="2626"/>
      <c r="N17" s="2684"/>
      <c r="O17" s="2626"/>
      <c r="P17" s="2684"/>
      <c r="Q17" s="2614"/>
      <c r="R17" s="2614"/>
      <c r="S17" s="2614"/>
      <c r="T17" s="2614"/>
      <c r="U17" s="2614"/>
      <c r="V17" s="2614"/>
    </row>
    <row r="18" spans="1:28" ht="24.75" thickBot="1">
      <c r="A18" s="2589" t="s">
        <v>2698</v>
      </c>
      <c r="B18" s="1202" t="s">
        <v>2699</v>
      </c>
      <c r="C18" s="2590">
        <f>'数据-汇总表'!D3</f>
        <v>1899.7</v>
      </c>
      <c r="D18" s="1204" t="s">
        <v>2700</v>
      </c>
      <c r="E18" s="3311" t="s">
        <v>2701</v>
      </c>
      <c r="F18" s="3312"/>
      <c r="G18" s="3312"/>
      <c r="H18" s="3312"/>
      <c r="I18" s="3313"/>
      <c r="J18" s="2614"/>
      <c r="K18" s="2794"/>
      <c r="L18" s="2626"/>
      <c r="M18" s="2626"/>
      <c r="N18" s="2684"/>
      <c r="O18" s="2626"/>
      <c r="P18" s="2684"/>
      <c r="Q18" s="2614"/>
      <c r="R18" s="2614"/>
      <c r="S18" s="2614"/>
      <c r="T18" s="2614"/>
      <c r="U18" s="2614"/>
      <c r="V18" s="2614"/>
    </row>
    <row r="19" spans="1:28" ht="37.5" thickTop="1" thickBot="1">
      <c r="A19" s="333" t="s">
        <v>1499</v>
      </c>
      <c r="B19" s="313" t="s">
        <v>2702</v>
      </c>
      <c r="C19" s="1698" t="s">
        <v>3178</v>
      </c>
      <c r="D19" s="1699" t="s">
        <v>2703</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2704</v>
      </c>
      <c r="B20" s="3298" t="s">
        <v>2705</v>
      </c>
      <c r="C20" s="3299"/>
      <c r="D20" s="3300" t="s">
        <v>2706</v>
      </c>
      <c r="E20" s="3301"/>
      <c r="F20" s="2823" t="s">
        <v>1500</v>
      </c>
      <c r="G20" s="2840"/>
      <c r="H20" s="2840"/>
      <c r="I20" s="2840"/>
      <c r="J20" s="2614"/>
      <c r="K20" s="3297"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2708</v>
      </c>
      <c r="C21" s="2810" t="s">
        <v>1501</v>
      </c>
      <c r="D21" s="1703" t="s">
        <v>2709</v>
      </c>
      <c r="E21" s="2811" t="s">
        <v>1501</v>
      </c>
      <c r="F21" s="2824"/>
      <c r="G21" s="2840"/>
      <c r="H21" s="2840"/>
      <c r="I21" s="2840"/>
      <c r="J21" s="2614"/>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2710</v>
      </c>
      <c r="C22" s="2810" t="s">
        <v>1502</v>
      </c>
      <c r="D22" s="2839"/>
      <c r="E22" s="2839"/>
      <c r="F22" s="2839"/>
      <c r="G22" s="2840"/>
      <c r="H22" s="2840"/>
      <c r="I22" s="2840"/>
      <c r="J22" s="2614"/>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2711</v>
      </c>
      <c r="B23" s="2677" t="s">
        <v>2712</v>
      </c>
      <c r="C23" s="2814"/>
      <c r="D23" s="2815" t="s">
        <v>2712</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5" t="s">
        <v>2713</v>
      </c>
      <c r="B27" s="326" t="s">
        <v>2714</v>
      </c>
      <c r="C27" s="2591" t="s">
        <v>3186</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5"/>
      <c r="B28" s="308" t="s">
        <v>2715</v>
      </c>
      <c r="C28" s="2593" t="s">
        <v>3187</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5"/>
      <c r="B29" s="308" t="s">
        <v>2716</v>
      </c>
      <c r="C29" s="2595" t="s">
        <v>3188</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6"/>
      <c r="B30" s="308" t="s">
        <v>2717</v>
      </c>
      <c r="C30" s="3287"/>
      <c r="D30" s="3288"/>
      <c r="E30" s="2840"/>
      <c r="F30" s="2840"/>
      <c r="G30" s="2840"/>
      <c r="H30" s="2840"/>
      <c r="I30" s="2840"/>
      <c r="J30" s="2614"/>
      <c r="K30" s="2791"/>
      <c r="L30" s="2788"/>
      <c r="M30" s="2788"/>
      <c r="N30" s="2614"/>
      <c r="O30" s="2625"/>
      <c r="P30" s="2614"/>
      <c r="Q30" s="2614"/>
      <c r="R30" s="2614"/>
      <c r="S30" s="2614"/>
      <c r="T30" s="2614"/>
      <c r="U30" s="2614"/>
      <c r="V30" s="2614"/>
    </row>
    <row r="31" spans="1:28">
      <c r="A31" s="3289" t="s">
        <v>2718</v>
      </c>
      <c r="B31" s="2597" t="s">
        <v>3185</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29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29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2719</v>
      </c>
      <c r="B34" s="2164" t="s">
        <v>3179</v>
      </c>
      <c r="C34" s="2164" t="s">
        <v>3180</v>
      </c>
      <c r="D34" s="2164" t="s">
        <v>3181</v>
      </c>
      <c r="E34" s="2164" t="s">
        <v>3182</v>
      </c>
      <c r="F34" s="2164" t="s">
        <v>3183</v>
      </c>
      <c r="G34" s="2164" t="s">
        <v>3184</v>
      </c>
      <c r="H34" s="2164"/>
      <c r="I34" s="2840"/>
      <c r="J34" s="2614"/>
      <c r="K34" s="2602">
        <f>COUNTIF(B34:H34,"——")</f>
        <v>0</v>
      </c>
      <c r="L34" s="329" t="s">
        <v>2720</v>
      </c>
      <c r="M34" s="329" t="s">
        <v>2721</v>
      </c>
      <c r="N34" s="329" t="s">
        <v>2722</v>
      </c>
      <c r="O34" s="329" t="s">
        <v>2723</v>
      </c>
      <c r="P34" s="329" t="s">
        <v>2724</v>
      </c>
      <c r="Q34" s="329" t="s">
        <v>2725</v>
      </c>
      <c r="R34" s="329" t="s">
        <v>2726</v>
      </c>
      <c r="S34" s="3284" t="s">
        <v>2727</v>
      </c>
      <c r="T34" s="2603" t="str">
        <f>NUMBERSTRING(7-K34,1)&amp;"通"</f>
        <v>七通</v>
      </c>
      <c r="U34" s="2614"/>
      <c r="V34" s="2614"/>
    </row>
    <row r="35" spans="1:30">
      <c r="A35" s="2604"/>
      <c r="B35" s="3291" t="s">
        <v>2728</v>
      </c>
      <c r="C35" s="3291"/>
      <c r="D35" s="3291"/>
      <c r="E35" s="3291"/>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84"/>
      <c r="T35" s="335" t="str">
        <f>IF(T34="一通",L35,IF(T34="二通",M35,IF(T34="三通",N35,IF(T34="四通",O35,IF(T34="五通",P35,IF(T34="六通",Q35,R35))))))</f>
        <v>通路、通电、通讯、通上水、通下水、燃气、</v>
      </c>
      <c r="U35" s="2614"/>
      <c r="V35" s="2614"/>
    </row>
    <row r="36" spans="1:30">
      <c r="A36" s="2605"/>
      <c r="B36" s="673" t="s">
        <v>2684</v>
      </c>
      <c r="C36" s="673" t="s">
        <v>2685</v>
      </c>
      <c r="D36" s="673" t="s">
        <v>2683</v>
      </c>
      <c r="E36" s="673" t="s">
        <v>2688</v>
      </c>
      <c r="F36" s="2846"/>
      <c r="G36" s="2840"/>
      <c r="H36" s="2840"/>
      <c r="I36" s="2840"/>
      <c r="J36" s="2614"/>
      <c r="K36" s="2791"/>
      <c r="L36" s="2788"/>
      <c r="M36" s="2788"/>
      <c r="N36" s="2614"/>
      <c r="O36" s="2625"/>
      <c r="P36" s="2614"/>
      <c r="Q36" s="2614"/>
      <c r="R36" s="2614"/>
      <c r="S36" s="2614"/>
      <c r="T36" s="2614"/>
      <c r="U36" s="2614"/>
      <c r="V36" s="2614"/>
    </row>
    <row r="37" spans="1:30">
      <c r="A37" s="2806" t="s">
        <v>2729</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2730</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2731</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2732</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2733</v>
      </c>
      <c r="B42" s="11" t="s">
        <v>2734</v>
      </c>
      <c r="C42" s="11" t="s">
        <v>2735</v>
      </c>
      <c r="D42" s="11" t="s">
        <v>2736</v>
      </c>
      <c r="E42" s="11" t="s">
        <v>2737</v>
      </c>
      <c r="F42" s="11" t="s">
        <v>2738</v>
      </c>
      <c r="G42" s="11" t="s">
        <v>2739</v>
      </c>
      <c r="H42" s="11" t="s">
        <v>2740</v>
      </c>
      <c r="I42" s="11" t="s">
        <v>2741</v>
      </c>
      <c r="J42" s="2802" t="s">
        <v>2742</v>
      </c>
      <c r="K42" s="2803" t="s">
        <v>2743</v>
      </c>
      <c r="L42" s="2803" t="s">
        <v>2744</v>
      </c>
      <c r="M42" s="2803" t="s">
        <v>2745</v>
      </c>
      <c r="N42" s="2796" t="s">
        <v>2746</v>
      </c>
      <c r="O42" s="2796" t="s">
        <v>2747</v>
      </c>
      <c r="P42" s="2796" t="s">
        <v>2748</v>
      </c>
      <c r="Q42" s="2797" t="s">
        <v>2749</v>
      </c>
      <c r="R42" s="2797" t="s">
        <v>2750</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G24" sqref="G2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2729.06</v>
      </c>
      <c r="B3" s="14">
        <f>IF(C3="否",G5-AT5,G5)</f>
        <v>35720.530000000006</v>
      </c>
      <c r="C3" s="1715" t="s">
        <v>1514</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24865.040000000005</v>
      </c>
      <c r="BA5" s="18">
        <f t="shared" si="1"/>
        <v>24865.040000000005</v>
      </c>
      <c r="BB5" s="18">
        <f t="shared" si="1"/>
        <v>24865.040000000005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1516</v>
      </c>
      <c r="B6" s="1721"/>
      <c r="C6" s="1721"/>
      <c r="D6" s="1722"/>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1899.7</v>
      </c>
      <c r="AZ6" s="16" t="s">
        <v>3</v>
      </c>
      <c r="BA6" s="16">
        <f>ROUND($AY$6*BA5/$AZ$5,2)</f>
        <v>1899.7</v>
      </c>
      <c r="BB6" s="16">
        <f>ROUND($AY$6*BB5/$AZ$5,2)</f>
        <v>1899.7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2" t="s">
        <v>1531</v>
      </c>
      <c r="AU8" s="1729" t="s">
        <v>1532</v>
      </c>
      <c r="AV8" s="1182"/>
      <c r="AW8" s="1712"/>
      <c r="AX8" s="1182"/>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1535</v>
      </c>
      <c r="I9" s="1738" t="s">
        <v>3211</v>
      </c>
      <c r="J9" s="899"/>
      <c r="K9" s="1738" t="s">
        <v>3213</v>
      </c>
      <c r="L9" s="899"/>
      <c r="M9" s="1738" t="s">
        <v>3213</v>
      </c>
      <c r="N9" s="899"/>
      <c r="O9" s="1738"/>
      <c r="P9" s="899"/>
      <c r="Q9" s="1738"/>
      <c r="R9" s="899"/>
      <c r="S9" s="1738"/>
      <c r="T9" s="899"/>
      <c r="U9" s="1738"/>
      <c r="V9" s="899"/>
      <c r="W9" s="1738"/>
      <c r="X9" s="1739"/>
      <c r="Y9" s="1738"/>
      <c r="Z9" s="899"/>
      <c r="AA9" s="1738"/>
      <c r="AB9" s="899"/>
      <c r="AC9" s="1730" t="s">
        <v>1535</v>
      </c>
      <c r="AD9" s="15" t="s">
        <v>1536</v>
      </c>
      <c r="AE9" s="1188"/>
      <c r="AF9" s="15" t="s">
        <v>1537</v>
      </c>
      <c r="AG9" s="1188"/>
      <c r="AH9" s="15" t="s">
        <v>1536</v>
      </c>
      <c r="AI9" s="1188"/>
      <c r="AJ9" s="15" t="s">
        <v>1537</v>
      </c>
      <c r="AK9" s="1188"/>
      <c r="AL9" s="15" t="s">
        <v>1536</v>
      </c>
      <c r="AM9" s="1188"/>
      <c r="AN9" s="15" t="s">
        <v>1537</v>
      </c>
      <c r="AO9" s="1188"/>
      <c r="AP9" s="15" t="s">
        <v>1536</v>
      </c>
      <c r="AQ9" s="1188"/>
      <c r="AR9" s="15" t="s">
        <v>1537</v>
      </c>
      <c r="AS9" s="1740"/>
      <c r="AT9" s="1729"/>
      <c r="AU9" s="1729" t="s">
        <v>1538</v>
      </c>
      <c r="AV9" s="1182"/>
      <c r="AW9" s="1712"/>
      <c r="AX9" s="1182"/>
      <c r="AY9" s="28"/>
      <c r="AZ9" s="28" t="s">
        <v>1528</v>
      </c>
      <c r="BA9" s="1741" t="s">
        <v>1539</v>
      </c>
      <c r="BB9" s="1742"/>
      <c r="BC9" s="1200"/>
      <c r="BD9" s="1200"/>
      <c r="BE9" s="1200"/>
      <c r="BF9" s="1200"/>
      <c r="BG9" s="1200"/>
      <c r="BH9" s="1200"/>
      <c r="BI9" s="1200"/>
      <c r="BJ9" s="1200"/>
      <c r="BK9" s="1743"/>
      <c r="BL9" s="15" t="s">
        <v>1540</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3214</v>
      </c>
      <c r="N10" s="899"/>
      <c r="O10" s="1744"/>
      <c r="P10" s="899"/>
      <c r="Q10" s="1744"/>
      <c r="R10" s="899"/>
      <c r="S10" s="1744"/>
      <c r="T10" s="899"/>
      <c r="U10" s="1744"/>
      <c r="V10" s="899"/>
      <c r="W10" s="1744"/>
      <c r="X10" s="899"/>
      <c r="Y10" s="1744"/>
      <c r="Z10" s="899"/>
      <c r="AA10" s="1744"/>
      <c r="AB10" s="899"/>
      <c r="AC10" s="1182"/>
      <c r="AD10" s="15" t="s">
        <v>1541</v>
      </c>
      <c r="AE10" s="1745"/>
      <c r="AF10" s="15" t="s">
        <v>1541</v>
      </c>
      <c r="AG10" s="1745"/>
      <c r="AH10" s="15" t="s">
        <v>1542</v>
      </c>
      <c r="AI10" s="1745"/>
      <c r="AJ10" s="15" t="s">
        <v>1542</v>
      </c>
      <c r="AK10" s="1745"/>
      <c r="AL10" s="15" t="s">
        <v>1543</v>
      </c>
      <c r="AM10" s="1188"/>
      <c r="AN10" s="15" t="s">
        <v>1543</v>
      </c>
      <c r="AO10" s="1188"/>
      <c r="AP10" s="15" t="s">
        <v>1544</v>
      </c>
      <c r="AQ10" s="1188"/>
      <c r="AR10" s="15" t="s">
        <v>1544</v>
      </c>
      <c r="AS10" s="1188"/>
      <c r="AT10" s="1729"/>
      <c r="AU10" s="1729"/>
      <c r="AV10" s="1182"/>
      <c r="AW10" s="1712"/>
      <c r="AX10" s="1182"/>
      <c r="AY10" s="28"/>
      <c r="AZ10" s="28"/>
      <c r="BA10" s="1746" t="s">
        <v>1535</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3212</v>
      </c>
      <c r="J11" s="1750"/>
      <c r="K11" s="1749" t="s">
        <v>3212</v>
      </c>
      <c r="L11" s="1750"/>
      <c r="M11" s="1749"/>
      <c r="N11" s="1750"/>
      <c r="O11" s="1749"/>
      <c r="P11" s="1750"/>
      <c r="Q11" s="1749"/>
      <c r="R11" s="1750"/>
      <c r="S11" s="1749"/>
      <c r="T11" s="1750"/>
      <c r="U11" s="1749"/>
      <c r="V11" s="1750"/>
      <c r="W11" s="1749"/>
      <c r="X11" s="1750"/>
      <c r="Y11" s="1749"/>
      <c r="Z11" s="1750"/>
      <c r="AA11" s="1749"/>
      <c r="AB11" s="1750"/>
      <c r="AC11" s="1182"/>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车库—办公</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办公楼</v>
      </c>
      <c r="BC12" s="1759" t="str">
        <f>K11</f>
        <v>办公楼</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51">
      <c r="A13" s="1162"/>
      <c r="B13" s="1162" t="s">
        <v>3189</v>
      </c>
      <c r="C13" s="3589">
        <v>-401</v>
      </c>
      <c r="D13" s="1760" t="s">
        <v>3188</v>
      </c>
      <c r="E13" s="16">
        <f>IF($C$3="是",ROUND($A$3*G13/$B$3,2),ROUND($A$3*(G13-AT13)/$B$3,2))</f>
        <v>54.29</v>
      </c>
      <c r="F13" s="32"/>
      <c r="G13" s="33">
        <f>H13+AC13+AT13</f>
        <v>710.56</v>
      </c>
      <c r="H13" s="20">
        <f>SUMIF(I$12:AB$12,"总值",I13:AB13)</f>
        <v>710.56</v>
      </c>
      <c r="I13" s="3591"/>
      <c r="J13" s="3591"/>
      <c r="K13" s="3591">
        <v>710.56</v>
      </c>
      <c r="L13" s="3591"/>
      <c r="M13" s="359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京（2016）海淀区不动产权第0047728号</v>
      </c>
      <c r="AX13" s="11">
        <f t="shared" si="6"/>
        <v>-401</v>
      </c>
      <c r="AY13" s="14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3589">
        <v>-402</v>
      </c>
      <c r="D14" s="1760" t="s">
        <v>3188</v>
      </c>
      <c r="E14" s="16">
        <f>IF($C$3="是",ROUND($A$3*G14/$B$3,2),ROUND($A$3*(G14-AT14)/$B$3,2))</f>
        <v>2.81</v>
      </c>
      <c r="F14" s="32"/>
      <c r="G14" s="33">
        <f>H14+AC14+AT14</f>
        <v>36.729999999999997</v>
      </c>
      <c r="H14" s="20">
        <f>SUMIF(I$12:AB$12,"总值",I14:AB14)</f>
        <v>36.729999999999997</v>
      </c>
      <c r="I14" s="3591"/>
      <c r="J14" s="3591"/>
      <c r="K14" s="3591">
        <v>36.729999999999997</v>
      </c>
      <c r="L14" s="3591"/>
      <c r="M14" s="359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-402</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51">
      <c r="A15" s="1162"/>
      <c r="B15" s="1162" t="s">
        <v>3190</v>
      </c>
      <c r="C15" s="3589">
        <v>-301</v>
      </c>
      <c r="D15" s="1760" t="s">
        <v>3188</v>
      </c>
      <c r="E15" s="16">
        <f>IF($C$3="是",ROUND($A$3*G15/$B$3,2),ROUND($A$3*(G15-AT15)/$B$3,2))</f>
        <v>418.14</v>
      </c>
      <c r="F15" s="32"/>
      <c r="G15" s="33">
        <f>H15+AC15+AT15</f>
        <v>5472.99</v>
      </c>
      <c r="H15" s="20">
        <f>SUMIF(I$12:AB$12,"总值",I15:AB15)</f>
        <v>5472.99</v>
      </c>
      <c r="I15" s="3591"/>
      <c r="J15" s="3591"/>
      <c r="K15" s="3591"/>
      <c r="L15" s="3591"/>
      <c r="M15" s="3591">
        <v>5472.99</v>
      </c>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京（2016）海淀区不动产权第0047727号</v>
      </c>
      <c r="AX15" s="11">
        <f t="shared" si="6"/>
        <v>-301</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3589">
        <v>-302</v>
      </c>
      <c r="D16" s="1760" t="s">
        <v>3188</v>
      </c>
      <c r="E16" s="16">
        <f>IF($C$3="是",ROUND($A$3*G16/$B$3,2),ROUND($A$3*(G16-AT16)/$B$3,2))</f>
        <v>23.53</v>
      </c>
      <c r="F16" s="32"/>
      <c r="G16" s="33">
        <f>H16+AC16+AT16</f>
        <v>308.01</v>
      </c>
      <c r="H16" s="20">
        <f>SUMIF(I$12:AB$12,"总值",I16:AB16)</f>
        <v>308.01</v>
      </c>
      <c r="I16" s="3591"/>
      <c r="J16" s="3591"/>
      <c r="K16" s="3591">
        <v>308.01</v>
      </c>
      <c r="L16" s="3591"/>
      <c r="M16" s="359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-302</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3589">
        <v>-303</v>
      </c>
      <c r="D17" s="1760" t="s">
        <v>3188</v>
      </c>
      <c r="E17" s="16">
        <f>IF($C$3="是",ROUND($A$3*G17/$B$3,2),ROUND($A$3*(G17-AT17)/$B$3,2))</f>
        <v>2.12</v>
      </c>
      <c r="F17" s="32"/>
      <c r="G17" s="33">
        <f>H17+AC17+AT17</f>
        <v>27.7</v>
      </c>
      <c r="H17" s="20">
        <f>SUMIF(I$12:AB$12,"总值",I17:AB17)</f>
        <v>27.7</v>
      </c>
      <c r="I17" s="3591"/>
      <c r="J17" s="3591"/>
      <c r="K17" s="3591">
        <v>27.7</v>
      </c>
      <c r="L17" s="3591"/>
      <c r="M17" s="359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-303</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590">
        <v>-304</v>
      </c>
      <c r="D18" s="1760" t="s">
        <v>3188</v>
      </c>
      <c r="E18" s="35">
        <f t="shared" ref="E18:E112" si="7">IF($C$3="是",ROUND($A$3*G18/$B$3,2),ROUND($A$3*(G18-AT18)/$B$3,2))</f>
        <v>17.13</v>
      </c>
      <c r="F18" s="36"/>
      <c r="G18" s="37">
        <f t="shared" ref="G18:G109" si="8">H18+AC18+AT18</f>
        <v>224.18</v>
      </c>
      <c r="H18" s="38">
        <f t="shared" ref="H18:H109" si="9">SUMIF(I$12:AB$12,"总值",I18:AB18)</f>
        <v>224.18</v>
      </c>
      <c r="I18" s="3592"/>
      <c r="J18" s="3592"/>
      <c r="K18" s="3592">
        <v>224.18</v>
      </c>
      <c r="L18" s="3592"/>
      <c r="M18" s="3592"/>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-304</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3191</v>
      </c>
      <c r="C19" s="3590">
        <v>-201</v>
      </c>
      <c r="D19" s="1760" t="s">
        <v>3188</v>
      </c>
      <c r="E19" s="35">
        <f t="shared" si="7"/>
        <v>87.36</v>
      </c>
      <c r="F19" s="36"/>
      <c r="G19" s="37">
        <f t="shared" si="8"/>
        <v>1143.42</v>
      </c>
      <c r="H19" s="38">
        <f t="shared" si="9"/>
        <v>1143.42</v>
      </c>
      <c r="I19" s="3592"/>
      <c r="J19" s="3592"/>
      <c r="K19" s="3592"/>
      <c r="L19" s="3592"/>
      <c r="M19" s="3592">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t="str">
        <f t="shared" si="12"/>
        <v>京（2016）海淀区不动产权第0047708号</v>
      </c>
      <c r="AX19" s="1477">
        <f t="shared" si="13"/>
        <v>-201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590">
        <v>-202</v>
      </c>
      <c r="D20" s="1760" t="s">
        <v>3188</v>
      </c>
      <c r="E20" s="35">
        <f t="shared" si="7"/>
        <v>74.069999999999993</v>
      </c>
      <c r="F20" s="36"/>
      <c r="G20" s="37">
        <f t="shared" si="8"/>
        <v>969.44</v>
      </c>
      <c r="H20" s="38">
        <f t="shared" si="9"/>
        <v>969.44</v>
      </c>
      <c r="I20" s="3592"/>
      <c r="J20" s="3592"/>
      <c r="K20" s="3592">
        <v>969.44</v>
      </c>
      <c r="L20" s="3592"/>
      <c r="M20" s="3592"/>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-202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3192</v>
      </c>
      <c r="C21" s="3590">
        <v>-101</v>
      </c>
      <c r="D21" s="1760" t="s">
        <v>3188</v>
      </c>
      <c r="E21" s="35">
        <f t="shared" si="7"/>
        <v>103.55</v>
      </c>
      <c r="F21" s="36"/>
      <c r="G21" s="37">
        <f t="shared" si="8"/>
        <v>1355.37</v>
      </c>
      <c r="H21" s="38">
        <f t="shared" si="9"/>
        <v>0</v>
      </c>
      <c r="I21" s="3592"/>
      <c r="J21" s="3592"/>
      <c r="K21" s="3592"/>
      <c r="L21" s="3592"/>
      <c r="M21" s="3592"/>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1766"/>
      <c r="AV21" s="1477">
        <f t="shared" si="11"/>
        <v>0</v>
      </c>
      <c r="AW21" s="1477" t="str">
        <f t="shared" si="12"/>
        <v>京（2016）海淀区不动产权第0047699号</v>
      </c>
      <c r="AX21" s="1477">
        <f t="shared" si="13"/>
        <v>-101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590">
        <v>-102</v>
      </c>
      <c r="D22" s="1760" t="s">
        <v>3188</v>
      </c>
      <c r="E22" s="35">
        <f t="shared" si="7"/>
        <v>15.29</v>
      </c>
      <c r="F22" s="36"/>
      <c r="G22" s="37">
        <f t="shared" si="8"/>
        <v>200.09</v>
      </c>
      <c r="H22" s="38">
        <f t="shared" si="9"/>
        <v>200.09</v>
      </c>
      <c r="I22" s="3592"/>
      <c r="J22" s="3592"/>
      <c r="K22" s="3592">
        <v>200.09</v>
      </c>
      <c r="L22" s="3592"/>
      <c r="M22" s="3592"/>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-102</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590">
        <v>-103</v>
      </c>
      <c r="D23" s="1760" t="s">
        <v>3188</v>
      </c>
      <c r="E23" s="35">
        <f t="shared" si="7"/>
        <v>31.09</v>
      </c>
      <c r="F23" s="36"/>
      <c r="G23" s="37">
        <f t="shared" si="8"/>
        <v>407</v>
      </c>
      <c r="H23" s="38">
        <f t="shared" si="9"/>
        <v>407</v>
      </c>
      <c r="I23" s="3592"/>
      <c r="J23" s="3592"/>
      <c r="K23" s="3592"/>
      <c r="L23" s="3592"/>
      <c r="M23" s="3592">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-103</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3193</v>
      </c>
      <c r="C24" s="3590">
        <v>101</v>
      </c>
      <c r="D24" s="1760" t="s">
        <v>3178</v>
      </c>
      <c r="E24" s="35">
        <f t="shared" si="7"/>
        <v>71.16</v>
      </c>
      <c r="F24" s="36"/>
      <c r="G24" s="37">
        <f t="shared" si="8"/>
        <v>931.44</v>
      </c>
      <c r="H24" s="38">
        <f t="shared" si="9"/>
        <v>931.44</v>
      </c>
      <c r="I24" s="3592">
        <v>931.44</v>
      </c>
      <c r="J24" s="3592"/>
      <c r="K24" s="3592"/>
      <c r="L24" s="3592"/>
      <c r="M24" s="3592"/>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t="str">
        <f t="shared" si="12"/>
        <v>京（2016）海淀区不动产证第0047731号</v>
      </c>
      <c r="AX24" s="1477">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3194</v>
      </c>
      <c r="C25" s="3590">
        <v>201</v>
      </c>
      <c r="D25" s="1760" t="s">
        <v>3178</v>
      </c>
      <c r="E25" s="35">
        <f t="shared" si="7"/>
        <v>72.650000000000006</v>
      </c>
      <c r="F25" s="36"/>
      <c r="G25" s="37">
        <f t="shared" si="8"/>
        <v>950.88</v>
      </c>
      <c r="H25" s="38">
        <f t="shared" si="9"/>
        <v>950.88</v>
      </c>
      <c r="I25" s="3592">
        <v>950.88</v>
      </c>
      <c r="J25" s="3592"/>
      <c r="K25" s="3592"/>
      <c r="L25" s="3592"/>
      <c r="M25" s="3592"/>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t="str">
        <f t="shared" si="12"/>
        <v>京（2016）海淀区不动产证第0047730号</v>
      </c>
      <c r="AX25" s="1477">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3195</v>
      </c>
      <c r="C26" s="3590">
        <v>301</v>
      </c>
      <c r="D26" s="1760" t="s">
        <v>3178</v>
      </c>
      <c r="E26" s="35">
        <f t="shared" si="7"/>
        <v>48.19</v>
      </c>
      <c r="F26" s="36"/>
      <c r="G26" s="37">
        <f t="shared" si="8"/>
        <v>630.82000000000005</v>
      </c>
      <c r="H26" s="38">
        <f t="shared" si="9"/>
        <v>630.82000000000005</v>
      </c>
      <c r="I26" s="3592">
        <v>630.82000000000005</v>
      </c>
      <c r="J26" s="3592"/>
      <c r="K26" s="3592"/>
      <c r="L26" s="3592"/>
      <c r="M26" s="3592"/>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t="str">
        <f t="shared" si="12"/>
        <v>京（2016）海淀区不动产证第0047732号</v>
      </c>
      <c r="AX26" s="1477">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3196</v>
      </c>
      <c r="C27" s="3590">
        <v>501</v>
      </c>
      <c r="D27" s="1760" t="s">
        <v>3178</v>
      </c>
      <c r="E27" s="35">
        <f t="shared" si="7"/>
        <v>115.1</v>
      </c>
      <c r="F27" s="36"/>
      <c r="G27" s="37">
        <f t="shared" si="8"/>
        <v>1506.52</v>
      </c>
      <c r="H27" s="38">
        <f t="shared" si="9"/>
        <v>1506.52</v>
      </c>
      <c r="I27" s="3592">
        <v>1506.52</v>
      </c>
      <c r="J27" s="3592"/>
      <c r="K27" s="3592"/>
      <c r="L27" s="3592"/>
      <c r="M27" s="3592"/>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t="str">
        <f t="shared" si="12"/>
        <v>京（2016）海淀区不动产证第0047747号</v>
      </c>
      <c r="AX27" s="1477">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3197</v>
      </c>
      <c r="C28" s="3590">
        <v>601</v>
      </c>
      <c r="D28" s="1760" t="s">
        <v>3178</v>
      </c>
      <c r="E28" s="35">
        <f t="shared" si="7"/>
        <v>115.1</v>
      </c>
      <c r="F28" s="36"/>
      <c r="G28" s="37">
        <f t="shared" si="8"/>
        <v>1506.52</v>
      </c>
      <c r="H28" s="38">
        <f t="shared" si="9"/>
        <v>1506.52</v>
      </c>
      <c r="I28" s="3592">
        <v>1506.52</v>
      </c>
      <c r="J28" s="3592"/>
      <c r="K28" s="3592"/>
      <c r="L28" s="3592"/>
      <c r="M28" s="3592"/>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t="str">
        <f t="shared" si="12"/>
        <v>京（2016）海淀区不动产证第0047748号</v>
      </c>
      <c r="AX28" s="1477">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3198</v>
      </c>
      <c r="C29" s="3590">
        <v>701</v>
      </c>
      <c r="D29" s="1760" t="s">
        <v>3178</v>
      </c>
      <c r="E29" s="35">
        <f t="shared" si="7"/>
        <v>115.1</v>
      </c>
      <c r="F29" s="36"/>
      <c r="G29" s="37">
        <f t="shared" si="8"/>
        <v>1506.52</v>
      </c>
      <c r="H29" s="38">
        <f t="shared" si="9"/>
        <v>1506.52</v>
      </c>
      <c r="I29" s="3592">
        <v>1506.52</v>
      </c>
      <c r="J29" s="3592"/>
      <c r="K29" s="3592"/>
      <c r="L29" s="3592"/>
      <c r="M29" s="3592"/>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t="str">
        <f t="shared" si="12"/>
        <v>京（2016）海淀区不动产证第0047768号</v>
      </c>
      <c r="AX29" s="1477">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3199</v>
      </c>
      <c r="C30" s="3590">
        <v>801</v>
      </c>
      <c r="D30" s="1760" t="s">
        <v>3178</v>
      </c>
      <c r="E30" s="35">
        <f t="shared" si="7"/>
        <v>115.1</v>
      </c>
      <c r="F30" s="36"/>
      <c r="G30" s="37">
        <f t="shared" si="8"/>
        <v>1506.52</v>
      </c>
      <c r="H30" s="38">
        <f t="shared" si="9"/>
        <v>1506.52</v>
      </c>
      <c r="I30" s="3592">
        <v>1506.52</v>
      </c>
      <c r="J30" s="3592"/>
      <c r="K30" s="3592"/>
      <c r="L30" s="3592"/>
      <c r="M30" s="3592"/>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t="str">
        <f t="shared" si="12"/>
        <v>京（2016）海淀区不动产证第0047765号</v>
      </c>
      <c r="AX30" s="1477">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3200</v>
      </c>
      <c r="C31" s="3590">
        <v>901</v>
      </c>
      <c r="D31" s="1760" t="s">
        <v>3178</v>
      </c>
      <c r="E31" s="35">
        <f t="shared" si="7"/>
        <v>115.1</v>
      </c>
      <c r="F31" s="36"/>
      <c r="G31" s="37">
        <f t="shared" si="8"/>
        <v>1506.52</v>
      </c>
      <c r="H31" s="38">
        <f t="shared" si="9"/>
        <v>1506.52</v>
      </c>
      <c r="I31" s="3592">
        <v>1506.52</v>
      </c>
      <c r="J31" s="3592"/>
      <c r="K31" s="3592"/>
      <c r="L31" s="3592"/>
      <c r="M31" s="3592"/>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t="str">
        <f t="shared" si="12"/>
        <v>京（2016）海淀区不动产证第0047764号</v>
      </c>
      <c r="AX31" s="1477">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3201</v>
      </c>
      <c r="C32" s="3590">
        <v>1001</v>
      </c>
      <c r="D32" s="1760" t="s">
        <v>3178</v>
      </c>
      <c r="E32" s="35">
        <f t="shared" si="7"/>
        <v>115.1</v>
      </c>
      <c r="F32" s="36"/>
      <c r="G32" s="37">
        <f t="shared" si="8"/>
        <v>1506.52</v>
      </c>
      <c r="H32" s="38">
        <f t="shared" si="9"/>
        <v>1506.52</v>
      </c>
      <c r="I32" s="3592">
        <v>1506.52</v>
      </c>
      <c r="J32" s="3592"/>
      <c r="K32" s="3592"/>
      <c r="L32" s="3592"/>
      <c r="M32" s="3592"/>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t="str">
        <f t="shared" si="12"/>
        <v>京（2016）海淀区不动产证第0047763号</v>
      </c>
      <c r="AX32" s="1477">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3202</v>
      </c>
      <c r="C33" s="3590">
        <v>1101</v>
      </c>
      <c r="D33" s="1760" t="s">
        <v>3178</v>
      </c>
      <c r="E33" s="35">
        <f t="shared" si="7"/>
        <v>115.1</v>
      </c>
      <c r="F33" s="36"/>
      <c r="G33" s="37">
        <f t="shared" si="8"/>
        <v>1506.52</v>
      </c>
      <c r="H33" s="38">
        <f t="shared" si="9"/>
        <v>1506.52</v>
      </c>
      <c r="I33" s="3592">
        <v>1506.52</v>
      </c>
      <c r="J33" s="3592"/>
      <c r="K33" s="3592"/>
      <c r="L33" s="3592"/>
      <c r="M33" s="3592"/>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t="str">
        <f t="shared" si="12"/>
        <v>京（2016）海淀区不动产证第0047760号</v>
      </c>
      <c r="AX33" s="1477">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3203</v>
      </c>
      <c r="C34" s="3590">
        <v>1201</v>
      </c>
      <c r="D34" s="1760" t="s">
        <v>3178</v>
      </c>
      <c r="E34" s="35">
        <f t="shared" si="7"/>
        <v>115.1</v>
      </c>
      <c r="F34" s="36"/>
      <c r="G34" s="37">
        <f t="shared" si="8"/>
        <v>1506.52</v>
      </c>
      <c r="H34" s="38">
        <f t="shared" si="9"/>
        <v>1506.52</v>
      </c>
      <c r="I34" s="3592">
        <v>1506.52</v>
      </c>
      <c r="J34" s="3592"/>
      <c r="K34" s="3592"/>
      <c r="L34" s="3592"/>
      <c r="M34" s="3592"/>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t="str">
        <f t="shared" si="12"/>
        <v>京（2016）海淀区不动产证第0047759号</v>
      </c>
      <c r="AX34" s="1477">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3204</v>
      </c>
      <c r="C35" s="3590">
        <v>1301</v>
      </c>
      <c r="D35" s="1760" t="s">
        <v>3178</v>
      </c>
      <c r="E35" s="35">
        <f t="shared" si="7"/>
        <v>115.1</v>
      </c>
      <c r="F35" s="36"/>
      <c r="G35" s="37">
        <f t="shared" si="8"/>
        <v>1506.52</v>
      </c>
      <c r="H35" s="38">
        <f t="shared" si="9"/>
        <v>1506.52</v>
      </c>
      <c r="I35" s="3592">
        <v>1506.52</v>
      </c>
      <c r="J35" s="3592"/>
      <c r="K35" s="3592"/>
      <c r="L35" s="3592"/>
      <c r="M35" s="3592"/>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t="str">
        <f t="shared" si="12"/>
        <v>京（2016）海淀区不动产证第0047758号</v>
      </c>
      <c r="AX35" s="1477">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3205</v>
      </c>
      <c r="C36" s="3590">
        <v>1401</v>
      </c>
      <c r="D36" s="1760" t="s">
        <v>3178</v>
      </c>
      <c r="E36" s="35">
        <f t="shared" si="7"/>
        <v>115.1</v>
      </c>
      <c r="F36" s="36"/>
      <c r="G36" s="37">
        <f t="shared" si="8"/>
        <v>1506.52</v>
      </c>
      <c r="H36" s="38">
        <f t="shared" si="9"/>
        <v>1506.52</v>
      </c>
      <c r="I36" s="3592">
        <v>1506.52</v>
      </c>
      <c r="J36" s="3592"/>
      <c r="K36" s="3592"/>
      <c r="L36" s="3592"/>
      <c r="M36" s="3592"/>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t="str">
        <f t="shared" si="12"/>
        <v>京（2016）海淀区不动产证第0047757号</v>
      </c>
      <c r="AX36" s="1477">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3206</v>
      </c>
      <c r="C37" s="3590">
        <v>1501</v>
      </c>
      <c r="D37" s="1760" t="s">
        <v>3178</v>
      </c>
      <c r="E37" s="35">
        <f t="shared" si="7"/>
        <v>115.1</v>
      </c>
      <c r="F37" s="36"/>
      <c r="G37" s="37">
        <f t="shared" si="8"/>
        <v>1506.52</v>
      </c>
      <c r="H37" s="38">
        <f t="shared" si="9"/>
        <v>1506.52</v>
      </c>
      <c r="I37" s="3592">
        <v>1506.52</v>
      </c>
      <c r="J37" s="3592"/>
      <c r="K37" s="3592"/>
      <c r="L37" s="3592"/>
      <c r="M37" s="3592"/>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t="str">
        <f t="shared" si="12"/>
        <v>京（2016）海淀区不动产证第0047750号</v>
      </c>
      <c r="AX37" s="1477">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3207</v>
      </c>
      <c r="C38" s="3590">
        <v>1601</v>
      </c>
      <c r="D38" s="1760" t="s">
        <v>3178</v>
      </c>
      <c r="E38" s="35">
        <f t="shared" si="7"/>
        <v>115.1</v>
      </c>
      <c r="F38" s="36"/>
      <c r="G38" s="37">
        <f t="shared" si="8"/>
        <v>1506.52</v>
      </c>
      <c r="H38" s="38">
        <f t="shared" si="9"/>
        <v>1506.52</v>
      </c>
      <c r="I38" s="3592">
        <v>1506.52</v>
      </c>
      <c r="J38" s="3592"/>
      <c r="K38" s="3592"/>
      <c r="L38" s="3592"/>
      <c r="M38" s="3592"/>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t="str">
        <f t="shared" si="12"/>
        <v>京（2016）海淀区不动产证第0047751号</v>
      </c>
      <c r="AX38" s="1477">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3208</v>
      </c>
      <c r="C39" s="3590">
        <v>1701</v>
      </c>
      <c r="D39" s="1760" t="s">
        <v>3178</v>
      </c>
      <c r="E39" s="35">
        <f t="shared" si="7"/>
        <v>115.1</v>
      </c>
      <c r="F39" s="36"/>
      <c r="G39" s="37">
        <f t="shared" si="8"/>
        <v>1506.52</v>
      </c>
      <c r="H39" s="38">
        <f t="shared" si="9"/>
        <v>1506.52</v>
      </c>
      <c r="I39" s="3592">
        <v>1506.52</v>
      </c>
      <c r="J39" s="3592"/>
      <c r="K39" s="3592"/>
      <c r="L39" s="3592"/>
      <c r="M39" s="3592"/>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t="str">
        <f t="shared" si="12"/>
        <v>京（2016）海淀区不动产证第0047753号</v>
      </c>
      <c r="AX39" s="1477">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3209</v>
      </c>
      <c r="C40" s="3590">
        <v>1801</v>
      </c>
      <c r="D40" s="1760" t="s">
        <v>3178</v>
      </c>
      <c r="E40" s="35">
        <f t="shared" si="7"/>
        <v>105.71</v>
      </c>
      <c r="F40" s="36"/>
      <c r="G40" s="37">
        <f t="shared" si="8"/>
        <v>1383.57</v>
      </c>
      <c r="H40" s="38">
        <f t="shared" si="9"/>
        <v>1383.57</v>
      </c>
      <c r="I40" s="3592">
        <v>1383.57</v>
      </c>
      <c r="J40" s="3592"/>
      <c r="K40" s="3592"/>
      <c r="L40" s="3592"/>
      <c r="M40" s="3592"/>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t="str">
        <f t="shared" si="12"/>
        <v>京（2016）海淀区不动产证第0047755号</v>
      </c>
      <c r="AX40" s="1477">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3210</v>
      </c>
      <c r="C41" s="3590">
        <v>1901</v>
      </c>
      <c r="D41" s="1760" t="s">
        <v>3178</v>
      </c>
      <c r="E41" s="35">
        <f t="shared" si="7"/>
        <v>105.71</v>
      </c>
      <c r="F41" s="36"/>
      <c r="G41" s="37">
        <f t="shared" si="8"/>
        <v>1383.57</v>
      </c>
      <c r="H41" s="38">
        <f t="shared" si="9"/>
        <v>1383.57</v>
      </c>
      <c r="I41" s="3592">
        <v>1383.57</v>
      </c>
      <c r="J41" s="3592"/>
      <c r="K41" s="3592"/>
      <c r="L41" s="3592"/>
      <c r="M41" s="3592"/>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t="str">
        <f t="shared" si="12"/>
        <v>京（2016）海淀区不动产证第0045332号</v>
      </c>
      <c r="AX41" s="1477">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3"/>
      <c r="C1" s="1253"/>
      <c r="D1" s="1253"/>
      <c r="E1" s="1253"/>
      <c r="F1" s="1253"/>
      <c r="G1" s="1253"/>
      <c r="H1" s="1253"/>
      <c r="I1" s="1253"/>
      <c r="J1" s="1253"/>
      <c r="K1" s="1253"/>
      <c r="L1" s="1253"/>
      <c r="M1" s="1253"/>
      <c r="N1" s="1253"/>
      <c r="O1" s="1253"/>
      <c r="P1" s="1253"/>
    </row>
    <row r="2" spans="1:16" ht="15">
      <c r="A2" s="3325" t="s">
        <v>1575</v>
      </c>
      <c r="B2" s="3325"/>
      <c r="C2" s="3325"/>
      <c r="D2" s="885" t="s">
        <v>1551</v>
      </c>
      <c r="E2" s="1774" t="s">
        <v>1552</v>
      </c>
      <c r="F2" s="2835"/>
      <c r="G2" s="2826"/>
      <c r="H2" s="2827"/>
      <c r="I2" s="2498" t="s">
        <v>1576</v>
      </c>
      <c r="J2" s="2835"/>
      <c r="K2" s="2835"/>
      <c r="L2" s="2835"/>
      <c r="M2" s="2835"/>
      <c r="N2" s="2837"/>
      <c r="O2" s="2835"/>
      <c r="P2" s="2835"/>
    </row>
    <row r="3" spans="1:16" ht="15.75" thickBot="1">
      <c r="A3" s="3326" t="s">
        <v>1549</v>
      </c>
      <c r="B3" s="3326"/>
      <c r="C3" s="3326"/>
      <c r="D3" s="46">
        <f>'数据-基础表'!AY6</f>
        <v>1899.7</v>
      </c>
      <c r="E3" s="46">
        <f>'数据-基础表'!AZ5</f>
        <v>24865.040000000005</v>
      </c>
      <c r="F3" s="2835"/>
      <c r="G3" s="1259"/>
      <c r="H3" s="1137" t="s">
        <v>1550</v>
      </c>
      <c r="I3" s="945">
        <f>ROUND('数据-基础表'!B3/'数据-基础表'!A3,2)</f>
        <v>13.09</v>
      </c>
      <c r="J3" s="2835"/>
      <c r="K3" s="2835"/>
      <c r="L3" s="2835"/>
      <c r="M3" s="2835"/>
      <c r="N3" s="2837"/>
      <c r="O3" s="2835"/>
      <c r="P3" s="2835"/>
    </row>
    <row r="4" spans="1:16" ht="15">
      <c r="A4" s="3327"/>
      <c r="B4" s="3328"/>
      <c r="C4" s="3329"/>
      <c r="D4" s="1776" t="s">
        <v>1551</v>
      </c>
      <c r="E4" s="1777" t="s">
        <v>1552</v>
      </c>
      <c r="F4" s="2835"/>
      <c r="G4" s="2828" t="s">
        <v>1577</v>
      </c>
      <c r="H4" s="1137" t="s">
        <v>1557</v>
      </c>
      <c r="I4" s="945">
        <f>ROUND(SUMIF('数据-基础表'!I9:AS9,"地上",'数据-基础表'!I5:AS5)/'数据-基础表'!A3,2)</f>
        <v>9.61</v>
      </c>
      <c r="J4" s="2835"/>
      <c r="K4" s="2835"/>
      <c r="L4" s="2835"/>
      <c r="M4" s="2835"/>
      <c r="N4" s="2837"/>
      <c r="O4" s="2835"/>
      <c r="P4" s="2835"/>
    </row>
    <row r="5" spans="1:16">
      <c r="A5" s="47" t="s">
        <v>1553</v>
      </c>
      <c r="B5" s="3330" t="s">
        <v>1554</v>
      </c>
      <c r="C5" s="3330"/>
      <c r="D5" s="48">
        <f>ROUND($D$3*E5/$E$3,2)</f>
        <v>0</v>
      </c>
      <c r="E5" s="49">
        <f>SUMIF('数据-基础表'!$11:$11,"住宅",'数据-基础表'!$5:$5)</f>
        <v>0</v>
      </c>
      <c r="F5" s="2835"/>
      <c r="G5" s="1259"/>
      <c r="H5" s="1137" t="s">
        <v>1550</v>
      </c>
      <c r="I5" s="945">
        <f>ROUND(E31/D31,2)</f>
        <v>13.09</v>
      </c>
      <c r="J5" s="2835"/>
      <c r="K5" s="2835"/>
      <c r="L5" s="2835"/>
      <c r="M5" s="2835"/>
      <c r="N5" s="2835"/>
      <c r="O5" s="2835"/>
      <c r="P5" s="2835"/>
    </row>
    <row r="6" spans="1:16" ht="15" thickBot="1">
      <c r="A6" s="1779"/>
      <c r="B6" s="3330" t="s">
        <v>1555</v>
      </c>
      <c r="C6" s="3330"/>
      <c r="D6" s="48">
        <f>ROUND($D$3*E6/$E$3,2)</f>
        <v>1899.7</v>
      </c>
      <c r="E6" s="49">
        <f>E3-E5</f>
        <v>24865.040000000005</v>
      </c>
      <c r="F6" s="2835"/>
      <c r="G6" s="2829" t="s">
        <v>1556</v>
      </c>
      <c r="H6" s="1260" t="s">
        <v>1557</v>
      </c>
      <c r="I6" s="2830">
        <f>ROUND(F31/D31,2)</f>
        <v>13.09</v>
      </c>
      <c r="J6" s="2835"/>
      <c r="K6" s="2835"/>
      <c r="L6" s="2835"/>
      <c r="M6" s="2835"/>
      <c r="N6" s="2835"/>
      <c r="O6" s="2835"/>
      <c r="P6" s="2835"/>
    </row>
    <row r="7" spans="1:16" ht="15.75" thickBot="1">
      <c r="A7" s="3322"/>
      <c r="B7" s="3323"/>
      <c r="C7" s="3324"/>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1899.7</v>
      </c>
      <c r="E8" s="51">
        <f>SUMIF('数据-基础表'!BB10:BK10,"地上",'数据-基础表'!BB5:BK5)</f>
        <v>24865.040000000005</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1564</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1899.7</v>
      </c>
      <c r="E16" s="53">
        <f>SUM(E8:E15)</f>
        <v>24865.040000000005</v>
      </c>
      <c r="F16" s="2835"/>
      <c r="G16" s="2836"/>
      <c r="H16" s="1783" t="s">
        <v>1579</v>
      </c>
      <c r="I16" s="1784"/>
      <c r="J16" s="1253"/>
      <c r="K16" s="3319" t="s">
        <v>1579</v>
      </c>
      <c r="L16" s="3320"/>
      <c r="M16" s="3320"/>
      <c r="N16" s="3320"/>
      <c r="O16" s="3320"/>
      <c r="P16" s="3321"/>
    </row>
    <row r="17" spans="1:19" ht="15">
      <c r="A17" s="1785" t="s">
        <v>1580</v>
      </c>
      <c r="B17" s="1786" t="s">
        <v>1581</v>
      </c>
      <c r="C17" s="1787" t="s">
        <v>1582</v>
      </c>
      <c r="D17" s="1788" t="s">
        <v>1570</v>
      </c>
      <c r="E17" s="1789" t="s">
        <v>1571</v>
      </c>
      <c r="F17" s="1790"/>
      <c r="G17" s="1791"/>
      <c r="H17" s="1792" t="s">
        <v>1583</v>
      </c>
      <c r="I17" s="1793" t="s">
        <v>1568</v>
      </c>
      <c r="J17" s="1253"/>
      <c r="K17" s="3316" t="s">
        <v>1584</v>
      </c>
      <c r="L17" s="3317"/>
      <c r="M17" s="3318"/>
      <c r="N17" s="3316" t="s">
        <v>1585</v>
      </c>
      <c r="O17" s="3317"/>
      <c r="P17" s="3318"/>
      <c r="R17" s="1775" t="s">
        <v>1586</v>
      </c>
      <c r="S17" s="60"/>
    </row>
    <row r="18" spans="1:19" ht="15">
      <c r="A18" s="1781"/>
      <c r="B18" s="1794"/>
      <c r="C18" s="1795"/>
      <c r="D18" s="1796"/>
      <c r="E18" s="1797" t="s">
        <v>1587</v>
      </c>
      <c r="F18" s="1798" t="s">
        <v>1588</v>
      </c>
      <c r="G18" s="1799" t="s">
        <v>1589</v>
      </c>
      <c r="H18" s="1152" t="s">
        <v>1590</v>
      </c>
      <c r="I18" s="1800" t="s">
        <v>1591</v>
      </c>
      <c r="J18" s="1253"/>
      <c r="K18" s="1152" t="s">
        <v>1592</v>
      </c>
      <c r="L18" s="1801" t="s">
        <v>1593</v>
      </c>
      <c r="M18" s="945" t="s">
        <v>1594</v>
      </c>
      <c r="N18" s="1152" t="s">
        <v>1592</v>
      </c>
      <c r="O18" s="1801" t="s">
        <v>1593</v>
      </c>
      <c r="P18" s="945" t="s">
        <v>1594</v>
      </c>
      <c r="R18" s="1137" t="s">
        <v>1595</v>
      </c>
      <c r="S18" s="1137" t="s">
        <v>1596</v>
      </c>
    </row>
    <row r="19" spans="1:19">
      <c r="A19" s="1802"/>
      <c r="B19" s="50" t="s">
        <v>1569</v>
      </c>
      <c r="C19" s="3593" t="s">
        <v>3266</v>
      </c>
      <c r="D19" s="48">
        <f>ROUND($D$3*E19/$E$3,2)</f>
        <v>115.1</v>
      </c>
      <c r="E19" s="56">
        <f t="shared" ref="E19:E26" si="1">SUM(F19:G19)</f>
        <v>1506.52</v>
      </c>
      <c r="F19" s="3594">
        <f>1506.52</f>
        <v>1506.52</v>
      </c>
      <c r="G19" s="3595"/>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115.1</v>
      </c>
      <c r="S19" s="1138">
        <f t="shared" si="5"/>
        <v>1506.52</v>
      </c>
    </row>
    <row r="20" spans="1:19">
      <c r="A20" s="1806"/>
      <c r="B20" s="50" t="s">
        <v>1597</v>
      </c>
      <c r="C20" s="3593" t="s">
        <v>3267</v>
      </c>
      <c r="D20" s="48">
        <f t="shared" ref="D20:D26" si="6">ROUND($D$3*E20/$E$3,2)</f>
        <v>1784.6</v>
      </c>
      <c r="E20" s="56">
        <f t="shared" si="1"/>
        <v>23358.520000000004</v>
      </c>
      <c r="F20" s="3594">
        <f>'数据-基础表'!I5-'数据-汇总表'!F19</f>
        <v>23358.520000000004</v>
      </c>
      <c r="G20" s="3595"/>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1784.6</v>
      </c>
      <c r="S20" s="1138">
        <f t="shared" si="5"/>
        <v>23358.520000000004</v>
      </c>
    </row>
    <row r="21" spans="1:19">
      <c r="A21" s="1806"/>
      <c r="B21" s="50" t="s">
        <v>1597</v>
      </c>
      <c r="C21" s="1803"/>
      <c r="D21" s="48">
        <f t="shared" si="6"/>
        <v>0</v>
      </c>
      <c r="E21" s="56">
        <f t="shared" si="1"/>
        <v>0</v>
      </c>
      <c r="F21" s="2975"/>
      <c r="G21" s="2976"/>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1597</v>
      </c>
      <c r="C22" s="58"/>
      <c r="D22" s="48">
        <f t="shared" si="6"/>
        <v>0</v>
      </c>
      <c r="E22" s="56">
        <f t="shared" si="1"/>
        <v>0</v>
      </c>
      <c r="F22" s="2977"/>
      <c r="G22" s="2978"/>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1597</v>
      </c>
      <c r="C23" s="58"/>
      <c r="D23" s="48">
        <f>ROUND($D$3*E23/$E$3,2)</f>
        <v>0</v>
      </c>
      <c r="E23" s="56">
        <f>SUM(F23:G23)</f>
        <v>0</v>
      </c>
      <c r="F23" s="2977"/>
      <c r="G23" s="2978"/>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1597</v>
      </c>
      <c r="C24" s="58"/>
      <c r="D24" s="48">
        <f>ROUND($D$3*E24/$E$3,2)</f>
        <v>0</v>
      </c>
      <c r="E24" s="56">
        <f>SUM(F24:G24)</f>
        <v>0</v>
      </c>
      <c r="F24" s="2977"/>
      <c r="G24" s="2978"/>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1597</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1597</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1598</v>
      </c>
      <c r="D27" s="1254">
        <f>SUM(D19:D26)</f>
        <v>1899.6999999999998</v>
      </c>
      <c r="E27" s="1255">
        <f>IF(SUM(E19:E26)='数据-基础表'!BA5,SUM(E19:E26),IF(F27="地上面积有误","面积有误","地下面积有误"))</f>
        <v>24865.040000000005</v>
      </c>
      <c r="F27" s="1254">
        <f>IF(SUM(F19:F26)=E8,SUM(F19:F26),"地上面积有误")</f>
        <v>24865.040000000005</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1899.6999999999998</v>
      </c>
      <c r="S27" s="1137">
        <f>IF(SUM(S19:S26)=$E$3,SUM(S19:S26),SUM(S19:S26)&amp;"误差"&amp;ROUND(SUM(S19:S26)-E3,2))</f>
        <v>24865.040000000005</v>
      </c>
    </row>
    <row r="28" spans="1:19">
      <c r="A28" s="1806"/>
      <c r="B28" s="50" t="s">
        <v>1599</v>
      </c>
      <c r="C28" s="1149" t="s">
        <v>1600</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5" t="s">
        <v>1602</v>
      </c>
      <c r="D31" s="685">
        <f>D27+D30</f>
        <v>1899.6999999999998</v>
      </c>
      <c r="E31" s="685">
        <f>E27+E30</f>
        <v>24865.040000000005</v>
      </c>
      <c r="F31" s="686">
        <f>F27+F30</f>
        <v>24865.040000000005</v>
      </c>
      <c r="G31" s="687">
        <f>G27+G30</f>
        <v>0</v>
      </c>
      <c r="H31" s="2835"/>
      <c r="I31" s="2835"/>
      <c r="J31" s="2835"/>
      <c r="K31" s="2835"/>
      <c r="L31" s="2835"/>
      <c r="M31" s="2835"/>
      <c r="N31" s="2835"/>
      <c r="O31" s="2835"/>
      <c r="P31" s="2835"/>
    </row>
    <row r="32" spans="1:19">
      <c r="A32" s="1778"/>
      <c r="B32" s="1778" t="s">
        <v>1603</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1605</v>
      </c>
      <c r="B2" s="1156">
        <f>项目基本情况!D3</f>
        <v>44805</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1612</v>
      </c>
      <c r="B5" s="1832" t="s">
        <v>1613</v>
      </c>
      <c r="C5" s="1833" t="s">
        <v>1614</v>
      </c>
      <c r="D5" s="1834" t="s">
        <v>1615</v>
      </c>
      <c r="E5" s="1158" t="s">
        <v>1616</v>
      </c>
      <c r="F5" s="1835" t="s">
        <v>1617</v>
      </c>
      <c r="G5" s="1158" t="s">
        <v>1618</v>
      </c>
      <c r="H5" s="1158" t="s">
        <v>1619</v>
      </c>
      <c r="I5" s="1158" t="s">
        <v>1620</v>
      </c>
      <c r="J5" s="1836" t="s">
        <v>1621</v>
      </c>
      <c r="K5" s="1837" t="s">
        <v>1622</v>
      </c>
      <c r="L5" s="1838" t="s">
        <v>1623</v>
      </c>
      <c r="M5" s="1839" t="s">
        <v>1624</v>
      </c>
      <c r="N5" s="1840" t="s">
        <v>3215</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55285</v>
      </c>
      <c r="F6" s="68">
        <f>SUMIF(项目基本情况!D$12:I$12,C6,项目基本情况!D$15:I$15)</f>
        <v>28.71</v>
      </c>
      <c r="G6" s="69">
        <f>IF(ISERROR(ROUND(POWER(1+H6,D6-F6)*(POWER(1+H6,F6)-1)/(POWER(1+H6,D6)-1),3)),0,ROUND(POWER(1+H6,D6-F6)*(POWER(1+H6,F6)-1)/(POWER(1+H6,D6)-1),3))</f>
        <v>0.82599999999999996</v>
      </c>
      <c r="H6" s="3596">
        <v>0.05</v>
      </c>
      <c r="I6" s="3596">
        <v>5.5E-2</v>
      </c>
      <c r="J6" s="3597">
        <v>8.5000000000000006E-2</v>
      </c>
      <c r="K6" s="1141">
        <f>SUMIF('数据-汇总表'!C$19:C$33,A6,'数据-汇总表'!E$19:E$33)</f>
        <v>1506.52</v>
      </c>
      <c r="L6" s="3598">
        <v>4500</v>
      </c>
      <c r="M6" s="71">
        <f t="shared" ref="M6:M14" si="0">ROUND(K6*L6/10000,0)</f>
        <v>678</v>
      </c>
      <c r="N6" s="88">
        <f>ROUND(1-(1-0%)*(2022-2008)/60,2)</f>
        <v>0.77</v>
      </c>
      <c r="O6" s="71" t="str">
        <f>IF($N$5="成新度","——",ROUND(M6*N6,0))</f>
        <v>——</v>
      </c>
      <c r="P6" s="72" t="str">
        <f>IF($N$5="成新度","——",M6-O6)</f>
        <v>——</v>
      </c>
      <c r="Q6" s="743">
        <v>0.2</v>
      </c>
      <c r="R6" s="73">
        <f ca="1">SUMIF('数据-汇总表'!C$19:C$33,A6,'数据-汇总表'!R$19:R$27)</f>
        <v>115.1</v>
      </c>
      <c r="S6" s="54">
        <f>IF('数据-汇总表'!$I$17="按面积比例",SUMIF('数据-汇总表'!C$19:C$33,A6,'数据-汇总表'!K$19:K$33),SUMIF('数据-汇总表'!C$19:C$33,A6,'数据-汇总表'!N$19:N$33))</f>
        <v>0</v>
      </c>
      <c r="T6" s="1286">
        <f>ROUND($L$14*S6/10000,0)</f>
        <v>0</v>
      </c>
      <c r="U6" s="3599">
        <v>12</v>
      </c>
      <c r="V6" s="3600">
        <v>0.03</v>
      </c>
      <c r="W6" s="3600">
        <v>0.1</v>
      </c>
      <c r="X6" s="1151"/>
      <c r="Y6" s="76">
        <f>N6</f>
        <v>0.77</v>
      </c>
      <c r="Z6" s="77"/>
      <c r="AA6" s="70"/>
      <c r="AB6" s="70"/>
      <c r="AC6" s="1151"/>
      <c r="AD6" s="78"/>
      <c r="AE6" s="1152">
        <f ca="1">IF(AN6="",0,SUMIF(INDIRECT("'"&amp;AN6&amp;"'"&amp;"!E:E"),$AE$5,INDIRECT("'"&amp;AN6&amp;"'"&amp;"!F:F")))</f>
        <v>28.71</v>
      </c>
      <c r="AF6" s="1482"/>
      <c r="AG6" s="143">
        <f>IF(AF6="",0,AE6-AF6)</f>
        <v>0</v>
      </c>
      <c r="AH6" s="79"/>
      <c r="AI6" s="81">
        <v>365</v>
      </c>
      <c r="AJ6" s="82"/>
      <c r="AK6" s="83">
        <v>1.4999999999999999E-2</v>
      </c>
      <c r="AL6" s="84">
        <v>1.5E-3</v>
      </c>
      <c r="AM6" s="85">
        <v>0.01</v>
      </c>
      <c r="AN6" s="1851" t="s">
        <v>3220</v>
      </c>
      <c r="AO6" s="55">
        <f ca="1">SUMIF(INDIRECT("'"&amp;AN6&amp;"'"&amp;"!A:A"),"总价",INDIRECT("'"&amp;AN6&amp;"'"&amp;"!B:B"))</f>
        <v>9416</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办公其他</v>
      </c>
      <c r="B7" s="1849" t="str">
        <f t="shared" ref="B7:B13" si="1">IF(A7=0,"","经营性")</f>
        <v>经营性</v>
      </c>
      <c r="C7" s="1850"/>
      <c r="D7" s="948">
        <f>SUMIF(项目基本情况!D$12:I$12,C7,项目基本情况!D$14:I$14)</f>
        <v>0</v>
      </c>
      <c r="E7" s="947">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3596"/>
      <c r="I7" s="3596"/>
      <c r="J7" s="3597"/>
      <c r="K7" s="1141">
        <f>SUMIF('数据-汇总表'!C$19:C$33,A7,'数据-汇总表'!E$19:E$33)</f>
        <v>23358.520000000004</v>
      </c>
      <c r="L7" s="3598"/>
      <c r="M7" s="71">
        <f t="shared" si="0"/>
        <v>0</v>
      </c>
      <c r="N7" s="88"/>
      <c r="O7" s="71" t="str">
        <f t="shared" ref="O7:O14" si="3">IF($N$5="成新度","——",ROUND(M7*N7,0))</f>
        <v>——</v>
      </c>
      <c r="P7" s="72" t="str">
        <f t="shared" ref="P7:P14" si="4">IF($N$5="成新度","——",M7-O7)</f>
        <v>——</v>
      </c>
      <c r="Q7" s="743"/>
      <c r="R7" s="73">
        <f ca="1">SUMIF('数据-汇总表'!C$19:C$33,A7,'数据-汇总表'!R$19:R$27)</f>
        <v>1784.6</v>
      </c>
      <c r="S7" s="54">
        <f>IF('数据-汇总表'!$I$17="按面积比例",SUMIF('数据-汇总表'!C$19:C$33,A7,'数据-汇总表'!K$19:K$33),SUMIF('数据-汇总表'!C$19:C$33,A7,'数据-汇总表'!N$19:N$33))</f>
        <v>0</v>
      </c>
      <c r="T7" s="1286">
        <f t="shared" ref="T7:T13" si="5">ROUND($L$14*S7/10000,0)</f>
        <v>0</v>
      </c>
      <c r="U7" s="3599"/>
      <c r="V7" s="3600"/>
      <c r="W7" s="3600"/>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8"/>
      <c r="E14" s="947"/>
      <c r="F14" s="68"/>
      <c r="G14" s="69"/>
      <c r="H14" s="1140"/>
      <c r="I14" s="1140"/>
      <c r="J14" s="1140"/>
      <c r="K14" s="1141">
        <f>SUMIF('数据-汇总表'!C$19:C$33,A14,'数据-汇总表'!E$19:E$33)</f>
        <v>0</v>
      </c>
      <c r="L14" s="87">
        <v>3500</v>
      </c>
      <c r="M14" s="71">
        <f t="shared" si="0"/>
        <v>0</v>
      </c>
      <c r="N14" s="88">
        <f>N7</f>
        <v>0</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3"/>
      <c r="D16" s="1856"/>
      <c r="E16" s="93"/>
      <c r="F16" s="93"/>
      <c r="G16" s="94">
        <f>ROUND(SUMPRODUCT(G6:G13,K6:K13)/SUMPRODUCT((G6:G13&gt;0)*(K6:K13)),3)</f>
        <v>0.82599999999999996</v>
      </c>
      <c r="H16" s="95">
        <f>ROUND(SUMPRODUCT(H6:H13,K6:K13)/SUMPRODUCT((H6:H13&gt;0)*(K6:K13)),3)</f>
        <v>0.05</v>
      </c>
      <c r="I16" s="96"/>
      <c r="J16" s="96"/>
      <c r="K16" s="97">
        <f>SUM(K6:K15)</f>
        <v>24865.040000000005</v>
      </c>
      <c r="L16" s="98">
        <f>ROUND(M16*10000/SUM(K6:K14),0)</f>
        <v>273</v>
      </c>
      <c r="M16" s="98">
        <f>SUM(M6:M14)</f>
        <v>678</v>
      </c>
      <c r="N16" s="99">
        <f>ROUND(SUMPRODUCT(M6:M14,N6:N14)/M16,3)</f>
        <v>0.77</v>
      </c>
      <c r="O16" s="98">
        <f>SUM(O6:O14)</f>
        <v>0</v>
      </c>
      <c r="P16" s="98">
        <f>SUM(P6:P14)</f>
        <v>0</v>
      </c>
      <c r="Q16" s="100">
        <f>ROUND(SUMPRODUCT(Q6:Q13,K6:K13)/SUMPRODUCT((Q6:Q13&gt;0)*(K6:K13)),2)</f>
        <v>0.2</v>
      </c>
      <c r="R16" s="1145">
        <f ca="1">SUM(R6:R13)</f>
        <v>1899.6999999999998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c r="C19" s="2979" t="s">
        <v>2804</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2</v>
      </c>
      <c r="C20" s="2980" t="s">
        <v>2802</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ROUND(B28*K16/10000,0)</f>
        <v>497</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0.03</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3223</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268</v>
      </c>
      <c r="C53" s="2837" t="s">
        <v>1690</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31" t="s">
        <v>2785</v>
      </c>
      <c r="B1" s="3332"/>
      <c r="C1" s="3332"/>
      <c r="D1" s="3332"/>
      <c r="E1" s="3332"/>
      <c r="F1" s="3332"/>
      <c r="G1" s="333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8"/>
      <c r="I2" s="888"/>
      <c r="J2" s="888"/>
      <c r="K2" s="888"/>
      <c r="L2" s="888"/>
      <c r="M2" s="888"/>
      <c r="N2" s="888"/>
      <c r="O2" s="888"/>
      <c r="P2" s="888"/>
      <c r="Q2" s="888"/>
      <c r="R2" s="888"/>
    </row>
    <row r="3" spans="1:29" ht="48">
      <c r="A3" s="2616" t="s">
        <v>2782</v>
      </c>
      <c r="B3" s="2638" t="s">
        <v>2751</v>
      </c>
      <c r="C3" s="2639" t="s">
        <v>2783</v>
      </c>
      <c r="D3" s="2640"/>
      <c r="E3" s="2617" t="s">
        <v>2782</v>
      </c>
      <c r="F3" s="2641" t="s">
        <v>2752</v>
      </c>
      <c r="G3" s="2642" t="s">
        <v>2784</v>
      </c>
      <c r="H3" s="888"/>
      <c r="I3" s="888"/>
      <c r="J3" s="888"/>
      <c r="K3" s="888"/>
      <c r="L3" s="888"/>
      <c r="M3" s="888"/>
      <c r="N3" s="888"/>
      <c r="O3" s="888"/>
      <c r="P3" s="888"/>
      <c r="Q3" s="888"/>
      <c r="R3" s="888"/>
    </row>
    <row r="4" spans="1:29" ht="36.75">
      <c r="A4" s="2617"/>
      <c r="B4" s="329" t="s">
        <v>2753</v>
      </c>
      <c r="C4" s="2643" t="s">
        <v>2754</v>
      </c>
      <c r="D4" s="2640"/>
      <c r="E4" s="2644"/>
      <c r="F4" s="1507" t="s">
        <v>2755</v>
      </c>
      <c r="G4" s="2645" t="s">
        <v>2756</v>
      </c>
      <c r="H4" s="888"/>
      <c r="I4" s="888"/>
      <c r="J4" s="888"/>
      <c r="K4" s="888"/>
      <c r="L4" s="888"/>
      <c r="M4" s="888"/>
      <c r="N4" s="888"/>
      <c r="O4" s="888"/>
      <c r="P4" s="888"/>
      <c r="Q4" s="888"/>
      <c r="R4" s="888"/>
    </row>
    <row r="5" spans="1:29" ht="36.75">
      <c r="A5" s="2617"/>
      <c r="B5" s="329" t="s">
        <v>2757</v>
      </c>
      <c r="C5" s="2643" t="s">
        <v>2758</v>
      </c>
      <c r="D5" s="2640"/>
      <c r="E5" s="2644"/>
      <c r="F5" s="329" t="s">
        <v>2759</v>
      </c>
      <c r="G5" s="2645" t="s">
        <v>2760</v>
      </c>
      <c r="H5" s="888"/>
      <c r="I5" s="888"/>
      <c r="J5" s="888"/>
      <c r="K5" s="888"/>
      <c r="L5" s="888"/>
      <c r="M5" s="888"/>
      <c r="N5" s="888"/>
      <c r="O5" s="888"/>
      <c r="P5" s="888"/>
      <c r="Q5" s="888"/>
      <c r="R5" s="888"/>
    </row>
    <row r="6" spans="1:29" ht="36">
      <c r="A6" s="2617"/>
      <c r="B6" s="329" t="s">
        <v>2761</v>
      </c>
      <c r="C6" s="2645" t="s">
        <v>2756</v>
      </c>
      <c r="D6" s="2640"/>
      <c r="E6" s="2644"/>
      <c r="F6" s="329" t="s">
        <v>2762</v>
      </c>
      <c r="G6" s="2645" t="s">
        <v>2763</v>
      </c>
      <c r="H6" s="888"/>
      <c r="I6" s="888"/>
      <c r="J6" s="888"/>
      <c r="K6" s="888"/>
      <c r="L6" s="888"/>
      <c r="M6" s="888"/>
      <c r="N6" s="888"/>
      <c r="O6" s="888"/>
      <c r="P6" s="888"/>
      <c r="Q6" s="888"/>
      <c r="R6" s="888"/>
    </row>
    <row r="7" spans="1:29" ht="24.75" thickBot="1">
      <c r="A7" s="2617"/>
      <c r="B7" s="329" t="s">
        <v>2759</v>
      </c>
      <c r="C7" s="2645" t="s">
        <v>2760</v>
      </c>
      <c r="D7" s="2646"/>
      <c r="E7" s="2647"/>
      <c r="F7" s="2648" t="s">
        <v>2764</v>
      </c>
      <c r="G7" s="2649" t="s">
        <v>2765</v>
      </c>
      <c r="H7" s="888"/>
      <c r="I7" s="888"/>
      <c r="J7" s="888"/>
      <c r="K7" s="888"/>
      <c r="L7" s="888"/>
      <c r="M7" s="888"/>
      <c r="N7" s="888"/>
      <c r="O7" s="888"/>
      <c r="P7" s="888"/>
      <c r="Q7" s="888"/>
      <c r="R7" s="888"/>
    </row>
    <row r="8" spans="1:29">
      <c r="A8" s="2617"/>
      <c r="B8" s="329" t="s">
        <v>2762</v>
      </c>
      <c r="C8" s="2645" t="s">
        <v>2763</v>
      </c>
      <c r="D8" s="2646"/>
      <c r="E8" s="2646"/>
      <c r="F8" s="2650"/>
      <c r="G8" s="2650"/>
      <c r="H8" s="888"/>
      <c r="I8" s="888"/>
      <c r="J8" s="888"/>
      <c r="K8" s="888"/>
      <c r="L8" s="888"/>
      <c r="M8" s="888"/>
      <c r="N8" s="888"/>
      <c r="O8" s="888"/>
      <c r="P8" s="888"/>
      <c r="Q8" s="888"/>
      <c r="R8" s="888"/>
    </row>
    <row r="9" spans="1:29" ht="24">
      <c r="A9" s="2617"/>
      <c r="B9" s="329" t="s">
        <v>2766</v>
      </c>
      <c r="C9" s="2643" t="s">
        <v>2767</v>
      </c>
      <c r="D9" s="2640"/>
      <c r="E9" s="2646"/>
      <c r="F9" s="2650"/>
      <c r="G9" s="2650"/>
      <c r="H9" s="888"/>
      <c r="I9" s="888"/>
      <c r="J9" s="888"/>
      <c r="K9" s="888"/>
      <c r="L9" s="888"/>
      <c r="M9" s="888"/>
      <c r="N9" s="888"/>
      <c r="O9" s="888"/>
      <c r="P9" s="888"/>
      <c r="Q9" s="888"/>
      <c r="R9" s="888"/>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2751</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2753</v>
      </c>
      <c r="C16" s="2676" t="str">
        <f>C4</f>
        <v>估价对象位于XX商圈，周边商业氛围成熟，人流量大，商业繁华度好</v>
      </c>
      <c r="D16" s="2640"/>
      <c r="E16" s="2622"/>
      <c r="F16" s="2677" t="s">
        <v>2755</v>
      </c>
      <c r="G16" s="2678" t="str">
        <f>G4</f>
        <v>估价对象周边道路状况、公共交通通达情况、停车便捷程度，综合评价交通便捷度较好</v>
      </c>
    </row>
    <row r="17" spans="1:18" ht="38.25">
      <c r="A17" s="2621"/>
      <c r="B17" s="2675" t="s">
        <v>2757</v>
      </c>
      <c r="C17" s="2676" t="str">
        <f>C5</f>
        <v>估价对象位于XX商圈，周边办公楼项目较多，入驻率高，办公集聚程度较好</v>
      </c>
      <c r="D17" s="2646"/>
      <c r="E17" s="2622"/>
      <c r="F17" s="2677" t="s">
        <v>2774</v>
      </c>
      <c r="G17" s="2679"/>
    </row>
    <row r="18" spans="1:18" ht="38.25">
      <c r="A18" s="2621"/>
      <c r="B18" s="2677" t="s">
        <v>2761</v>
      </c>
      <c r="C18" s="2678" t="str">
        <f>C6</f>
        <v>估价对象周边道路状况、公共交通通达情况、停车便捷程度，综合评价交通便捷度较好</v>
      </c>
      <c r="D18" s="2646"/>
      <c r="E18" s="2622"/>
      <c r="F18" s="2677" t="s">
        <v>2764</v>
      </c>
      <c r="G18" s="2678" t="str">
        <f>G7</f>
        <v>该园区内是否有污染型企业，绿化情况，卫生条件，整体环境状况判断</v>
      </c>
    </row>
    <row r="19" spans="1:18" ht="25.5">
      <c r="A19" s="2621"/>
      <c r="B19" s="2677" t="s">
        <v>2775</v>
      </c>
      <c r="C19" s="2679"/>
      <c r="D19" s="2640"/>
      <c r="E19" s="2622"/>
      <c r="F19" s="329" t="s">
        <v>2759</v>
      </c>
      <c r="G19" s="2678" t="str">
        <f>G5</f>
        <v>估价对象所在区域公共配套设施齐备情况</v>
      </c>
    </row>
    <row r="20" spans="1:18" ht="25.5">
      <c r="A20" s="2621"/>
      <c r="B20" s="2677" t="s">
        <v>2776</v>
      </c>
      <c r="C20" s="2676" t="str">
        <f>C9</f>
        <v>区域自然环境：；人文环境；综合评价环境状况一般</v>
      </c>
      <c r="D20" s="2646"/>
      <c r="E20" s="2622"/>
      <c r="F20" s="329" t="s">
        <v>2762</v>
      </c>
      <c r="G20" s="2678" t="str">
        <f>G6</f>
        <v>估价对象所在区域基础设施水平</v>
      </c>
    </row>
    <row r="21" spans="1:18" ht="25.5">
      <c r="A21" s="2621"/>
      <c r="B21" s="329" t="s">
        <v>2759</v>
      </c>
      <c r="C21" s="2678" t="str">
        <f>C7</f>
        <v>估价对象所在区域公共配套设施齐备情况</v>
      </c>
      <c r="D21" s="2640"/>
      <c r="E21" s="2622"/>
      <c r="F21" s="2677" t="s">
        <v>2777</v>
      </c>
      <c r="G21" s="2680"/>
    </row>
    <row r="22" spans="1:18" ht="13.5" customHeight="1">
      <c r="A22" s="2621"/>
      <c r="B22" s="329" t="s">
        <v>2762</v>
      </c>
      <c r="C22" s="2678" t="str">
        <f>C8</f>
        <v>估价对象所在区域基础设施水平</v>
      </c>
      <c r="D22" s="2640"/>
      <c r="E22" s="2622"/>
      <c r="F22" s="2677" t="s">
        <v>2768</v>
      </c>
      <c r="G22" s="2679"/>
    </row>
    <row r="23" spans="1:18" s="888"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8"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24865.040000000005</v>
      </c>
      <c r="C1" s="2864"/>
      <c r="D1" s="2864"/>
      <c r="E1" s="2864"/>
      <c r="F1" s="2864"/>
      <c r="G1" s="2865"/>
      <c r="H1" s="2866"/>
      <c r="I1" s="2866"/>
      <c r="J1" s="2866"/>
      <c r="K1" s="2866"/>
    </row>
    <row r="2" spans="1:11" ht="16.5">
      <c r="A2" s="2687" t="s">
        <v>1078</v>
      </c>
      <c r="B2" s="2687">
        <f>SUM(C14:C23)</f>
        <v>1899.7</v>
      </c>
      <c r="C2" s="2864"/>
      <c r="D2" s="2864"/>
      <c r="E2" s="2864"/>
      <c r="F2" s="2864"/>
      <c r="G2" s="2865"/>
      <c r="H2" s="2866"/>
      <c r="I2" s="2866"/>
      <c r="J2" s="2866"/>
      <c r="K2" s="2866"/>
    </row>
    <row r="3" spans="1:11" ht="16.5">
      <c r="A3" s="2687" t="s">
        <v>1087</v>
      </c>
      <c r="B3" s="2689">
        <f>项目基本情况!D3</f>
        <v>44805</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t="e">
        <f ca="1">SUM(D14:D23)</f>
        <v>#REF!</v>
      </c>
      <c r="C5" s="2687" t="e">
        <f ca="1">ROUND(B5*10000/$B$1,0)</f>
        <v>#REF!</v>
      </c>
      <c r="D5" s="2687" t="e">
        <f ca="1">ROUND(B5*10000/$B$2,0)</f>
        <v>#REF!</v>
      </c>
      <c r="E5" s="2864"/>
      <c r="F5" s="2865"/>
      <c r="G5" s="2865"/>
      <c r="H5" s="2866"/>
      <c r="I5" s="2866"/>
      <c r="J5" s="2866"/>
      <c r="K5" s="2866"/>
    </row>
    <row r="6" spans="1:11" ht="16.5">
      <c r="A6" s="2687" t="s">
        <v>1081</v>
      </c>
      <c r="B6" s="2687" t="e">
        <f ca="1">SUM(G14:G23)</f>
        <v>#REF!</v>
      </c>
      <c r="C6" s="2687" t="e">
        <f ca="1">ROUND(B6*10000/$B$1,0)</f>
        <v>#REF!</v>
      </c>
      <c r="D6" s="2687" t="e">
        <f ca="1">ROUND(B6*10000/$B$2,0)</f>
        <v>#REF!</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24865.040000000005</v>
      </c>
      <c r="C14" s="2693">
        <f>结果表!C118</f>
        <v>1899.7</v>
      </c>
      <c r="D14" s="2693" t="e">
        <f ca="1">结果表!H118</f>
        <v>#REF!</v>
      </c>
      <c r="E14" s="2693" t="e">
        <f ca="1">ROUND(D14*10000/B14,0)</f>
        <v>#REF!</v>
      </c>
      <c r="F14" s="2693" t="e">
        <f ca="1">ROUND(D14*10000/C14,0)</f>
        <v>#REF!</v>
      </c>
      <c r="G14" s="2693" t="e">
        <f ca="1">结果表!D122</f>
        <v>#REF!</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367" t="str">
        <f>项目基本情况!S2</f>
        <v>北京市房地产</v>
      </c>
      <c r="B2" s="3368"/>
      <c r="C2" s="3368"/>
      <c r="D2" s="3368"/>
      <c r="E2" s="3368"/>
      <c r="F2" s="3368"/>
      <c r="G2" s="3368"/>
      <c r="H2" s="3368"/>
      <c r="I2" s="3369"/>
    </row>
    <row r="3" spans="1:12" ht="12.75">
      <c r="A3" s="3371" t="s">
        <v>1708</v>
      </c>
      <c r="B3" s="3372"/>
      <c r="C3" s="3372"/>
      <c r="D3" s="3372"/>
      <c r="E3" s="3372"/>
      <c r="F3" s="3372"/>
      <c r="G3" s="3372"/>
      <c r="H3" s="3372"/>
      <c r="I3" s="3372"/>
    </row>
    <row r="4" spans="1:12" ht="14.25">
      <c r="A4" s="1890" t="s">
        <v>1709</v>
      </c>
      <c r="B4" s="1891" t="s">
        <v>1710</v>
      </c>
      <c r="C4" s="1892" t="s">
        <v>3224</v>
      </c>
      <c r="D4" s="1892" t="s">
        <v>3220</v>
      </c>
      <c r="E4" s="3373" t="s">
        <v>1711</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1712</v>
      </c>
      <c r="B5" s="3334">
        <v>25</v>
      </c>
      <c r="C5" s="3350"/>
      <c r="D5" s="3370"/>
      <c r="E5" s="136" t="s">
        <v>1713</v>
      </c>
      <c r="F5" s="1893"/>
      <c r="G5" s="1893"/>
      <c r="H5" s="1893"/>
      <c r="I5" s="1507"/>
    </row>
    <row r="6" spans="1:12" ht="12.75">
      <c r="A6" s="3347"/>
      <c r="B6" s="3334"/>
      <c r="C6" s="3351"/>
      <c r="D6" s="3370"/>
      <c r="E6" s="136" t="s">
        <v>1714</v>
      </c>
      <c r="F6" s="1893"/>
      <c r="G6" s="1893"/>
      <c r="H6" s="1893"/>
      <c r="I6" s="1507"/>
    </row>
    <row r="7" spans="1:12" ht="12.75">
      <c r="A7" s="3347"/>
      <c r="B7" s="3334"/>
      <c r="C7" s="3352"/>
      <c r="D7" s="3370"/>
      <c r="E7" s="136" t="s">
        <v>1715</v>
      </c>
      <c r="F7" s="1893"/>
      <c r="G7" s="1893"/>
      <c r="H7" s="1893"/>
      <c r="I7" s="1507"/>
    </row>
    <row r="8" spans="1:12" ht="12.75">
      <c r="A8" s="3347" t="s">
        <v>1716</v>
      </c>
      <c r="B8" s="3334">
        <v>15</v>
      </c>
      <c r="C8" s="3350"/>
      <c r="D8" s="3370"/>
      <c r="E8" s="136" t="s">
        <v>1717</v>
      </c>
      <c r="F8" s="1893"/>
      <c r="G8" s="1893"/>
      <c r="H8" s="1893"/>
      <c r="I8" s="1507"/>
    </row>
    <row r="9" spans="1:12" ht="12.75">
      <c r="A9" s="3347"/>
      <c r="B9" s="3334"/>
      <c r="C9" s="3352"/>
      <c r="D9" s="3370"/>
      <c r="E9" s="136" t="s">
        <v>1718</v>
      </c>
      <c r="F9" s="1893"/>
      <c r="G9" s="1893"/>
      <c r="H9" s="1893"/>
      <c r="I9" s="1507"/>
    </row>
    <row r="10" spans="1:12" ht="12.75">
      <c r="A10" s="3347" t="s">
        <v>1719</v>
      </c>
      <c r="B10" s="3334">
        <v>15</v>
      </c>
      <c r="C10" s="3350"/>
      <c r="D10" s="3370"/>
      <c r="E10" s="136" t="s">
        <v>1720</v>
      </c>
      <c r="F10" s="1893"/>
      <c r="G10" s="1893"/>
      <c r="H10" s="1893"/>
      <c r="I10" s="1507"/>
    </row>
    <row r="11" spans="1:12" ht="12.75">
      <c r="A11" s="3347"/>
      <c r="B11" s="3334"/>
      <c r="C11" s="3352"/>
      <c r="D11" s="3370"/>
      <c r="E11" s="136" t="s">
        <v>1721</v>
      </c>
      <c r="F11" s="1893"/>
      <c r="G11" s="1893"/>
      <c r="H11" s="1893"/>
      <c r="I11" s="1507"/>
    </row>
    <row r="12" spans="1:12" ht="12.75">
      <c r="A12" s="3347" t="s">
        <v>1722</v>
      </c>
      <c r="B12" s="3334">
        <v>15</v>
      </c>
      <c r="C12" s="3350"/>
      <c r="D12" s="3370"/>
      <c r="E12" s="136" t="s">
        <v>1723</v>
      </c>
      <c r="F12" s="1893"/>
      <c r="G12" s="1893"/>
      <c r="H12" s="1893"/>
      <c r="I12" s="1507"/>
    </row>
    <row r="13" spans="1:12" ht="12.75">
      <c r="A13" s="3347"/>
      <c r="B13" s="3334"/>
      <c r="C13" s="3352"/>
      <c r="D13" s="3370"/>
      <c r="E13" s="136" t="s">
        <v>1724</v>
      </c>
      <c r="F13" s="1893"/>
      <c r="G13" s="1893"/>
      <c r="H13" s="1893"/>
      <c r="I13" s="1507"/>
    </row>
    <row r="14" spans="1:12" ht="12.75">
      <c r="A14" s="3347" t="s">
        <v>1725</v>
      </c>
      <c r="B14" s="3334">
        <v>30</v>
      </c>
      <c r="C14" s="3350">
        <v>65</v>
      </c>
      <c r="D14" s="3370">
        <v>35</v>
      </c>
      <c r="E14" s="136" t="s">
        <v>1726</v>
      </c>
      <c r="F14" s="1893"/>
      <c r="G14" s="1893"/>
      <c r="H14" s="1893"/>
      <c r="I14" s="1507"/>
    </row>
    <row r="15" spans="1:12" ht="12.75">
      <c r="A15" s="3347"/>
      <c r="B15" s="3334"/>
      <c r="C15" s="3351"/>
      <c r="D15" s="3370"/>
      <c r="E15" s="136" t="s">
        <v>1727</v>
      </c>
      <c r="F15" s="1893"/>
      <c r="G15" s="1893"/>
      <c r="H15" s="1893"/>
      <c r="I15" s="1507"/>
    </row>
    <row r="16" spans="1:12" ht="12.75">
      <c r="A16" s="3347"/>
      <c r="B16" s="3334"/>
      <c r="C16" s="3352"/>
      <c r="D16" s="3370"/>
      <c r="E16" s="136" t="s">
        <v>1728</v>
      </c>
      <c r="F16" s="1893"/>
      <c r="G16" s="1893"/>
      <c r="H16" s="1893"/>
      <c r="I16" s="1507"/>
    </row>
    <row r="17" spans="1:36" ht="15">
      <c r="A17" s="1894" t="s">
        <v>1729</v>
      </c>
      <c r="B17" s="60"/>
      <c r="C17" s="137">
        <f>SUM(C5:C16)</f>
        <v>65</v>
      </c>
      <c r="D17" s="137">
        <f>SUM(D5:D16)</f>
        <v>35</v>
      </c>
      <c r="E17" s="134"/>
      <c r="F17" s="134"/>
      <c r="G17" s="134"/>
      <c r="H17" s="134"/>
      <c r="I17" s="134"/>
      <c r="K17" s="308"/>
      <c r="L17" s="308" t="s">
        <v>1730</v>
      </c>
      <c r="M17" s="308" t="s">
        <v>1731</v>
      </c>
    </row>
    <row r="18" spans="1:36" ht="31.9" customHeight="1" thickBot="1">
      <c r="A18" s="1895" t="s">
        <v>1732</v>
      </c>
      <c r="B18" s="1896"/>
      <c r="C18" s="138">
        <f>ROUND(C17/SUM(C17:D17),2)</f>
        <v>0.65</v>
      </c>
      <c r="D18" s="138">
        <f>1-C18</f>
        <v>0.35</v>
      </c>
      <c r="E18" s="3357" t="s">
        <v>2630</v>
      </c>
      <c r="F18" s="3358"/>
      <c r="G18" s="3358"/>
      <c r="H18" s="3358"/>
      <c r="I18" s="3358"/>
      <c r="K18" s="308" t="s">
        <v>1733</v>
      </c>
      <c r="L18" s="308">
        <f>IF(C1="",'数据-汇总表'!E3,SUMIF(项目类型,C1,'数据-汇总表'!E17:E26)+SUMIF(项目类型,C1,'数据-汇总表'!I17:I26))</f>
        <v>24865.040000000005</v>
      </c>
      <c r="M18" s="308">
        <f>IF(C1="",'数据-汇总表'!E3,SUMIF(项目类型,C1,'数据-汇总表'!E17:E26))</f>
        <v>24865.040000000005</v>
      </c>
    </row>
    <row r="19" spans="1:36" ht="15">
      <c r="A19" s="1897" t="s">
        <v>1734</v>
      </c>
      <c r="B19" s="1898" t="s">
        <v>1735</v>
      </c>
      <c r="C19" s="139">
        <f ca="1">SUMIF(INDIRECT("'"&amp;C4&amp;"'"&amp;"!A:A"),结果表!B19,INDIRECT("'"&amp;C4&amp;"'"&amp;"!B:B"))</f>
        <v>6622</v>
      </c>
      <c r="D19" s="140">
        <f ca="1">SUMIF(INDIRECT("'"&amp;D4&amp;"'"&amp;"!A:A"),结果表!B19,INDIRECT("'"&amp;D4&amp;"'"&amp;"!B:B"))</f>
        <v>9416</v>
      </c>
      <c r="E19" s="1897" t="s">
        <v>1736</v>
      </c>
      <c r="F19" s="1898" t="s">
        <v>1735</v>
      </c>
      <c r="G19" s="141">
        <f ca="1">ROUND(C19*$C$18+D19*$D$18,0)</f>
        <v>7600</v>
      </c>
      <c r="H19" s="1899" t="s">
        <v>1737</v>
      </c>
      <c r="I19" s="134"/>
      <c r="K19" s="308" t="s">
        <v>1738</v>
      </c>
      <c r="L19" s="308">
        <f>IF(C1="",'数据-汇总表'!D3,SUMIF(项目类型,C1,'数据-汇总表'!D17:D26)+SUMIF(项目类型,C1,'数据-汇总表'!H17:H27))</f>
        <v>1899.7</v>
      </c>
      <c r="M19" s="308">
        <f>IF(C1="",'数据-汇总表'!D3,SUMIF(项目类型,C1,'数据-汇总表'!D17:D26))</f>
        <v>1899.7</v>
      </c>
    </row>
    <row r="20" spans="1:36" ht="15">
      <c r="A20" s="1900"/>
      <c r="B20" s="1137" t="s">
        <v>1739</v>
      </c>
      <c r="C20" s="142">
        <f ca="1">SUMIF(INDIRECT("'"&amp;C4&amp;"'"&amp;"!A:A"),结果表!B20,INDIRECT("'"&amp;C4&amp;"'"&amp;"!B:B"))</f>
        <v>43958</v>
      </c>
      <c r="D20" s="143">
        <f ca="1">SUMIF(INDIRECT("'"&amp;D4&amp;"'"&amp;"!A:A"),结果表!B20,INDIRECT("'"&amp;D4&amp;"'"&amp;"!B:B"))</f>
        <v>62502</v>
      </c>
      <c r="E20" s="1900"/>
      <c r="F20" s="1137" t="s">
        <v>1739</v>
      </c>
      <c r="G20" s="144">
        <f ca="1">ROUND(C20*$C$18+D20*$D$18,0)</f>
        <v>50448</v>
      </c>
      <c r="H20" s="898" t="s">
        <v>1740</v>
      </c>
      <c r="I20" s="134"/>
    </row>
    <row r="21" spans="1:36" ht="15" customHeight="1" thickBot="1">
      <c r="A21" s="918"/>
      <c r="B21" s="1901" t="s">
        <v>1741</v>
      </c>
      <c r="C21" s="728">
        <f ca="1">ROUND(C19*10000/L19,0)</f>
        <v>34858</v>
      </c>
      <c r="D21" s="729">
        <f ca="1">ROUND(D19*10000/L19,0)</f>
        <v>49566</v>
      </c>
      <c r="E21" s="918"/>
      <c r="F21" s="1901" t="s">
        <v>1741</v>
      </c>
      <c r="G21" s="145">
        <f ca="1">ROUND(G19*10000/L19,0)</f>
        <v>40006</v>
      </c>
      <c r="H21" s="1902" t="s">
        <v>1740</v>
      </c>
      <c r="I21" s="134"/>
    </row>
    <row r="22" spans="1:36" ht="15" thickBot="1">
      <c r="A22" s="1824" t="s">
        <v>1742</v>
      </c>
      <c r="B22" s="1903"/>
      <c r="C22" s="1904"/>
      <c r="D22" s="730">
        <f ca="1">IF(C19&lt;D19,D19/C19-1,C19/D19-1)</f>
        <v>0.42192691029900331</v>
      </c>
      <c r="E22" s="134"/>
      <c r="F22" s="134"/>
      <c r="G22" s="134"/>
      <c r="H22" s="134"/>
      <c r="I22" s="134"/>
    </row>
    <row r="23" spans="1:36" ht="13.5" thickBot="1">
      <c r="A23" s="1883"/>
      <c r="B23" s="1883"/>
      <c r="C23" s="1883"/>
      <c r="D23" s="1883"/>
      <c r="E23" s="134"/>
      <c r="F23" s="134"/>
      <c r="G23" s="134"/>
      <c r="H23" s="134"/>
      <c r="I23" s="134"/>
    </row>
    <row r="24" spans="1:36" ht="14.25">
      <c r="A24" s="3341" t="s">
        <v>1743</v>
      </c>
      <c r="B24" s="1898" t="s">
        <v>1735</v>
      </c>
      <c r="C24" s="141">
        <f>IF(B30=0,0,D30)</f>
        <v>0</v>
      </c>
      <c r="D24" s="1905"/>
      <c r="E24" s="134"/>
      <c r="F24" s="134"/>
      <c r="G24" s="134"/>
      <c r="H24" s="134"/>
      <c r="I24" s="134"/>
    </row>
    <row r="25" spans="1:36" ht="14.25">
      <c r="A25" s="3342"/>
      <c r="B25" s="1137"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50448</v>
      </c>
      <c r="D32" s="1911"/>
      <c r="E32" s="134"/>
      <c r="F32" s="134"/>
      <c r="G32" s="134"/>
      <c r="H32" s="134"/>
      <c r="I32" s="134"/>
    </row>
    <row r="33" spans="1:15" ht="15">
      <c r="A33" s="875" t="s">
        <v>1750</v>
      </c>
      <c r="B33" s="1912"/>
      <c r="C33" s="1913"/>
      <c r="D33" s="1914"/>
      <c r="E33" s="1915" t="s">
        <v>1751</v>
      </c>
      <c r="F33" s="1916" t="str">
        <f>IF(D32="楼面单价","取值（单价）","取值（总价）")</f>
        <v>取值（总价）</v>
      </c>
      <c r="G33" s="134"/>
      <c r="H33" s="134"/>
      <c r="I33" s="134"/>
    </row>
    <row r="34" spans="1:15" ht="15">
      <c r="A34" s="1917"/>
      <c r="B34" s="1918" t="s">
        <v>1752</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1753</v>
      </c>
      <c r="F34" s="1450"/>
      <c r="G34" s="134"/>
      <c r="H34" s="134"/>
      <c r="I34" s="134"/>
    </row>
    <row r="35" spans="1:15" ht="15.75" thickBot="1">
      <c r="A35" s="1920"/>
      <c r="B35" s="1921" t="s">
        <v>1754</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1755</v>
      </c>
      <c r="F35" s="159"/>
      <c r="G35" s="134"/>
      <c r="H35" s="134"/>
      <c r="I35" s="134"/>
    </row>
    <row r="36" spans="1:15" ht="15.75" thickBot="1">
      <c r="A36" s="3361" t="s">
        <v>1756</v>
      </c>
      <c r="B36" s="1923" t="s">
        <v>1757</v>
      </c>
      <c r="C36" s="150"/>
      <c r="D36" s="1924"/>
      <c r="E36" s="1925"/>
      <c r="F36" s="1926"/>
      <c r="G36" s="134"/>
      <c r="H36" s="134"/>
      <c r="I36" s="134"/>
    </row>
    <row r="37" spans="1:15" ht="15.75" thickBot="1">
      <c r="A37" s="3362"/>
      <c r="B37" s="1810" t="s">
        <v>1758</v>
      </c>
      <c r="C37" s="152"/>
      <c r="D37" s="1253"/>
      <c r="E37" s="1253"/>
      <c r="F37" s="1926"/>
      <c r="G37" s="134"/>
      <c r="H37" s="134"/>
      <c r="I37" s="134"/>
    </row>
    <row r="38" spans="1:15" ht="15.75" thickBot="1">
      <c r="A38" s="3363"/>
      <c r="B38" s="1927" t="s">
        <v>1759</v>
      </c>
      <c r="C38" s="683"/>
      <c r="D38" s="1928" t="s">
        <v>1760</v>
      </c>
      <c r="E38" s="1253"/>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338" t="s">
        <v>1770</v>
      </c>
      <c r="B45" s="3339"/>
      <c r="C45" s="3340"/>
      <c r="D45" s="160" t="e">
        <f ca="1">ROUND(H101*F45,0)</f>
        <v>#REF!</v>
      </c>
      <c r="E45" s="161" t="s">
        <v>1771</v>
      </c>
      <c r="F45" s="162">
        <v>1</v>
      </c>
      <c r="G45" s="163" t="s">
        <v>1772</v>
      </c>
      <c r="H45" s="134"/>
      <c r="I45" s="134"/>
      <c r="J45" s="3419" t="s">
        <v>1773</v>
      </c>
      <c r="K45" s="3419"/>
      <c r="L45" s="3419"/>
      <c r="M45" s="3419"/>
      <c r="N45" s="3419"/>
      <c r="O45" s="3419"/>
    </row>
    <row r="46" spans="1:15" ht="14.25" customHeight="1">
      <c r="A46" s="3335" t="s">
        <v>1774</v>
      </c>
      <c r="B46" s="3336"/>
      <c r="C46" s="3336"/>
      <c r="D46" s="3336"/>
      <c r="E46" s="3336"/>
      <c r="F46" s="3336"/>
      <c r="G46" s="3337"/>
      <c r="H46" s="1942"/>
      <c r="I46" s="164"/>
      <c r="J46" s="2698">
        <v>1</v>
      </c>
      <c r="K46" s="3400" t="s">
        <v>1775</v>
      </c>
      <c r="L46" s="3400"/>
      <c r="M46" s="3420"/>
      <c r="N46" s="3420"/>
      <c r="O46" s="3420"/>
    </row>
    <row r="47" spans="1:15" ht="12" customHeight="1">
      <c r="A47" s="165" t="s">
        <v>1776</v>
      </c>
      <c r="B47" s="166"/>
      <c r="C47" s="167"/>
      <c r="D47" s="1199" t="s">
        <v>1777</v>
      </c>
      <c r="E47" s="308" t="s">
        <v>1778</v>
      </c>
      <c r="F47" s="168" t="s">
        <v>1779</v>
      </c>
      <c r="G47" s="2721" t="s">
        <v>1780</v>
      </c>
      <c r="H47" s="2722"/>
      <c r="I47" s="164"/>
      <c r="J47" s="2698">
        <v>2</v>
      </c>
      <c r="K47" s="3400" t="s">
        <v>1781</v>
      </c>
      <c r="L47" s="3400"/>
      <c r="M47" s="3421">
        <f>'数据-取费表'!B2</f>
        <v>44805</v>
      </c>
      <c r="N47" s="3421"/>
      <c r="O47" s="3421"/>
    </row>
    <row r="48" spans="1:15" ht="25.5">
      <c r="A48" s="3366" t="s">
        <v>1782</v>
      </c>
      <c r="B48" s="3349"/>
      <c r="C48" s="334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400" t="s">
        <v>1784</v>
      </c>
      <c r="L48" s="3400"/>
      <c r="M48" s="3422" t="e">
        <f ca="1">H101</f>
        <v>#REF!</v>
      </c>
      <c r="N48" s="3422"/>
      <c r="O48" s="3422"/>
    </row>
    <row r="49" spans="1:35" ht="25.5" customHeight="1">
      <c r="A49" s="2506" t="s">
        <v>1785</v>
      </c>
      <c r="B49" s="3333" t="s">
        <v>1786</v>
      </c>
      <c r="C49" s="3333"/>
      <c r="D49" s="1725">
        <v>0</v>
      </c>
      <c r="E49" s="330" t="s">
        <v>1787</v>
      </c>
      <c r="F49" s="2599" t="s">
        <v>34</v>
      </c>
      <c r="G49" s="3406"/>
      <c r="H49" s="2478" t="s">
        <v>2633</v>
      </c>
      <c r="I49" s="2479"/>
      <c r="J49" s="2698">
        <v>4</v>
      </c>
      <c r="K49" s="3400" t="str">
        <f>IF(项目基本情况!E8="房地产抵押价值","房地产抵押价值","抵押担保权已注销时的房地产抵押价值")</f>
        <v>房地产抵押价值</v>
      </c>
      <c r="L49" s="3400"/>
      <c r="M49" s="3422" t="str">
        <f ca="1">IF(项目基本情况!E8="房地产抵押价值",H107,H109)</f>
        <v>——</v>
      </c>
      <c r="N49" s="3422"/>
      <c r="O49" s="3422"/>
    </row>
    <row r="50" spans="1:35" ht="25.5" customHeight="1">
      <c r="A50" s="2726"/>
      <c r="B50" s="3333" t="s">
        <v>1788</v>
      </c>
      <c r="C50" s="3333"/>
      <c r="D50" s="2727"/>
      <c r="E50" s="338"/>
      <c r="F50" s="2599"/>
      <c r="G50" s="3407"/>
      <c r="H50" s="2480" t="s">
        <v>2634</v>
      </c>
      <c r="I50" s="2479"/>
      <c r="J50" s="3419" t="s">
        <v>1789</v>
      </c>
      <c r="K50" s="3419"/>
      <c r="L50" s="3419"/>
      <c r="M50" s="3419"/>
      <c r="N50" s="3419"/>
      <c r="O50" s="3419"/>
    </row>
    <row r="51" spans="1:35" ht="20.45" customHeight="1">
      <c r="A51" s="2728"/>
      <c r="B51" s="3333" t="s">
        <v>1790</v>
      </c>
      <c r="C51" s="3333"/>
      <c r="D51" s="1199"/>
      <c r="E51" s="333"/>
      <c r="F51" s="2599"/>
      <c r="G51" s="3408"/>
      <c r="H51" s="2480" t="s">
        <v>2635</v>
      </c>
      <c r="I51" s="2479"/>
      <c r="J51" s="2699" t="s">
        <v>1791</v>
      </c>
      <c r="K51" s="3400" t="s">
        <v>1792</v>
      </c>
      <c r="L51" s="3400"/>
      <c r="M51" s="2699" t="s">
        <v>1793</v>
      </c>
      <c r="N51" s="2699" t="s">
        <v>1794</v>
      </c>
      <c r="O51" s="2699" t="s">
        <v>1795</v>
      </c>
    </row>
    <row r="52" spans="1:35" ht="24" customHeight="1">
      <c r="A52" s="2508" t="s">
        <v>1796</v>
      </c>
      <c r="B52" s="3333" t="s">
        <v>1797</v>
      </c>
      <c r="C52" s="3333"/>
      <c r="D52" s="1199" t="e">
        <f ca="1">ROUND(D45*'数据-取费表'!B41/(1+'数据-取费表'!C42),0)</f>
        <v>#REF!</v>
      </c>
      <c r="E52" s="2507" t="s">
        <v>1798</v>
      </c>
      <c r="F52" s="2729">
        <f>'数据-取费表'!B41</f>
        <v>5.6000000000000001E-2</v>
      </c>
      <c r="G52" s="2730"/>
      <c r="H52" s="2719"/>
      <c r="I52" s="1943"/>
      <c r="J52" s="2698">
        <v>1</v>
      </c>
      <c r="K52" s="3401" t="s">
        <v>1799</v>
      </c>
      <c r="L52" s="3401"/>
      <c r="M52" s="2700" t="b">
        <f>D48</f>
        <v>0</v>
      </c>
      <c r="N52" s="2698" t="str">
        <f>E48</f>
        <v>销售额×税（费）率</v>
      </c>
      <c r="O52" s="2701">
        <f>F48</f>
        <v>5.6000000000000001E-2</v>
      </c>
    </row>
    <row r="53" spans="1:35" ht="12" customHeight="1">
      <c r="A53" s="2508" t="s">
        <v>1800</v>
      </c>
      <c r="B53" s="3359" t="s">
        <v>2790</v>
      </c>
      <c r="C53" s="3360"/>
      <c r="D53" s="1199" t="e">
        <f ca="1">ROUND(D45*'数据-取费表'!B41/(1+'数据-取费表'!C42),0)</f>
        <v>#REF!</v>
      </c>
      <c r="E53" s="2507" t="s">
        <v>1798</v>
      </c>
      <c r="F53" s="2729">
        <f>'数据-取费表'!B41</f>
        <v>5.6000000000000001E-2</v>
      </c>
      <c r="G53" s="2730"/>
      <c r="H53" s="2719"/>
      <c r="I53" s="1943"/>
      <c r="J53" s="2698">
        <v>2</v>
      </c>
      <c r="K53" s="3401" t="s">
        <v>1801</v>
      </c>
      <c r="L53" s="3401"/>
      <c r="M53" s="2700" t="e">
        <f t="shared" ref="M53:O54" ca="1" si="0">D55</f>
        <v>#REF!</v>
      </c>
      <c r="N53" s="2698" t="str">
        <f t="shared" si="0"/>
        <v>销售额×税（费）率</v>
      </c>
      <c r="O53" s="2701" t="str">
        <f t="shared" si="0"/>
        <v>免征</v>
      </c>
    </row>
    <row r="54" spans="1:35" ht="12" customHeight="1">
      <c r="A54" s="2508" t="s">
        <v>1802</v>
      </c>
      <c r="B54" s="3359" t="s">
        <v>2791</v>
      </c>
      <c r="C54" s="3360"/>
      <c r="D54" s="1199" t="e">
        <f ca="1">C68</f>
        <v>#REF!</v>
      </c>
      <c r="E54" s="333" t="s">
        <v>1803</v>
      </c>
      <c r="F54" s="2729">
        <f>'数据-取费表'!B41</f>
        <v>5.6000000000000001E-2</v>
      </c>
      <c r="G54" s="2730"/>
      <c r="H54" s="2731"/>
      <c r="I54" s="1943"/>
      <c r="J54" s="2698">
        <v>3</v>
      </c>
      <c r="K54" s="3401" t="s">
        <v>1804</v>
      </c>
      <c r="L54" s="3401"/>
      <c r="M54" s="2700" t="e">
        <f t="shared" ca="1" si="0"/>
        <v>#REF!</v>
      </c>
      <c r="N54" s="2698" t="str">
        <f t="shared" si="0"/>
        <v>增值额×税（费）率</v>
      </c>
      <c r="O54" s="2702" t="str">
        <f t="shared" si="0"/>
        <v>免征</v>
      </c>
    </row>
    <row r="55" spans="1:35" ht="24" customHeight="1">
      <c r="A55" s="3348" t="s">
        <v>1805</v>
      </c>
      <c r="B55" s="3349"/>
      <c r="C55" s="3349"/>
      <c r="D55" s="2497" t="e">
        <f ca="1">IF(H55="个人住宅",0,ROUND(D45*I55,0))</f>
        <v>#REF!</v>
      </c>
      <c r="E55" s="2507" t="s">
        <v>1806</v>
      </c>
      <c r="F55" s="2729" t="str">
        <f>IF(H55="正常",I55,"免征")</f>
        <v>免征</v>
      </c>
      <c r="G55" s="2730"/>
      <c r="H55" s="2725"/>
      <c r="I55" s="170">
        <f>'数据-取费表'!B49</f>
        <v>5.0000000000000001E-4</v>
      </c>
      <c r="J55" s="2698">
        <f>IF(H59="非个人房产","",4)</f>
        <v>4</v>
      </c>
      <c r="K55" s="3401" t="str">
        <f>IF(H59="非个人房产","——","个人所得税")</f>
        <v>个人所得税</v>
      </c>
      <c r="L55" s="3401"/>
      <c r="M55" s="2703" t="e">
        <f ca="1">D59</f>
        <v>#REF!</v>
      </c>
      <c r="N55" s="2178" t="str">
        <f>E59</f>
        <v>差额计税</v>
      </c>
      <c r="O55" s="2704">
        <f>F59</f>
        <v>0.01</v>
      </c>
    </row>
    <row r="56" spans="1:35" ht="24.75">
      <c r="A56" s="3348" t="s">
        <v>1807</v>
      </c>
      <c r="B56" s="3349"/>
      <c r="C56" s="3349"/>
      <c r="D56" s="2497" t="e">
        <f ca="1">IF(H56="个人住宅",D57,D58)</f>
        <v>#REF!</v>
      </c>
      <c r="E56" s="2507" t="s">
        <v>1808</v>
      </c>
      <c r="F56" s="2729" t="str">
        <f>IF(H56="正常",F58,"免征")</f>
        <v>免征</v>
      </c>
      <c r="G56" s="2732" t="s">
        <v>1809</v>
      </c>
      <c r="H56" s="2733"/>
      <c r="I56" s="1944"/>
      <c r="J56" s="2698" t="str">
        <f>IF(项目基本情况!K6="上海银行",IF(J55="",4,J55+1),"")</f>
        <v/>
      </c>
      <c r="K56" s="3424" t="str">
        <f>IF(项目基本情况!K6="上海银行","其他处置费用","")</f>
        <v/>
      </c>
      <c r="L56" s="3425"/>
      <c r="M56" s="2700" t="str">
        <f>IF(项目基本情况!K6="上海银行",M69,"")</f>
        <v/>
      </c>
      <c r="N56" s="3424" t="str">
        <f>IF(项目基本情况!K6="上海银行","包含处置中涉及的律师、诉讼、拍卖、评估等费用","")</f>
        <v/>
      </c>
      <c r="O56" s="3427"/>
    </row>
    <row r="57" spans="1:35" ht="12.75">
      <c r="A57" s="2508" t="s">
        <v>1785</v>
      </c>
      <c r="B57" s="3359" t="s">
        <v>1810</v>
      </c>
      <c r="C57" s="3360"/>
      <c r="D57" s="1725">
        <v>0</v>
      </c>
      <c r="E57" s="330" t="s">
        <v>1787</v>
      </c>
      <c r="F57" s="308"/>
      <c r="G57" s="2730"/>
      <c r="H57" s="2734"/>
      <c r="I57" s="1944"/>
      <c r="J57" s="3401">
        <f>IF(AND(J55="",J56=""),4,IF(项目基本情况!K6="上海银行",结果表!J56+1,结果表!J55+1))</f>
        <v>5</v>
      </c>
      <c r="K57" s="3401" t="s">
        <v>1811</v>
      </c>
      <c r="L57" s="2705" t="s">
        <v>1812</v>
      </c>
      <c r="M57" s="2706"/>
      <c r="N57" s="2707">
        <f ca="1">SUMIF(M52:M56,"&lt;9e307")</f>
        <v>0</v>
      </c>
      <c r="O57" s="2708"/>
      <c r="P57" s="2868" t="e">
        <f ca="1">N57/M49</f>
        <v>#VALUE!</v>
      </c>
    </row>
    <row r="58" spans="1:35" ht="24.75">
      <c r="A58" s="2508" t="s">
        <v>1796</v>
      </c>
      <c r="B58" s="3359" t="s">
        <v>1813</v>
      </c>
      <c r="C58" s="3333"/>
      <c r="D58" s="2497" t="e">
        <f ca="1">IF(H58="转让取得",C81,C97)</f>
        <v>#REF!</v>
      </c>
      <c r="E58" s="2507" t="s">
        <v>1808</v>
      </c>
      <c r="F58" s="308" t="s">
        <v>34</v>
      </c>
      <c r="G58" s="2730"/>
      <c r="H58" s="2733"/>
      <c r="I58" s="1944"/>
      <c r="J58" s="3401"/>
      <c r="K58" s="3401"/>
      <c r="L58" s="2705" t="s">
        <v>1814</v>
      </c>
      <c r="M58" s="2709"/>
      <c r="N58" s="2710" t="str">
        <f ca="1">NUMBERSTRING(INT(N57*10000),2)&amp;"元整"</f>
        <v>零元整</v>
      </c>
      <c r="O58" s="2711"/>
    </row>
    <row r="59" spans="1:35" ht="24.75" thickBot="1">
      <c r="A59" s="3404" t="s">
        <v>1815</v>
      </c>
      <c r="B59" s="3405"/>
      <c r="C59" s="3405"/>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2636</v>
      </c>
      <c r="J59" s="3402">
        <f>J57+1</f>
        <v>6</v>
      </c>
      <c r="K59" s="3401" t="s">
        <v>1816</v>
      </c>
      <c r="L59" s="2698" t="s">
        <v>1812</v>
      </c>
      <c r="M59" s="2712"/>
      <c r="N59" s="2713" t="e">
        <f ca="1">M49-N57</f>
        <v>#VALUE!</v>
      </c>
      <c r="O59" s="2714"/>
    </row>
    <row r="60" spans="1:35" ht="12" customHeight="1">
      <c r="A60" s="1945"/>
      <c r="B60" s="1883"/>
      <c r="C60" s="1883"/>
      <c r="D60" s="1883"/>
      <c r="E60" s="1713"/>
      <c r="F60" s="1944"/>
      <c r="G60" s="1944"/>
      <c r="H60" s="1946"/>
      <c r="I60" s="134"/>
      <c r="J60" s="3403"/>
      <c r="K60" s="3401"/>
      <c r="L60" s="2705" t="s">
        <v>1814</v>
      </c>
      <c r="M60" s="2709"/>
      <c r="N60" s="2710" t="e">
        <f ca="1">NUMBERSTRING(INT(N59*10000),2)&amp;"元整"</f>
        <v>#VALUE!</v>
      </c>
      <c r="O60" s="2711"/>
    </row>
    <row r="61" spans="1:35" ht="13.5" thickBot="1">
      <c r="A61" s="3346" t="s">
        <v>1817</v>
      </c>
      <c r="B61" s="3346"/>
      <c r="C61" s="3346"/>
      <c r="D61" s="3346"/>
      <c r="E61" s="3346"/>
      <c r="F61" s="1944"/>
      <c r="G61" s="1944"/>
      <c r="H61" s="1946"/>
      <c r="I61" s="134"/>
      <c r="J61" s="2698">
        <f>J59+1</f>
        <v>7</v>
      </c>
      <c r="K61" s="3401" t="s">
        <v>1818</v>
      </c>
      <c r="L61" s="3401"/>
      <c r="M61" s="2715"/>
      <c r="N61" s="2716" t="e">
        <f ca="1">ROUND(N59*10000/'数据-汇总表'!E3,0)</f>
        <v>#VALUE!</v>
      </c>
      <c r="O61" s="2717"/>
    </row>
    <row r="62" spans="1:35" ht="12.75">
      <c r="A62" s="3364" t="s">
        <v>1819</v>
      </c>
      <c r="B62" s="3365"/>
      <c r="C62" s="2159"/>
      <c r="D62" s="2159" t="s">
        <v>1820</v>
      </c>
      <c r="E62" s="171" t="s">
        <v>1821</v>
      </c>
      <c r="F62" s="1944"/>
      <c r="G62" s="1944"/>
      <c r="H62" s="1946"/>
      <c r="I62" s="134"/>
    </row>
    <row r="63" spans="1:35" ht="12.75">
      <c r="A63" s="178" t="s">
        <v>594</v>
      </c>
      <c r="B63" s="172" t="s">
        <v>1822</v>
      </c>
      <c r="C63" s="2739" t="e">
        <f ca="1">ROUND((C64+C65)/(1+'数据-取费表'!C42),0)</f>
        <v>#REF!</v>
      </c>
      <c r="D63" s="172"/>
      <c r="E63" s="173"/>
      <c r="F63" s="1944"/>
      <c r="G63" s="1944"/>
      <c r="H63" s="1946"/>
      <c r="I63" s="134"/>
      <c r="J63" s="3426" t="s">
        <v>1823</v>
      </c>
      <c r="K63" s="1452" t="s">
        <v>1824</v>
      </c>
      <c r="L63" s="1452"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1825</v>
      </c>
      <c r="C64" s="2740" t="e">
        <f ca="1">D45</f>
        <v>#REF!</v>
      </c>
      <c r="D64" s="175" t="s">
        <v>32</v>
      </c>
      <c r="E64" s="177"/>
      <c r="F64" s="1944"/>
      <c r="G64" s="1944"/>
      <c r="H64" s="1946"/>
      <c r="I64" s="134"/>
      <c r="J64" s="3426"/>
      <c r="K64" s="1452" t="s">
        <v>1826</v>
      </c>
      <c r="L64" s="145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1827</v>
      </c>
      <c r="Z64" s="1888"/>
      <c r="AI64" s="1889"/>
    </row>
    <row r="65" spans="1:35" ht="14.25" customHeight="1">
      <c r="A65" s="174" t="s">
        <v>590</v>
      </c>
      <c r="B65" s="175" t="s">
        <v>1828</v>
      </c>
      <c r="C65" s="2741"/>
      <c r="D65" s="175"/>
      <c r="E65" s="177"/>
      <c r="F65" s="1944"/>
      <c r="G65" s="1944"/>
      <c r="H65" s="1946"/>
      <c r="I65" s="134"/>
      <c r="J65" s="3426"/>
      <c r="K65" s="1452" t="s">
        <v>1829</v>
      </c>
      <c r="L65" s="1452" t="e">
        <f ca="1">IF(M49&gt;1000,M49*0.1%,IF(AND(M49&gt;500,M49&lt;=1000),M49*0.5%,IF(AND(M49&gt;50,M49&lt;=500),M49*1%,IF(AND(M49&gt;1,M49&lt;=50),M49*1.5%))))</f>
        <v>#VALUE!</v>
      </c>
      <c r="M65" s="308" t="e">
        <f t="shared" ca="1" si="1"/>
        <v>#VALUE!</v>
      </c>
      <c r="N65" s="2719" t="s">
        <v>1827</v>
      </c>
      <c r="Z65" s="1888"/>
      <c r="AI65" s="1889"/>
    </row>
    <row r="66" spans="1:35" ht="14.25" customHeight="1">
      <c r="A66" s="178" t="s">
        <v>591</v>
      </c>
      <c r="B66" s="179" t="s">
        <v>1830</v>
      </c>
      <c r="C66" s="2742"/>
      <c r="D66" s="179" t="s">
        <v>32</v>
      </c>
      <c r="E66" s="1459" t="s">
        <v>1096</v>
      </c>
      <c r="F66" s="1944"/>
      <c r="G66" s="1944"/>
      <c r="H66" s="1946"/>
      <c r="I66" s="134"/>
      <c r="J66" s="3426"/>
      <c r="K66" s="1452" t="s">
        <v>1831</v>
      </c>
      <c r="L66" s="1452" t="e">
        <f ca="1">M49*0.5%</f>
        <v>#VALUE!</v>
      </c>
      <c r="M66" s="308" t="e">
        <f ca="1">IF(L66&gt;0.5,0.5,ROUND(L66,0))</f>
        <v>#VALUE!</v>
      </c>
      <c r="N66" s="2719" t="s">
        <v>1832</v>
      </c>
      <c r="Z66" s="1888"/>
      <c r="AI66" s="1889"/>
    </row>
    <row r="67" spans="1:35" ht="14.25" customHeight="1">
      <c r="A67" s="178" t="s">
        <v>592</v>
      </c>
      <c r="B67" s="179" t="s">
        <v>1833</v>
      </c>
      <c r="C67" s="2743" t="e">
        <f ca="1">C63-C66</f>
        <v>#REF!</v>
      </c>
      <c r="D67" s="175" t="s">
        <v>32</v>
      </c>
      <c r="E67" s="177"/>
      <c r="F67" s="1944"/>
      <c r="G67" s="1944"/>
      <c r="H67" s="1946"/>
      <c r="I67" s="134"/>
      <c r="J67" s="3426"/>
      <c r="K67" s="1452" t="s">
        <v>1834</v>
      </c>
      <c r="L67" s="145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1835</v>
      </c>
      <c r="C68" s="2744" t="e">
        <f ca="1">IF(C67&lt;=0,0,ROUND(C67*D68,0))</f>
        <v>#REF!</v>
      </c>
      <c r="D68" s="2745">
        <f>'数据-取费表'!B41</f>
        <v>5.6000000000000001E-2</v>
      </c>
      <c r="E68" s="184"/>
      <c r="F68" s="1944"/>
      <c r="G68" s="1944"/>
      <c r="H68" s="1946"/>
      <c r="I68" s="134"/>
      <c r="J68" s="3426"/>
      <c r="K68" s="1452" t="s">
        <v>1836</v>
      </c>
      <c r="L68" s="1452"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3"/>
      <c r="G69" s="1713"/>
      <c r="H69" s="1712"/>
      <c r="I69" s="1883"/>
      <c r="J69" s="3426"/>
      <c r="K69" s="1452" t="s">
        <v>1837</v>
      </c>
      <c r="L69" s="1452"/>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5" t="s">
        <v>1838</v>
      </c>
      <c r="B70" s="3386"/>
      <c r="C70" s="3386"/>
      <c r="D70" s="3386"/>
      <c r="E70" s="3386"/>
      <c r="F70" s="3386"/>
      <c r="G70" s="3386"/>
      <c r="H70" s="338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4" t="s">
        <v>1819</v>
      </c>
      <c r="B71" s="3365"/>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359" t="s">
        <v>1846</v>
      </c>
      <c r="F76" s="3333"/>
      <c r="G76" s="3333"/>
      <c r="H76" s="338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t="e">
        <f ca="1">ROUND(D45*D78/(1+'数据-取费表'!C42),0)</f>
        <v>#REF!</v>
      </c>
      <c r="D78" s="2752">
        <f>'数据-取费表'!B43</f>
        <v>6.000000000000001E-3</v>
      </c>
      <c r="E78" s="3343" t="s">
        <v>1850</v>
      </c>
      <c r="F78" s="3344"/>
      <c r="G78" s="3344"/>
      <c r="H78" s="335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5" t="s">
        <v>1854</v>
      </c>
      <c r="B83" s="3386"/>
      <c r="C83" s="3386"/>
      <c r="D83" s="3386"/>
      <c r="E83" s="3386"/>
      <c r="F83" s="3386"/>
      <c r="G83" s="3386"/>
      <c r="H83" s="338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4" t="s">
        <v>1819</v>
      </c>
      <c r="B84" s="3365"/>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428" t="s">
        <v>2628</v>
      </c>
      <c r="H90" s="3429"/>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343" t="s">
        <v>1863</v>
      </c>
      <c r="F91" s="3344"/>
      <c r="G91" s="334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343" t="s">
        <v>1866</v>
      </c>
      <c r="F92" s="3344"/>
      <c r="G92" s="3344"/>
      <c r="H92" s="3353"/>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t="e">
        <f ca="1">ROUND(D45*D93/(1+'数据-取费表'!C42),0)</f>
        <v>#REF!</v>
      </c>
      <c r="D93" s="2752">
        <f>'数据-取费表'!B43</f>
        <v>6.000000000000001E-3</v>
      </c>
      <c r="E93" s="3343" t="s">
        <v>1850</v>
      </c>
      <c r="F93" s="3344"/>
      <c r="G93" s="3344"/>
      <c r="H93" s="335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354" t="s">
        <v>1870</v>
      </c>
      <c r="F94" s="3355"/>
      <c r="G94" s="3355"/>
      <c r="H94" s="335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1871</v>
      </c>
      <c r="B99" s="1883"/>
      <c r="C99" s="1883"/>
      <c r="D99" s="1883"/>
      <c r="E99" s="1713"/>
      <c r="F99" s="1713"/>
      <c r="G99" s="1713"/>
      <c r="H99" s="1712"/>
      <c r="I99" s="134"/>
    </row>
    <row r="100" spans="1:35" ht="18.75" customHeight="1">
      <c r="A100" s="3327" t="s">
        <v>1872</v>
      </c>
      <c r="B100" s="3328"/>
      <c r="C100" s="3328"/>
      <c r="D100" s="3345"/>
      <c r="E100" s="3328" t="s">
        <v>1873</v>
      </c>
      <c r="F100" s="3328"/>
      <c r="G100" s="3328"/>
      <c r="H100" s="3345"/>
      <c r="I100" s="134"/>
    </row>
    <row r="101" spans="1:35" ht="18.75" customHeight="1">
      <c r="A101" s="3409" t="s">
        <v>1874</v>
      </c>
      <c r="B101" s="3410"/>
      <c r="C101" s="2760" t="str">
        <f>C4</f>
        <v>比较法-办公</v>
      </c>
      <c r="D101" s="2761" t="str">
        <f>D4</f>
        <v>收益法-办公</v>
      </c>
      <c r="E101" s="3423" t="s">
        <v>1875</v>
      </c>
      <c r="F101" s="3377"/>
      <c r="G101" s="1963" t="s">
        <v>1876</v>
      </c>
      <c r="H101" s="2770" t="e">
        <f ca="1">H118</f>
        <v>#REF!</v>
      </c>
      <c r="I101" s="134"/>
    </row>
    <row r="102" spans="1:35" ht="18.75" customHeight="1">
      <c r="A102" s="3379" t="s">
        <v>1877</v>
      </c>
      <c r="B102" s="2759" t="s">
        <v>1876</v>
      </c>
      <c r="C102" s="2760">
        <f ca="1">C19</f>
        <v>6622</v>
      </c>
      <c r="D102" s="2761">
        <f ca="1">D19</f>
        <v>9416</v>
      </c>
      <c r="E102" s="3423"/>
      <c r="F102" s="3377"/>
      <c r="G102" s="1963" t="s">
        <v>1878</v>
      </c>
      <c r="H102" s="2730" t="e">
        <f ca="1">I118</f>
        <v>#REF!</v>
      </c>
      <c r="I102" s="134"/>
    </row>
    <row r="103" spans="1:35" ht="42.75" customHeight="1">
      <c r="A103" s="3379"/>
      <c r="B103" s="2759" t="s">
        <v>1878</v>
      </c>
      <c r="C103" s="2762">
        <f ca="1">C20</f>
        <v>43958</v>
      </c>
      <c r="D103" s="2763">
        <f ca="1">D20</f>
        <v>62502</v>
      </c>
      <c r="E103" s="3417" t="s">
        <v>1879</v>
      </c>
      <c r="F103" s="3418"/>
      <c r="G103" s="1964" t="s">
        <v>1880</v>
      </c>
      <c r="H103" s="2770">
        <f>IF(D36="正常操作",H104+H105+H106,H105+H106)</f>
        <v>0</v>
      </c>
      <c r="I103" s="134"/>
    </row>
    <row r="104" spans="1:35" ht="18.75" customHeight="1">
      <c r="A104" s="3379" t="s">
        <v>1881</v>
      </c>
      <c r="B104" s="2764" t="s">
        <v>1876</v>
      </c>
      <c r="C104" s="2765" t="e">
        <f ca="1">H118</f>
        <v>#REF!</v>
      </c>
      <c r="D104" s="2766"/>
      <c r="E104" s="1810" t="s">
        <v>1882</v>
      </c>
      <c r="F104" s="1801"/>
      <c r="G104" s="1964" t="s">
        <v>1880</v>
      </c>
      <c r="H104" s="2771">
        <f>IF(D36="同一抵押权人同一抵押物续贷",C36&amp;"（续贷，未扣减，详见特别提示）",C36)</f>
        <v>0</v>
      </c>
      <c r="I104" s="134"/>
    </row>
    <row r="105" spans="1:35" ht="18.75" customHeight="1" thickBot="1">
      <c r="A105" s="3380"/>
      <c r="B105" s="2767" t="s">
        <v>1878</v>
      </c>
      <c r="C105" s="2768" t="e">
        <f ca="1">I118</f>
        <v>#REF!</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376" t="str">
        <f>IF(项目基本情况!E8="已注销","——","3.房地产抵押价值")</f>
        <v>3.房地产抵押价值</v>
      </c>
      <c r="F107" s="3377"/>
      <c r="G107" s="1963" t="s">
        <v>1876</v>
      </c>
      <c r="H107" s="2770" t="e">
        <f ca="1">IF(E107="——","——",H101-H103)</f>
        <v>#REF!</v>
      </c>
      <c r="I107" s="134"/>
    </row>
    <row r="108" spans="1:35" ht="18.75" customHeight="1">
      <c r="A108" s="134"/>
      <c r="B108" s="134"/>
      <c r="C108" s="134"/>
      <c r="D108" s="134"/>
      <c r="E108" s="3376"/>
      <c r="F108" s="3377"/>
      <c r="G108" s="1963" t="s">
        <v>1878</v>
      </c>
      <c r="H108" s="2730" t="e">
        <f ca="1">ROUND(H107*10000/'数据-汇总表'!E3,0)</f>
        <v>#REF!</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63" t="s">
        <v>1876</v>
      </c>
      <c r="H109" s="2773" t="str">
        <f>IF(E109="——","——",H101-H105-H106)</f>
        <v>——</v>
      </c>
      <c r="I109" s="134"/>
    </row>
    <row r="110" spans="1:35" ht="18.75" customHeight="1">
      <c r="A110" s="134"/>
      <c r="B110" s="134"/>
      <c r="C110" s="134"/>
      <c r="D110" s="134"/>
      <c r="E110" s="3376"/>
      <c r="F110" s="3377"/>
      <c r="G110" s="1963" t="s">
        <v>1878</v>
      </c>
      <c r="H110" s="2730"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63" t="s">
        <v>1876</v>
      </c>
      <c r="H111" s="2770" t="str">
        <f>IF(E111="——","——",N59)</f>
        <v>——</v>
      </c>
      <c r="I111" s="134"/>
    </row>
    <row r="112" spans="1:35" ht="18.75" customHeight="1" thickBot="1">
      <c r="A112" s="134"/>
      <c r="B112" s="134"/>
      <c r="C112" s="134"/>
      <c r="D112" s="134"/>
      <c r="E112" s="3412"/>
      <c r="F112" s="3413"/>
      <c r="G112" s="1966" t="s">
        <v>1878</v>
      </c>
      <c r="H112" s="2774" t="str">
        <f>IF(E111="——","——",N61)</f>
        <v>——</v>
      </c>
      <c r="I112" s="134"/>
    </row>
    <row r="113" spans="1:27" ht="18.75" customHeight="1">
      <c r="A113" s="134"/>
      <c r="B113" s="134"/>
      <c r="C113" s="134"/>
      <c r="D113" s="134"/>
      <c r="E113" s="3381" t="s">
        <v>1884</v>
      </c>
      <c r="F113" s="3381"/>
      <c r="G113" s="3381"/>
      <c r="H113" s="3381"/>
      <c r="I113" s="134"/>
    </row>
    <row r="114" spans="1:27" ht="3.75" customHeight="1">
      <c r="A114" s="1883"/>
      <c r="B114" s="1883"/>
      <c r="C114" s="1883"/>
      <c r="D114" s="1883"/>
      <c r="E114" s="1945"/>
      <c r="F114" s="1945"/>
      <c r="G114" s="1945"/>
      <c r="H114" s="1945"/>
      <c r="I114" s="1883"/>
    </row>
    <row r="115" spans="1:27" ht="18.75" customHeight="1">
      <c r="A115" s="3394" t="s">
        <v>1886</v>
      </c>
      <c r="B115" s="3395"/>
      <c r="C115" s="3395"/>
      <c r="D115" s="3395"/>
      <c r="E115" s="3395"/>
      <c r="F115" s="3395"/>
      <c r="G115" s="3395"/>
      <c r="H115" s="3395"/>
      <c r="I115" s="3396"/>
    </row>
    <row r="116" spans="1:27" ht="27" customHeight="1">
      <c r="A116" s="3347" t="s">
        <v>1887</v>
      </c>
      <c r="B116" s="3382" t="s">
        <v>1888</v>
      </c>
      <c r="C116" s="3382" t="s">
        <v>1889</v>
      </c>
      <c r="D116" s="3398" t="s">
        <v>1890</v>
      </c>
      <c r="E116" s="3399"/>
      <c r="F116" s="3390" t="s">
        <v>1891</v>
      </c>
      <c r="G116" s="3390"/>
      <c r="H116" s="3347" t="s">
        <v>1892</v>
      </c>
      <c r="I116" s="3347"/>
    </row>
    <row r="117" spans="1:27" ht="18.75" customHeight="1">
      <c r="A117" s="3347"/>
      <c r="B117" s="3383"/>
      <c r="C117" s="3383"/>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24865.040000000005</v>
      </c>
      <c r="C118" s="2502">
        <f>M19</f>
        <v>1899.7</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47" t="s">
        <v>1896</v>
      </c>
      <c r="B119" s="3347"/>
      <c r="C119" s="3347"/>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1" t="s">
        <v>1896</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t="e">
        <f ca="1">H107</f>
        <v>#REF!</v>
      </c>
      <c r="E122" s="3415"/>
      <c r="F122" s="3415"/>
      <c r="G122" s="3415"/>
      <c r="H122" s="3415"/>
      <c r="I122" s="3416"/>
      <c r="AA122" s="734"/>
    </row>
    <row r="123" spans="1:27" ht="18.75" customHeight="1">
      <c r="A123" s="3347" t="s">
        <v>1896</v>
      </c>
      <c r="B123" s="3347"/>
      <c r="C123" s="3347"/>
      <c r="D123" s="3387" t="e">
        <f ca="1">NUMBERSTRING(INT(D122*10000),2)&amp;"元整"</f>
        <v>#REF!</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1896</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1896</v>
      </c>
      <c r="B127" s="3347"/>
      <c r="C127" s="3347"/>
      <c r="D127" s="3387" t="e">
        <f>NUMBERSTRING(INT(D126*10000),2)&amp;"元整"</f>
        <v>#VALUE!</v>
      </c>
      <c r="E127" s="3388"/>
      <c r="F127" s="3388"/>
      <c r="G127" s="3388"/>
      <c r="H127" s="3388"/>
      <c r="I127" s="3389"/>
      <c r="AA127" s="734"/>
    </row>
    <row r="128" spans="1:27" ht="21.75" customHeight="1">
      <c r="A128" s="3397" t="s">
        <v>1897</v>
      </c>
      <c r="B128" s="3397"/>
      <c r="C128" s="3397"/>
      <c r="D128" s="3397"/>
      <c r="E128" s="3397"/>
      <c r="F128" s="3397"/>
      <c r="G128" s="3397"/>
      <c r="H128" s="3397"/>
      <c r="I128" s="3397"/>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D1" sqref="D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2265</v>
      </c>
      <c r="C1" s="1344" t="s">
        <v>2109</v>
      </c>
      <c r="D1" s="1345" t="s">
        <v>27</v>
      </c>
      <c r="E1" s="1354"/>
      <c r="F1" s="2015" t="s">
        <v>3265</v>
      </c>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f>IF(C2="——",ROUND(C50*D3/10000,0),ROUND(C50*D3/10000,0)-D2)</f>
        <v>6622</v>
      </c>
      <c r="C2" s="2017" t="s">
        <v>70</v>
      </c>
      <c r="D2" s="1227"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f>IF(C2="——",C50,ROUND(B2*10000/D3,0))</f>
        <v>43958</v>
      </c>
      <c r="C3" s="360" t="s">
        <v>2223</v>
      </c>
      <c r="D3" s="359">
        <f>IF(D1="",'数据-汇总表'!E3,SUMIF('数据-汇总表'!$C19:$C33,D1,'数据-汇总表'!$E19:$E33))</f>
        <v>1506.52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77" t="s">
        <v>2225</v>
      </c>
      <c r="D4" s="3478"/>
      <c r="E4" s="3479" t="s">
        <v>2226</v>
      </c>
      <c r="F4" s="3480"/>
      <c r="G4" s="3477" t="s">
        <v>2227</v>
      </c>
      <c r="H4" s="3478"/>
      <c r="I4" s="3477" t="s">
        <v>2228</v>
      </c>
      <c r="J4" s="3478"/>
      <c r="K4" s="567" t="s">
        <v>2229</v>
      </c>
      <c r="L4" s="2893"/>
      <c r="M4" s="2894"/>
      <c r="N4" s="2894"/>
      <c r="O4" s="2894"/>
      <c r="P4" s="3511" t="s">
        <v>2230</v>
      </c>
      <c r="Q4" s="3512"/>
      <c r="R4" s="3515" t="s">
        <v>2226</v>
      </c>
      <c r="S4" s="3516"/>
      <c r="T4" s="3515" t="s">
        <v>2227</v>
      </c>
      <c r="U4" s="3516"/>
      <c r="V4" s="3517" t="s">
        <v>2228</v>
      </c>
      <c r="W4" s="3517"/>
      <c r="X4" s="2094"/>
      <c r="Y4" s="3515" t="s">
        <v>2230</v>
      </c>
      <c r="Z4" s="3516"/>
      <c r="AA4" s="3519" t="s">
        <v>2226</v>
      </c>
      <c r="AB4" s="3519" t="s">
        <v>2227</v>
      </c>
      <c r="AC4" s="3508" t="s">
        <v>2228</v>
      </c>
    </row>
    <row r="5" spans="1:29" ht="15">
      <c r="A5" s="364"/>
      <c r="B5" s="365"/>
      <c r="C5" s="3496" t="s">
        <v>2121</v>
      </c>
      <c r="D5" s="3497"/>
      <c r="E5" s="3608" t="s">
        <v>3259</v>
      </c>
      <c r="F5" s="3504"/>
      <c r="G5" s="3609" t="s">
        <v>3260</v>
      </c>
      <c r="H5" s="3497"/>
      <c r="I5" s="3496" t="s">
        <v>2124</v>
      </c>
      <c r="J5" s="3497"/>
      <c r="K5" s="567"/>
      <c r="L5" s="2893"/>
      <c r="M5" s="2894"/>
      <c r="N5" s="2894"/>
      <c r="O5" s="2894"/>
      <c r="P5" s="3513"/>
      <c r="Q5" s="3484"/>
      <c r="R5" s="3489"/>
      <c r="S5" s="3490"/>
      <c r="T5" s="3489"/>
      <c r="U5" s="3490"/>
      <c r="V5" s="3493"/>
      <c r="W5" s="3493"/>
      <c r="X5" s="1489"/>
      <c r="Y5" s="3489"/>
      <c r="Z5" s="3490"/>
      <c r="AA5" s="3475"/>
      <c r="AB5" s="3475"/>
      <c r="AC5" s="3509"/>
    </row>
    <row r="6" spans="1:29" ht="15.75" thickBot="1">
      <c r="A6" s="366"/>
      <c r="B6" s="367"/>
      <c r="C6" s="3494" t="s">
        <v>2125</v>
      </c>
      <c r="D6" s="3495"/>
      <c r="E6" s="3501" t="s">
        <v>2125</v>
      </c>
      <c r="F6" s="3502"/>
      <c r="G6" s="3494" t="s">
        <v>2125</v>
      </c>
      <c r="H6" s="3495"/>
      <c r="I6" s="3494" t="s">
        <v>2125</v>
      </c>
      <c r="J6" s="3495"/>
      <c r="K6" s="567" t="s">
        <v>2126</v>
      </c>
      <c r="L6" s="2893"/>
      <c r="M6" s="2894"/>
      <c r="N6" s="2894"/>
      <c r="O6" s="2894"/>
      <c r="P6" s="3514"/>
      <c r="Q6" s="3486"/>
      <c r="R6" s="3489"/>
      <c r="S6" s="3490"/>
      <c r="T6" s="3491"/>
      <c r="U6" s="3492"/>
      <c r="V6" s="3493"/>
      <c r="W6" s="3493"/>
      <c r="X6" s="1489"/>
      <c r="Y6" s="3491"/>
      <c r="Z6" s="3492"/>
      <c r="AA6" s="3476"/>
      <c r="AB6" s="3476"/>
      <c r="AC6" s="3510"/>
    </row>
    <row r="7" spans="1:29" s="113" customFormat="1" ht="15.75" thickBot="1">
      <c r="A7" s="368" t="s">
        <v>2127</v>
      </c>
      <c r="B7" s="369"/>
      <c r="C7" s="370">
        <f>'数据-取费表'!B2</f>
        <v>44805</v>
      </c>
      <c r="D7" s="371">
        <v>100</v>
      </c>
      <c r="E7" s="372">
        <v>44805</v>
      </c>
      <c r="F7" s="373">
        <f>SUMIF(59:59,YEAR(E7)&amp;"-"&amp;MONTH(E7),60:60)</f>
        <v>100</v>
      </c>
      <c r="G7" s="372">
        <f>E7</f>
        <v>44805</v>
      </c>
      <c r="H7" s="371">
        <f>SUMIF(59:59,YEAR(G7)&amp;"-"&amp;MONTH(G7),60:60)</f>
        <v>100</v>
      </c>
      <c r="I7" s="372">
        <f>G7</f>
        <v>44805</v>
      </c>
      <c r="J7" s="371">
        <f>SUMIF(59:59,YEAR(I7)&amp;"-"&amp;MONTH(I7),60:60)</f>
        <v>100</v>
      </c>
      <c r="K7" s="568"/>
      <c r="L7" s="2895"/>
      <c r="M7" s="2896"/>
      <c r="N7" s="2896"/>
      <c r="O7" s="2896"/>
      <c r="P7" s="3518" t="s">
        <v>2128</v>
      </c>
      <c r="Q7" s="3500"/>
      <c r="R7" s="710" t="s">
        <v>17</v>
      </c>
      <c r="S7" s="711">
        <f t="shared" ref="S7:S15" si="0">F7</f>
        <v>100</v>
      </c>
      <c r="T7" s="710" t="s">
        <v>17</v>
      </c>
      <c r="U7" s="711">
        <f t="shared" ref="U7:U15" si="1">H7</f>
        <v>100</v>
      </c>
      <c r="V7" s="710" t="s">
        <v>17</v>
      </c>
      <c r="W7" s="711">
        <f t="shared" ref="W7:W15" si="2">J7</f>
        <v>100</v>
      </c>
      <c r="X7" s="712"/>
      <c r="Y7" s="3498" t="s">
        <v>2128</v>
      </c>
      <c r="Z7" s="3499"/>
      <c r="AA7" s="713">
        <f>D7/F7</f>
        <v>1</v>
      </c>
      <c r="AB7" s="713">
        <f>D7/H7</f>
        <v>1</v>
      </c>
      <c r="AC7" s="2095">
        <f>D7/J7</f>
        <v>1</v>
      </c>
    </row>
    <row r="8" spans="1:29" s="113" customFormat="1" ht="15.75" thickBot="1">
      <c r="A8" s="368" t="s">
        <v>2129</v>
      </c>
      <c r="B8" s="369"/>
      <c r="C8" s="374" t="s">
        <v>2231</v>
      </c>
      <c r="D8" s="371">
        <v>100</v>
      </c>
      <c r="E8" s="374" t="s">
        <v>3247</v>
      </c>
      <c r="F8" s="373">
        <f>SUMIF(62:62,E8,63:63)-SUMIF(62:62,C8,63:63)+100</f>
        <v>100</v>
      </c>
      <c r="G8" s="374" t="s">
        <v>3247</v>
      </c>
      <c r="H8" s="371">
        <f>SUMIF(62:62,G8,63:63)-SUMIF(62:62,C8,63:63)+100</f>
        <v>100</v>
      </c>
      <c r="I8" s="374" t="s">
        <v>3247</v>
      </c>
      <c r="J8" s="371">
        <f>SUMIF(62:62,I8,63:63)-SUMIF(62:62,C8,63:63)+100</f>
        <v>100</v>
      </c>
      <c r="K8" s="568"/>
      <c r="L8" s="2895"/>
      <c r="M8" s="2896"/>
      <c r="N8" s="2896"/>
      <c r="O8" s="2896"/>
      <c r="P8" s="3518" t="s">
        <v>2131</v>
      </c>
      <c r="Q8" s="3499"/>
      <c r="R8" s="710" t="s">
        <v>17</v>
      </c>
      <c r="S8" s="711">
        <f t="shared" si="0"/>
        <v>100</v>
      </c>
      <c r="T8" s="710" t="s">
        <v>17</v>
      </c>
      <c r="U8" s="711">
        <f t="shared" si="1"/>
        <v>100</v>
      </c>
      <c r="V8" s="710" t="s">
        <v>17</v>
      </c>
      <c r="W8" s="711">
        <f t="shared" si="2"/>
        <v>100</v>
      </c>
      <c r="X8" s="712"/>
      <c r="Y8" s="3498" t="s">
        <v>2131</v>
      </c>
      <c r="Z8" s="3499"/>
      <c r="AA8" s="713">
        <f t="shared" ref="AA8:AA47" si="3">D8/F8</f>
        <v>1</v>
      </c>
      <c r="AB8" s="713">
        <f t="shared" ref="AB8:AB47" si="4">D8/H8</f>
        <v>1</v>
      </c>
      <c r="AC8" s="2095">
        <f t="shared" ref="AC8:AC47" si="5">D8/J8</f>
        <v>1</v>
      </c>
    </row>
    <row r="9" spans="1:29" s="113" customFormat="1" ht="15">
      <c r="A9" s="375" t="s">
        <v>2132</v>
      </c>
      <c r="B9" s="67" t="s">
        <v>2133</v>
      </c>
      <c r="C9" s="3603" t="s">
        <v>3245</v>
      </c>
      <c r="D9" s="131">
        <v>100</v>
      </c>
      <c r="E9" s="379" t="s">
        <v>27</v>
      </c>
      <c r="F9" s="131">
        <f>SUMIF(64:64,E9,65:65)-SUMIF(64:64,C9,65:65)+100</f>
        <v>100</v>
      </c>
      <c r="G9" s="379" t="s">
        <v>27</v>
      </c>
      <c r="H9" s="131">
        <f>SUMIF(64:64,G9,65:65)-SUMIF(64:64,C9,65:65)+100</f>
        <v>100</v>
      </c>
      <c r="I9" s="379" t="s">
        <v>27</v>
      </c>
      <c r="J9" s="131">
        <f>SUMIF(64:64,I9,65:65)-SUMIF(64:64,C9,65:65)+100</f>
        <v>100</v>
      </c>
      <c r="K9" s="568"/>
      <c r="L9" s="2895"/>
      <c r="M9" s="2896"/>
      <c r="N9" s="2896"/>
      <c r="O9" s="2896"/>
      <c r="P9" s="3473"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2095">
        <f t="shared" si="5"/>
        <v>1</v>
      </c>
    </row>
    <row r="10" spans="1:29" s="386" customFormat="1" ht="27">
      <c r="A10" s="380"/>
      <c r="B10" s="381" t="s">
        <v>2136</v>
      </c>
      <c r="C10" s="382" t="s">
        <v>3246</v>
      </c>
      <c r="D10" s="132">
        <v>100</v>
      </c>
      <c r="E10" s="382" t="s">
        <v>3246</v>
      </c>
      <c r="F10" s="132">
        <f>SUMIF(66:66,E10,67:67)-SUMIF(66:66,C10,67:67)+100</f>
        <v>100</v>
      </c>
      <c r="G10" s="382" t="s">
        <v>3246</v>
      </c>
      <c r="H10" s="132">
        <f>SUMIF(66:66,G10,67:67)-SUMIF(66:66,C10,67:67)+100</f>
        <v>100</v>
      </c>
      <c r="I10" s="382" t="s">
        <v>3246</v>
      </c>
      <c r="J10" s="132">
        <f>SUMIF(66:66,I10,67:67)-SUMIF(66:66,C10,67:67)+100</f>
        <v>100</v>
      </c>
      <c r="K10" s="569"/>
      <c r="L10" s="2897"/>
      <c r="M10" s="2898"/>
      <c r="N10" s="2898"/>
      <c r="O10" s="2898"/>
      <c r="P10" s="3473"/>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095">
        <f t="shared" si="5"/>
        <v>1</v>
      </c>
    </row>
    <row r="11" spans="1:29" ht="15">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73"/>
      <c r="Q11" s="1477" t="str">
        <f t="shared" si="6"/>
        <v>容积率</v>
      </c>
      <c r="R11" s="710" t="s">
        <v>17</v>
      </c>
      <c r="S11" s="711">
        <f t="shared" si="0"/>
        <v>100</v>
      </c>
      <c r="T11" s="710" t="s">
        <v>17</v>
      </c>
      <c r="U11" s="711">
        <f t="shared" si="1"/>
        <v>100</v>
      </c>
      <c r="V11" s="710" t="s">
        <v>17</v>
      </c>
      <c r="W11" s="711">
        <f t="shared" si="2"/>
        <v>100</v>
      </c>
      <c r="X11" s="712"/>
      <c r="Y11" s="3334"/>
      <c r="Z11" s="55" t="str">
        <f t="shared" si="7"/>
        <v>容积率</v>
      </c>
      <c r="AA11" s="713">
        <f t="shared" si="3"/>
        <v>1</v>
      </c>
      <c r="AB11" s="713">
        <f t="shared" si="4"/>
        <v>1</v>
      </c>
      <c r="AC11" s="2095">
        <f t="shared" si="5"/>
        <v>1</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3"/>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3"/>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3"/>
      <c r="Q14" s="147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0"/>
      <c r="M15" s="2894"/>
      <c r="N15" s="2894"/>
      <c r="O15" s="2894"/>
      <c r="P15" s="3471" t="s">
        <v>2139</v>
      </c>
      <c r="Q15" s="1486" t="str">
        <f t="shared" si="6"/>
        <v>办公集聚程度</v>
      </c>
      <c r="R15" s="714" t="s">
        <v>17</v>
      </c>
      <c r="S15" s="715">
        <f t="shared" si="0"/>
        <v>100</v>
      </c>
      <c r="T15" s="714" t="s">
        <v>17</v>
      </c>
      <c r="U15" s="715">
        <f t="shared" si="1"/>
        <v>100</v>
      </c>
      <c r="V15" s="714" t="s">
        <v>17</v>
      </c>
      <c r="W15" s="715">
        <f t="shared" si="2"/>
        <v>100</v>
      </c>
      <c r="X15" s="1489"/>
      <c r="Y15" s="3464" t="s">
        <v>2139</v>
      </c>
      <c r="Z15" s="1490" t="str">
        <f t="shared" si="7"/>
        <v>办公集聚程度</v>
      </c>
      <c r="AA15" s="1487">
        <f t="shared" si="3"/>
        <v>1</v>
      </c>
      <c r="AB15" s="1487">
        <f t="shared" si="4"/>
        <v>1</v>
      </c>
      <c r="AC15" s="2098">
        <f t="shared" si="5"/>
        <v>1</v>
      </c>
    </row>
    <row r="16" spans="1:29" ht="15">
      <c r="A16" s="387"/>
      <c r="B16" s="586"/>
      <c r="C16" s="2040" t="s">
        <v>3248</v>
      </c>
      <c r="D16" s="407"/>
      <c r="E16" s="2040" t="s">
        <v>3248</v>
      </c>
      <c r="F16" s="407"/>
      <c r="G16" s="2040" t="s">
        <v>3248</v>
      </c>
      <c r="H16" s="409"/>
      <c r="I16" s="2040" t="s">
        <v>3248</v>
      </c>
      <c r="J16" s="407"/>
      <c r="K16" s="572"/>
      <c r="L16" s="2900"/>
      <c r="M16" s="2894"/>
      <c r="N16" s="2894"/>
      <c r="O16" s="2894"/>
      <c r="P16" s="3472"/>
      <c r="Q16" s="1486"/>
      <c r="R16" s="714"/>
      <c r="S16" s="715"/>
      <c r="T16" s="714"/>
      <c r="U16" s="715"/>
      <c r="V16" s="714"/>
      <c r="W16" s="715"/>
      <c r="X16" s="1489"/>
      <c r="Y16" s="3465"/>
      <c r="Z16" s="1490"/>
      <c r="AA16" s="1487">
        <v>1</v>
      </c>
      <c r="AB16" s="1487">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0"/>
      <c r="M17" s="2894"/>
      <c r="N17" s="2894"/>
      <c r="O17" s="2894"/>
      <c r="P17" s="3472"/>
      <c r="Q17" s="1486" t="str">
        <f>B17</f>
        <v>交通便捷度</v>
      </c>
      <c r="R17" s="714" t="s">
        <v>17</v>
      </c>
      <c r="S17" s="715">
        <f>F17</f>
        <v>100</v>
      </c>
      <c r="T17" s="714" t="s">
        <v>17</v>
      </c>
      <c r="U17" s="715">
        <f>H17</f>
        <v>100</v>
      </c>
      <c r="V17" s="714" t="s">
        <v>17</v>
      </c>
      <c r="W17" s="715">
        <f>J17</f>
        <v>100</v>
      </c>
      <c r="X17" s="1489"/>
      <c r="Y17" s="3465"/>
      <c r="Z17" s="1490" t="str">
        <f>Q17</f>
        <v>交通便捷度</v>
      </c>
      <c r="AA17" s="1487">
        <f t="shared" si="3"/>
        <v>1</v>
      </c>
      <c r="AB17" s="1487">
        <f t="shared" si="4"/>
        <v>1</v>
      </c>
      <c r="AC17" s="2098">
        <f t="shared" si="5"/>
        <v>1</v>
      </c>
    </row>
    <row r="18" spans="1:29" ht="15">
      <c r="A18" s="387"/>
      <c r="B18" s="588"/>
      <c r="C18" s="2040" t="s">
        <v>3248</v>
      </c>
      <c r="D18" s="409"/>
      <c r="E18" s="2040" t="s">
        <v>3248</v>
      </c>
      <c r="F18" s="409"/>
      <c r="G18" s="2040" t="s">
        <v>3248</v>
      </c>
      <c r="H18" s="407"/>
      <c r="I18" s="2040" t="s">
        <v>3248</v>
      </c>
      <c r="J18" s="407"/>
      <c r="K18" s="572"/>
      <c r="L18" s="2900"/>
      <c r="M18" s="2894"/>
      <c r="N18" s="2894"/>
      <c r="O18" s="2894"/>
      <c r="P18" s="3472"/>
      <c r="Q18" s="1486"/>
      <c r="R18" s="714"/>
      <c r="S18" s="715"/>
      <c r="T18" s="714"/>
      <c r="U18" s="715"/>
      <c r="V18" s="714"/>
      <c r="W18" s="715"/>
      <c r="X18" s="1489"/>
      <c r="Y18" s="3465"/>
      <c r="Z18" s="1490"/>
      <c r="AA18" s="1487">
        <v>1</v>
      </c>
      <c r="AB18" s="1487">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0"/>
      <c r="M19" s="2894"/>
      <c r="N19" s="2894"/>
      <c r="O19" s="2894"/>
      <c r="P19" s="3472"/>
      <c r="Q19" s="1486" t="str">
        <f>B19</f>
        <v>公共配套设施</v>
      </c>
      <c r="R19" s="714" t="s">
        <v>17</v>
      </c>
      <c r="S19" s="715">
        <f>F19</f>
        <v>100</v>
      </c>
      <c r="T19" s="714" t="s">
        <v>17</v>
      </c>
      <c r="U19" s="715">
        <f>H19</f>
        <v>100</v>
      </c>
      <c r="V19" s="714" t="s">
        <v>17</v>
      </c>
      <c r="W19" s="715">
        <f>J19</f>
        <v>100</v>
      </c>
      <c r="X19" s="1489"/>
      <c r="Y19" s="3465"/>
      <c r="Z19" s="1490" t="str">
        <f>Q19</f>
        <v>公共配套设施</v>
      </c>
      <c r="AA19" s="1487">
        <f t="shared" si="3"/>
        <v>1</v>
      </c>
      <c r="AB19" s="1487">
        <f t="shared" si="4"/>
        <v>1</v>
      </c>
      <c r="AC19" s="2098">
        <f t="shared" si="5"/>
        <v>1</v>
      </c>
    </row>
    <row r="20" spans="1:29" ht="15">
      <c r="A20" s="387"/>
      <c r="B20" s="588"/>
      <c r="C20" s="2040" t="s">
        <v>3248</v>
      </c>
      <c r="D20" s="407"/>
      <c r="E20" s="2040" t="s">
        <v>3248</v>
      </c>
      <c r="F20" s="407"/>
      <c r="G20" s="2040" t="s">
        <v>3248</v>
      </c>
      <c r="H20" s="407"/>
      <c r="I20" s="2040" t="s">
        <v>3248</v>
      </c>
      <c r="J20" s="407"/>
      <c r="K20" s="572"/>
      <c r="L20" s="2900"/>
      <c r="M20" s="2894"/>
      <c r="N20" s="2894"/>
      <c r="O20" s="2894"/>
      <c r="P20" s="3472"/>
      <c r="Q20" s="1486"/>
      <c r="R20" s="714"/>
      <c r="S20" s="715"/>
      <c r="T20" s="714"/>
      <c r="U20" s="715"/>
      <c r="V20" s="714"/>
      <c r="W20" s="715"/>
      <c r="X20" s="1489"/>
      <c r="Y20" s="3465"/>
      <c r="Z20" s="1490"/>
      <c r="AA20" s="1487">
        <v>1</v>
      </c>
      <c r="AB20" s="1487">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72"/>
      <c r="Q21" s="1486" t="str">
        <f>B21</f>
        <v>基础设施水平</v>
      </c>
      <c r="R21" s="714" t="s">
        <v>17</v>
      </c>
      <c r="S21" s="715">
        <f>F21</f>
        <v>100</v>
      </c>
      <c r="T21" s="714" t="s">
        <v>17</v>
      </c>
      <c r="U21" s="715">
        <f>H21</f>
        <v>100</v>
      </c>
      <c r="V21" s="714" t="s">
        <v>17</v>
      </c>
      <c r="W21" s="715">
        <f>J21</f>
        <v>100</v>
      </c>
      <c r="X21" s="1489"/>
      <c r="Y21" s="3465"/>
      <c r="Z21" s="1490" t="str">
        <f>Q21</f>
        <v>基础设施水平</v>
      </c>
      <c r="AA21" s="1487">
        <f t="shared" ref="AA21" si="8">D21/F21</f>
        <v>1</v>
      </c>
      <c r="AB21" s="1487">
        <f t="shared" ref="AB21" si="9">D21/H21</f>
        <v>1</v>
      </c>
      <c r="AC21" s="2098">
        <f t="shared" ref="AC21" si="10">D21/J21</f>
        <v>1</v>
      </c>
    </row>
    <row r="22" spans="1:29" ht="15">
      <c r="A22" s="387"/>
      <c r="B22" s="589"/>
      <c r="C22" s="2100" t="s">
        <v>3240</v>
      </c>
      <c r="D22" s="407"/>
      <c r="E22" s="2100" t="s">
        <v>3240</v>
      </c>
      <c r="F22" s="407"/>
      <c r="G22" s="2100" t="s">
        <v>3240</v>
      </c>
      <c r="H22" s="407"/>
      <c r="I22" s="2100" t="s">
        <v>3240</v>
      </c>
      <c r="J22" s="407"/>
      <c r="K22" s="1244"/>
      <c r="L22" s="2900"/>
      <c r="M22" s="2894"/>
      <c r="N22" s="2894"/>
      <c r="O22" s="2894"/>
      <c r="P22" s="3472"/>
      <c r="Q22" s="1486"/>
      <c r="R22" s="714"/>
      <c r="S22" s="715"/>
      <c r="T22" s="714"/>
      <c r="U22" s="715"/>
      <c r="V22" s="714"/>
      <c r="W22" s="715"/>
      <c r="X22" s="1489"/>
      <c r="Y22" s="3465"/>
      <c r="Z22" s="1490"/>
      <c r="AA22" s="1487">
        <v>1</v>
      </c>
      <c r="AB22" s="1487">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72"/>
      <c r="Q23" s="1486" t="str">
        <f>B23</f>
        <v>环境质量</v>
      </c>
      <c r="R23" s="714" t="s">
        <v>17</v>
      </c>
      <c r="S23" s="715">
        <f>F23</f>
        <v>100</v>
      </c>
      <c r="T23" s="714" t="s">
        <v>17</v>
      </c>
      <c r="U23" s="715">
        <f>H23</f>
        <v>100</v>
      </c>
      <c r="V23" s="714" t="s">
        <v>17</v>
      </c>
      <c r="W23" s="715">
        <f>J23</f>
        <v>100</v>
      </c>
      <c r="X23" s="1489"/>
      <c r="Y23" s="3465"/>
      <c r="Z23" s="1490" t="str">
        <f>Q23</f>
        <v>环境质量</v>
      </c>
      <c r="AA23" s="1487">
        <f t="shared" si="3"/>
        <v>1</v>
      </c>
      <c r="AB23" s="1487">
        <f t="shared" si="4"/>
        <v>1</v>
      </c>
      <c r="AC23" s="2098">
        <f t="shared" si="5"/>
        <v>1</v>
      </c>
    </row>
    <row r="24" spans="1:29" ht="15">
      <c r="A24" s="387"/>
      <c r="B24" s="589"/>
      <c r="C24" s="2040" t="s">
        <v>3248</v>
      </c>
      <c r="D24" s="407"/>
      <c r="E24" s="2040" t="s">
        <v>3248</v>
      </c>
      <c r="F24" s="407"/>
      <c r="G24" s="2040" t="s">
        <v>3248</v>
      </c>
      <c r="H24" s="407"/>
      <c r="I24" s="2040" t="s">
        <v>3248</v>
      </c>
      <c r="J24" s="407"/>
      <c r="K24" s="572"/>
      <c r="L24" s="2900"/>
      <c r="M24" s="2894"/>
      <c r="N24" s="2894"/>
      <c r="O24" s="2894"/>
      <c r="P24" s="3472"/>
      <c r="Q24" s="1486"/>
      <c r="R24" s="714"/>
      <c r="S24" s="715"/>
      <c r="T24" s="714"/>
      <c r="U24" s="715"/>
      <c r="V24" s="714"/>
      <c r="W24" s="715"/>
      <c r="X24" s="1489"/>
      <c r="Y24" s="3465"/>
      <c r="Z24" s="1490"/>
      <c r="AA24" s="1487">
        <v>1</v>
      </c>
      <c r="AB24" s="1487">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v>2</v>
      </c>
      <c r="L25" s="2900"/>
      <c r="M25" s="2894"/>
      <c r="N25" s="2894"/>
      <c r="O25" s="2894"/>
      <c r="P25" s="3472"/>
      <c r="Q25" s="1486" t="str">
        <f>B25</f>
        <v>毗邻道路的类型与等级</v>
      </c>
      <c r="R25" s="714" t="s">
        <v>17</v>
      </c>
      <c r="S25" s="715">
        <f>F25</f>
        <v>100</v>
      </c>
      <c r="T25" s="714" t="s">
        <v>17</v>
      </c>
      <c r="U25" s="715">
        <f>H25</f>
        <v>100</v>
      </c>
      <c r="V25" s="714" t="s">
        <v>17</v>
      </c>
      <c r="W25" s="715">
        <f>J25</f>
        <v>100</v>
      </c>
      <c r="X25" s="1489"/>
      <c r="Y25" s="3465"/>
      <c r="Z25" s="1490" t="str">
        <f>Q25</f>
        <v>毗邻道路的类型与等级</v>
      </c>
      <c r="AA25" s="1487">
        <f t="shared" si="3"/>
        <v>1</v>
      </c>
      <c r="AB25" s="1487">
        <f t="shared" si="4"/>
        <v>1</v>
      </c>
      <c r="AC25" s="2098">
        <f t="shared" si="5"/>
        <v>1</v>
      </c>
    </row>
    <row r="26" spans="1:29" ht="15">
      <c r="A26" s="364"/>
      <c r="B26" s="588"/>
      <c r="C26" s="590" t="s">
        <v>3229</v>
      </c>
      <c r="D26" s="394"/>
      <c r="E26" s="590" t="s">
        <v>3229</v>
      </c>
      <c r="F26" s="394"/>
      <c r="G26" s="590" t="s">
        <v>3229</v>
      </c>
      <c r="H26" s="394"/>
      <c r="I26" s="590" t="s">
        <v>3229</v>
      </c>
      <c r="J26" s="394"/>
      <c r="K26" s="572"/>
      <c r="L26" s="2900"/>
      <c r="M26" s="2894"/>
      <c r="N26" s="2894"/>
      <c r="O26" s="2894"/>
      <c r="P26" s="3472"/>
      <c r="Q26" s="1486"/>
      <c r="R26" s="714"/>
      <c r="S26" s="715"/>
      <c r="T26" s="714"/>
      <c r="U26" s="715"/>
      <c r="V26" s="714"/>
      <c r="W26" s="715"/>
      <c r="X26" s="1489"/>
      <c r="Y26" s="3465"/>
      <c r="Z26" s="1490"/>
      <c r="AA26" s="1487">
        <v>1</v>
      </c>
      <c r="AB26" s="1487">
        <v>1</v>
      </c>
      <c r="AC26" s="2098">
        <v>1</v>
      </c>
    </row>
    <row r="27" spans="1:29" ht="15">
      <c r="A27" s="387"/>
      <c r="B27" s="588" t="s">
        <v>2238</v>
      </c>
      <c r="C27" s="590" t="s">
        <v>3251</v>
      </c>
      <c r="D27" s="394">
        <v>100</v>
      </c>
      <c r="E27" s="573" t="s">
        <v>3251</v>
      </c>
      <c r="F27" s="394">
        <f>SUMIF(89:89,E27,90:90)-SUMIF(89:89,C27,90:90)+100</f>
        <v>100</v>
      </c>
      <c r="G27" s="590" t="s">
        <v>3253</v>
      </c>
      <c r="H27" s="394">
        <f>SUMIF(89:89,G27,90:90)-SUMIF(89:89,C27,90:90)+100</f>
        <v>98</v>
      </c>
      <c r="I27" s="573" t="s">
        <v>3253</v>
      </c>
      <c r="J27" s="394">
        <f>SUMIF(89:89,I27,90:90)-SUMIF(89:89,C27,90:90)+100</f>
        <v>98</v>
      </c>
      <c r="K27" s="569">
        <v>2</v>
      </c>
      <c r="L27" s="2900"/>
      <c r="M27" s="2894"/>
      <c r="N27" s="2894"/>
      <c r="O27" s="2894"/>
      <c r="P27" s="3472"/>
      <c r="Q27" s="1486" t="str">
        <f t="shared" ref="Q27:Q47" si="11">B27</f>
        <v>楼层</v>
      </c>
      <c r="R27" s="714" t="s">
        <v>17</v>
      </c>
      <c r="S27" s="715">
        <f>F27</f>
        <v>100</v>
      </c>
      <c r="T27" s="714" t="s">
        <v>17</v>
      </c>
      <c r="U27" s="715">
        <f>H27</f>
        <v>98</v>
      </c>
      <c r="V27" s="714" t="s">
        <v>17</v>
      </c>
      <c r="W27" s="715">
        <f>J27</f>
        <v>98</v>
      </c>
      <c r="X27" s="1489"/>
      <c r="Y27" s="3465"/>
      <c r="Z27" s="1490" t="str">
        <f>Q27</f>
        <v>楼层</v>
      </c>
      <c r="AA27" s="1487">
        <f t="shared" si="3"/>
        <v>1</v>
      </c>
      <c r="AB27" s="1487">
        <f t="shared" si="4"/>
        <v>1.0204081632653061</v>
      </c>
      <c r="AC27" s="2098">
        <f t="shared" si="5"/>
        <v>1.0204081632653061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72"/>
      <c r="Q28" s="1477" t="str">
        <f t="shared" si="11"/>
        <v>朝向</v>
      </c>
      <c r="R28" s="710" t="s">
        <v>17</v>
      </c>
      <c r="S28" s="711">
        <f>F28</f>
        <v>100</v>
      </c>
      <c r="T28" s="710" t="s">
        <v>17</v>
      </c>
      <c r="U28" s="711">
        <f>H28</f>
        <v>100</v>
      </c>
      <c r="V28" s="710" t="s">
        <v>17</v>
      </c>
      <c r="W28" s="711">
        <f>J28</f>
        <v>100</v>
      </c>
      <c r="X28" s="712"/>
      <c r="Y28" s="3465"/>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72"/>
      <c r="Q29" s="1486">
        <f t="shared" si="11"/>
        <v>111</v>
      </c>
      <c r="R29" s="714" t="s">
        <v>17</v>
      </c>
      <c r="S29" s="715">
        <f t="shared" ref="S29:S47" si="12">F29</f>
        <v>100</v>
      </c>
      <c r="T29" s="714" t="s">
        <v>17</v>
      </c>
      <c r="U29" s="715">
        <f t="shared" ref="U29:U47" si="13">H29</f>
        <v>100</v>
      </c>
      <c r="V29" s="714" t="s">
        <v>17</v>
      </c>
      <c r="W29" s="715">
        <f t="shared" ref="W29:W47" si="14">J29</f>
        <v>100</v>
      </c>
      <c r="X29" s="1489"/>
      <c r="Y29" s="3465"/>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72"/>
      <c r="Q30" s="1486">
        <f t="shared" si="11"/>
        <v>111</v>
      </c>
      <c r="R30" s="714" t="s">
        <v>17</v>
      </c>
      <c r="S30" s="715">
        <f t="shared" si="12"/>
        <v>100</v>
      </c>
      <c r="T30" s="714" t="s">
        <v>17</v>
      </c>
      <c r="U30" s="715">
        <f t="shared" si="13"/>
        <v>100</v>
      </c>
      <c r="V30" s="714" t="s">
        <v>17</v>
      </c>
      <c r="W30" s="715">
        <f t="shared" si="14"/>
        <v>100</v>
      </c>
      <c r="X30" s="1489"/>
      <c r="Y30" s="3465"/>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72"/>
      <c r="Q31" s="1486">
        <f t="shared" si="11"/>
        <v>111</v>
      </c>
      <c r="R31" s="714" t="s">
        <v>17</v>
      </c>
      <c r="S31" s="715">
        <f t="shared" si="12"/>
        <v>100</v>
      </c>
      <c r="T31" s="714" t="s">
        <v>17</v>
      </c>
      <c r="U31" s="715">
        <f t="shared" si="13"/>
        <v>100</v>
      </c>
      <c r="V31" s="714" t="s">
        <v>17</v>
      </c>
      <c r="W31" s="715">
        <f t="shared" si="14"/>
        <v>100</v>
      </c>
      <c r="X31" s="1489"/>
      <c r="Y31" s="3465"/>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72"/>
      <c r="Q32" s="1486">
        <f t="shared" si="11"/>
        <v>111</v>
      </c>
      <c r="R32" s="714" t="s">
        <v>17</v>
      </c>
      <c r="S32" s="715">
        <f t="shared" si="12"/>
        <v>100</v>
      </c>
      <c r="T32" s="714" t="s">
        <v>17</v>
      </c>
      <c r="U32" s="715">
        <f t="shared" si="13"/>
        <v>100</v>
      </c>
      <c r="V32" s="714" t="s">
        <v>17</v>
      </c>
      <c r="W32" s="715">
        <f t="shared" si="14"/>
        <v>100</v>
      </c>
      <c r="X32" s="1489"/>
      <c r="Y32" s="3465"/>
      <c r="Z32" s="1490">
        <f t="shared" si="15"/>
        <v>111</v>
      </c>
      <c r="AA32" s="1487">
        <f t="shared" si="3"/>
        <v>1</v>
      </c>
      <c r="AB32" s="1487">
        <f t="shared" si="4"/>
        <v>1</v>
      </c>
      <c r="AC32" s="2098">
        <f t="shared" si="5"/>
        <v>1</v>
      </c>
    </row>
    <row r="33" spans="1:29" ht="15">
      <c r="A33" s="399" t="s">
        <v>2142</v>
      </c>
      <c r="B33" s="67" t="s">
        <v>2272</v>
      </c>
      <c r="C33" s="2103" t="s">
        <v>3231</v>
      </c>
      <c r="D33" s="426">
        <v>100</v>
      </c>
      <c r="E33" s="2103" t="s">
        <v>3231</v>
      </c>
      <c r="F33" s="420">
        <f>SUMIF(101:101,E33,102:102)-SUMIF(101:101,C33,102:102)+100</f>
        <v>100</v>
      </c>
      <c r="G33" s="2103" t="s">
        <v>3231</v>
      </c>
      <c r="H33" s="394">
        <f>SUMIF(101:101,G33,102:102)-SUMIF(101:101,C33,102:102)+100</f>
        <v>100</v>
      </c>
      <c r="I33" s="2103" t="s">
        <v>3231</v>
      </c>
      <c r="J33" s="426">
        <f>SUMIF(101:101,I33,102:102)-SUMIF(101:101,C33,102:102)+100</f>
        <v>100</v>
      </c>
      <c r="K33" s="569">
        <v>2</v>
      </c>
      <c r="L33" s="2900"/>
      <c r="M33" s="2894"/>
      <c r="N33" s="2894"/>
      <c r="O33" s="2894"/>
      <c r="P33" s="3466" t="s">
        <v>2144</v>
      </c>
      <c r="Q33" s="1486" t="str">
        <f t="shared" si="11"/>
        <v>建筑类型</v>
      </c>
      <c r="R33" s="714" t="s">
        <v>17</v>
      </c>
      <c r="S33" s="715">
        <f t="shared" si="12"/>
        <v>100</v>
      </c>
      <c r="T33" s="714" t="s">
        <v>17</v>
      </c>
      <c r="U33" s="715">
        <f t="shared" si="13"/>
        <v>100</v>
      </c>
      <c r="V33" s="714" t="s">
        <v>17</v>
      </c>
      <c r="W33" s="715">
        <f t="shared" si="14"/>
        <v>100</v>
      </c>
      <c r="X33" s="1489"/>
      <c r="Y33" s="3469" t="s">
        <v>2144</v>
      </c>
      <c r="Z33" s="1490" t="str">
        <f t="shared" si="15"/>
        <v>建筑类型</v>
      </c>
      <c r="AA33" s="1487">
        <f t="shared" si="3"/>
        <v>1</v>
      </c>
      <c r="AB33" s="1487">
        <f t="shared" si="4"/>
        <v>1</v>
      </c>
      <c r="AC33" s="2098">
        <f t="shared" si="5"/>
        <v>1</v>
      </c>
    </row>
    <row r="34" spans="1:29" s="430" customFormat="1" ht="15">
      <c r="A34" s="427"/>
      <c r="B34" s="381" t="s">
        <v>2145</v>
      </c>
      <c r="C34" s="428">
        <f>典型户型修正!B24</f>
        <v>1506.52</v>
      </c>
      <c r="D34" s="132">
        <v>100</v>
      </c>
      <c r="E34" s="428">
        <v>190</v>
      </c>
      <c r="F34" s="384">
        <f>LOOKUP(E34,104:104,105:105)-LOOKUP(C34,104:104,105:105)+100</f>
        <v>102</v>
      </c>
      <c r="G34" s="428">
        <v>946.95</v>
      </c>
      <c r="H34" s="132">
        <f>LOOKUP(G34,104:104,105:105)-LOOKUP(C34,104:104,105:105)+100</f>
        <v>102</v>
      </c>
      <c r="I34" s="428">
        <v>849.54</v>
      </c>
      <c r="J34" s="132">
        <f>LOOKUP(I34,104:104,105:105)-LOOKUP(C34,104:104,105:105)+100</f>
        <v>102</v>
      </c>
      <c r="K34" s="570"/>
      <c r="L34" s="2899"/>
      <c r="M34" s="2901"/>
      <c r="N34" s="2901"/>
      <c r="O34" s="2901"/>
      <c r="P34" s="3467"/>
      <c r="Q34" s="716" t="str">
        <f t="shared" si="11"/>
        <v>项目建筑规模</v>
      </c>
      <c r="R34" s="717" t="s">
        <v>17</v>
      </c>
      <c r="S34" s="718">
        <f t="shared" si="12"/>
        <v>102</v>
      </c>
      <c r="T34" s="717" t="s">
        <v>17</v>
      </c>
      <c r="U34" s="718">
        <f t="shared" si="13"/>
        <v>102</v>
      </c>
      <c r="V34" s="717" t="s">
        <v>17</v>
      </c>
      <c r="W34" s="718">
        <f t="shared" si="14"/>
        <v>102</v>
      </c>
      <c r="X34" s="719"/>
      <c r="Y34" s="3469"/>
      <c r="Z34" s="720" t="str">
        <f t="shared" si="15"/>
        <v>项目建筑规模</v>
      </c>
      <c r="AA34" s="1487">
        <f t="shared" si="3"/>
        <v>0.98039215686274506</v>
      </c>
      <c r="AB34" s="1487">
        <f t="shared" si="4"/>
        <v>0.98039215686274506</v>
      </c>
      <c r="AC34" s="2098">
        <f t="shared" si="5"/>
        <v>0.98039215686274506</v>
      </c>
    </row>
    <row r="35" spans="1:29" ht="15">
      <c r="A35" s="431"/>
      <c r="B35" s="381" t="s">
        <v>2146</v>
      </c>
      <c r="C35" s="419" t="s">
        <v>3218</v>
      </c>
      <c r="D35" s="394">
        <v>100</v>
      </c>
      <c r="E35" s="419" t="s">
        <v>3218</v>
      </c>
      <c r="F35" s="420">
        <f>SUMIF(106:106,E35,107:107)-SUMIF(106:106,C35,107:107)+100</f>
        <v>100</v>
      </c>
      <c r="G35" s="419" t="s">
        <v>3218</v>
      </c>
      <c r="H35" s="394">
        <f>SUMIF(106:106,G35,107:107)-SUMIF(106:106,C35,107:107)+100</f>
        <v>100</v>
      </c>
      <c r="I35" s="419" t="s">
        <v>3218</v>
      </c>
      <c r="J35" s="394">
        <f>SUMIF(106:106,I35,107:107)-SUMIF(106:106,C35,107:107)+100</f>
        <v>100</v>
      </c>
      <c r="K35" s="569">
        <v>2</v>
      </c>
      <c r="L35" s="2900"/>
      <c r="M35" s="2894"/>
      <c r="N35" s="2894"/>
      <c r="O35" s="2894"/>
      <c r="P35" s="3467"/>
      <c r="Q35" s="1486" t="str">
        <f t="shared" si="11"/>
        <v>建筑结构</v>
      </c>
      <c r="R35" s="714" t="s">
        <v>17</v>
      </c>
      <c r="S35" s="715">
        <f t="shared" si="12"/>
        <v>100</v>
      </c>
      <c r="T35" s="714" t="s">
        <v>17</v>
      </c>
      <c r="U35" s="715">
        <f t="shared" si="13"/>
        <v>100</v>
      </c>
      <c r="V35" s="714" t="s">
        <v>17</v>
      </c>
      <c r="W35" s="715">
        <f t="shared" si="14"/>
        <v>100</v>
      </c>
      <c r="X35" s="1489"/>
      <c r="Y35" s="3469"/>
      <c r="Z35" s="1490" t="str">
        <f t="shared" si="15"/>
        <v>建筑结构</v>
      </c>
      <c r="AA35" s="1487">
        <f t="shared" si="3"/>
        <v>1</v>
      </c>
      <c r="AB35" s="1487">
        <f t="shared" si="4"/>
        <v>1</v>
      </c>
      <c r="AC35" s="2098">
        <f t="shared" si="5"/>
        <v>1</v>
      </c>
    </row>
    <row r="36" spans="1:29" ht="15">
      <c r="A36" s="431"/>
      <c r="B36" s="381" t="s">
        <v>2240</v>
      </c>
      <c r="C36" s="419" t="s">
        <v>3234</v>
      </c>
      <c r="D36" s="394">
        <v>100</v>
      </c>
      <c r="E36" s="419" t="s">
        <v>3234</v>
      </c>
      <c r="F36" s="420">
        <f>SUMIF(108:108,E36,109:109)-SUMIF(108:108,C36,109:109)+100</f>
        <v>100</v>
      </c>
      <c r="G36" s="419" t="s">
        <v>3234</v>
      </c>
      <c r="H36" s="394">
        <f>SUMIF(108:108,G36,109:109)-SUMIF(108:108,C36,109:109)+100</f>
        <v>100</v>
      </c>
      <c r="I36" s="419" t="s">
        <v>3234</v>
      </c>
      <c r="J36" s="394">
        <f>SUMIF(108:108,I36,109:109)-SUMIF(108:108,C36,109:109)+100</f>
        <v>100</v>
      </c>
      <c r="K36" s="569">
        <v>1</v>
      </c>
      <c r="L36" s="2900"/>
      <c r="M36" s="2894"/>
      <c r="N36" s="2894"/>
      <c r="O36" s="2894"/>
      <c r="P36" s="3467"/>
      <c r="Q36" s="1486" t="str">
        <f t="shared" si="11"/>
        <v>公共部分装修</v>
      </c>
      <c r="R36" s="714" t="s">
        <v>17</v>
      </c>
      <c r="S36" s="715">
        <f t="shared" si="12"/>
        <v>100</v>
      </c>
      <c r="T36" s="714" t="s">
        <v>17</v>
      </c>
      <c r="U36" s="715">
        <f t="shared" si="13"/>
        <v>100</v>
      </c>
      <c r="V36" s="714" t="s">
        <v>17</v>
      </c>
      <c r="W36" s="715">
        <f t="shared" si="14"/>
        <v>100</v>
      </c>
      <c r="X36" s="1489"/>
      <c r="Y36" s="3469"/>
      <c r="Z36" s="1490" t="str">
        <f t="shared" si="15"/>
        <v>公共部分装修</v>
      </c>
      <c r="AA36" s="1487">
        <f t="shared" si="3"/>
        <v>1</v>
      </c>
      <c r="AB36" s="1487">
        <f t="shared" si="4"/>
        <v>1</v>
      </c>
      <c r="AC36" s="2098">
        <f t="shared" si="5"/>
        <v>1</v>
      </c>
    </row>
    <row r="37" spans="1:29" ht="15">
      <c r="A37" s="431"/>
      <c r="B37" s="381" t="s">
        <v>2241</v>
      </c>
      <c r="C37" s="433">
        <f>'数据-取费表'!N6</f>
        <v>0.77</v>
      </c>
      <c r="D37" s="394">
        <v>100</v>
      </c>
      <c r="E37" s="433">
        <f>C37</f>
        <v>0.77</v>
      </c>
      <c r="F37" s="420">
        <f>LOOKUP(E37,111:111,112:112)-LOOKUP(C37,111:111,112:112)+100</f>
        <v>100</v>
      </c>
      <c r="G37" s="433">
        <f>E37</f>
        <v>0.77</v>
      </c>
      <c r="H37" s="420">
        <f>LOOKUP(G37,111:111,112:112)-LOOKUP(C37,111:111,112:112)+100</f>
        <v>100</v>
      </c>
      <c r="I37" s="433">
        <f>G37</f>
        <v>0.77</v>
      </c>
      <c r="J37" s="394">
        <f>LOOKUP(I37,111:111,112:112)-LOOKUP(C37,111:111,112:112)+100</f>
        <v>100</v>
      </c>
      <c r="K37" s="569">
        <v>1</v>
      </c>
      <c r="L37" s="2900"/>
      <c r="M37" s="2894"/>
      <c r="N37" s="2894"/>
      <c r="O37" s="2894"/>
      <c r="P37" s="3467"/>
      <c r="Q37" s="1486" t="str">
        <f t="shared" si="11"/>
        <v>成新度</v>
      </c>
      <c r="R37" s="714" t="s">
        <v>17</v>
      </c>
      <c r="S37" s="715">
        <f t="shared" si="12"/>
        <v>100</v>
      </c>
      <c r="T37" s="714" t="s">
        <v>17</v>
      </c>
      <c r="U37" s="715">
        <f t="shared" si="13"/>
        <v>100</v>
      </c>
      <c r="V37" s="714" t="s">
        <v>17</v>
      </c>
      <c r="W37" s="715">
        <f t="shared" si="14"/>
        <v>100</v>
      </c>
      <c r="X37" s="1489"/>
      <c r="Y37" s="3469"/>
      <c r="Z37" s="1490" t="str">
        <f t="shared" si="15"/>
        <v>成新度</v>
      </c>
      <c r="AA37" s="1487">
        <f t="shared" si="3"/>
        <v>1</v>
      </c>
      <c r="AB37" s="1487">
        <f t="shared" si="4"/>
        <v>1</v>
      </c>
      <c r="AC37" s="2098">
        <f t="shared" si="5"/>
        <v>1</v>
      </c>
    </row>
    <row r="38" spans="1:29" s="113" customFormat="1" ht="15">
      <c r="A38" s="432"/>
      <c r="B38" s="381" t="s">
        <v>2273</v>
      </c>
      <c r="C38" s="419" t="s">
        <v>3236</v>
      </c>
      <c r="D38" s="132">
        <v>100</v>
      </c>
      <c r="E38" s="419" t="s">
        <v>3236</v>
      </c>
      <c r="F38" s="420">
        <f>SUMIF(113:113,E38,114:114)-SUMIF(113:113,C38,114:114)+100</f>
        <v>100</v>
      </c>
      <c r="G38" s="419" t="s">
        <v>3236</v>
      </c>
      <c r="H38" s="394">
        <f>SUMIF(113:113,G38,114:114)-SUMIF(113:113,C38,114:114)+100</f>
        <v>100</v>
      </c>
      <c r="I38" s="419" t="s">
        <v>3236</v>
      </c>
      <c r="J38" s="394">
        <f>SUMIF(113:113,I38,114:114)-SUMIF(113:113,C38,114:114)+100</f>
        <v>100</v>
      </c>
      <c r="K38" s="569">
        <v>2</v>
      </c>
      <c r="L38" s="2895"/>
      <c r="M38" s="2896"/>
      <c r="N38" s="2896"/>
      <c r="O38" s="2896"/>
      <c r="P38" s="3467"/>
      <c r="Q38" s="1477"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095">
        <f t="shared" si="5"/>
        <v>1</v>
      </c>
    </row>
    <row r="39" spans="1:29" ht="15">
      <c r="A39" s="431"/>
      <c r="B39" s="381" t="s">
        <v>2274</v>
      </c>
      <c r="C39" s="419" t="s">
        <v>3238</v>
      </c>
      <c r="D39" s="394">
        <v>100</v>
      </c>
      <c r="E39" s="419" t="s">
        <v>3238</v>
      </c>
      <c r="F39" s="420">
        <f>SUMIF(115:115,E39,116:116)-SUMIF(115:115,C39,116:116)+100</f>
        <v>100</v>
      </c>
      <c r="G39" s="419" t="s">
        <v>3238</v>
      </c>
      <c r="H39" s="394">
        <f>SUMIF(115:115,G39,116:116)-SUMIF(115:115,C39,116:116)+100</f>
        <v>100</v>
      </c>
      <c r="I39" s="419" t="s">
        <v>3238</v>
      </c>
      <c r="J39" s="394">
        <f>SUMIF(115:115,I39,116:116)-SUMIF(115:115,C39,116:116)+100</f>
        <v>100</v>
      </c>
      <c r="K39" s="569">
        <v>1</v>
      </c>
      <c r="L39" s="2900"/>
      <c r="M39" s="2894"/>
      <c r="N39" s="2894"/>
      <c r="O39" s="2894"/>
      <c r="P39" s="3467" t="s">
        <v>2144</v>
      </c>
      <c r="Q39" s="1486" t="str">
        <f t="shared" si="11"/>
        <v>物业管理</v>
      </c>
      <c r="R39" s="714" t="s">
        <v>17</v>
      </c>
      <c r="S39" s="715">
        <f t="shared" si="12"/>
        <v>100</v>
      </c>
      <c r="T39" s="714" t="s">
        <v>17</v>
      </c>
      <c r="U39" s="715">
        <f t="shared" si="13"/>
        <v>100</v>
      </c>
      <c r="V39" s="714" t="s">
        <v>17</v>
      </c>
      <c r="W39" s="715">
        <f t="shared" si="14"/>
        <v>100</v>
      </c>
      <c r="X39" s="1489"/>
      <c r="Y39" s="3469" t="s">
        <v>2144</v>
      </c>
      <c r="Z39" s="1490" t="str">
        <f t="shared" si="15"/>
        <v>物业管理</v>
      </c>
      <c r="AA39" s="1487">
        <f t="shared" si="3"/>
        <v>1</v>
      </c>
      <c r="AB39" s="1487">
        <f t="shared" si="4"/>
        <v>1</v>
      </c>
      <c r="AC39" s="2098">
        <f t="shared" si="5"/>
        <v>1</v>
      </c>
    </row>
    <row r="40" spans="1:29" ht="15">
      <c r="A40" s="431"/>
      <c r="B40" s="381" t="s">
        <v>2242</v>
      </c>
      <c r="C40" s="419" t="s">
        <v>3242</v>
      </c>
      <c r="D40" s="394">
        <v>100</v>
      </c>
      <c r="E40" s="419" t="s">
        <v>3242</v>
      </c>
      <c r="F40" s="420">
        <f>SUMIF(117:117,E40,118:118)-SUMIF(117:117,C40,118:118)+100</f>
        <v>100</v>
      </c>
      <c r="G40" s="419" t="s">
        <v>3242</v>
      </c>
      <c r="H40" s="394">
        <f>SUMIF(117:117,G40,118:118)-SUMIF(117:117,C40,118:118)+100</f>
        <v>100</v>
      </c>
      <c r="I40" s="419" t="s">
        <v>3242</v>
      </c>
      <c r="J40" s="394">
        <f>SUMIF(117:117,I40,118:118)-SUMIF(117:117,C40,118:118)+100</f>
        <v>100</v>
      </c>
      <c r="K40" s="569">
        <v>2</v>
      </c>
      <c r="L40" s="2900"/>
      <c r="M40" s="2894"/>
      <c r="N40" s="2894"/>
      <c r="O40" s="2894"/>
      <c r="P40" s="3467"/>
      <c r="Q40" s="1486" t="str">
        <f t="shared" si="11"/>
        <v>市政基础设施</v>
      </c>
      <c r="R40" s="714" t="s">
        <v>17</v>
      </c>
      <c r="S40" s="715">
        <f t="shared" si="12"/>
        <v>100</v>
      </c>
      <c r="T40" s="714" t="s">
        <v>17</v>
      </c>
      <c r="U40" s="715">
        <f t="shared" si="13"/>
        <v>100</v>
      </c>
      <c r="V40" s="714" t="s">
        <v>17</v>
      </c>
      <c r="W40" s="715">
        <f t="shared" si="14"/>
        <v>100</v>
      </c>
      <c r="X40" s="1489"/>
      <c r="Y40" s="3469"/>
      <c r="Z40" s="1490" t="str">
        <f t="shared" si="15"/>
        <v>市政基础设施</v>
      </c>
      <c r="AA40" s="1487">
        <f t="shared" si="3"/>
        <v>1</v>
      </c>
      <c r="AB40" s="1487">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7"/>
      <c r="Q41" s="1486" t="str">
        <f t="shared" si="11"/>
        <v>层高</v>
      </c>
      <c r="R41" s="714" t="s">
        <v>17</v>
      </c>
      <c r="S41" s="715">
        <f t="shared" si="12"/>
        <v>100</v>
      </c>
      <c r="T41" s="714" t="s">
        <v>17</v>
      </c>
      <c r="U41" s="715">
        <f t="shared" si="13"/>
        <v>100</v>
      </c>
      <c r="V41" s="714" t="s">
        <v>17</v>
      </c>
      <c r="W41" s="715">
        <f t="shared" si="14"/>
        <v>100</v>
      </c>
      <c r="X41" s="1489"/>
      <c r="Y41" s="3469"/>
      <c r="Z41" s="1490" t="str">
        <f t="shared" si="15"/>
        <v>层高</v>
      </c>
      <c r="AA41" s="1487">
        <f t="shared" si="3"/>
        <v>1</v>
      </c>
      <c r="AB41" s="1487">
        <f t="shared" si="4"/>
        <v>1</v>
      </c>
      <c r="AC41" s="2098">
        <f t="shared" si="5"/>
        <v>1</v>
      </c>
    </row>
    <row r="42" spans="1:29" s="430" customFormat="1" ht="15">
      <c r="A42" s="427"/>
      <c r="B42" s="1488"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487">
        <f t="shared" si="3"/>
        <v>1</v>
      </c>
      <c r="AB42" s="1487">
        <f t="shared" si="4"/>
        <v>1</v>
      </c>
      <c r="AC42" s="2098">
        <f t="shared" si="5"/>
        <v>1</v>
      </c>
    </row>
    <row r="43" spans="1:29" ht="15">
      <c r="A43" s="431"/>
      <c r="B43" s="381" t="s">
        <v>2247</v>
      </c>
      <c r="C43" s="419" t="s">
        <v>3234</v>
      </c>
      <c r="D43" s="394">
        <v>100</v>
      </c>
      <c r="E43" s="419" t="s">
        <v>3234</v>
      </c>
      <c r="F43" s="420">
        <f>SUMIF(123:123,E43,124:124)-SUMIF(123:123,C43,124:124)+100</f>
        <v>100</v>
      </c>
      <c r="G43" s="419" t="s">
        <v>3263</v>
      </c>
      <c r="H43" s="394">
        <f>SUMIF(123:123,G43,124:124)-SUMIF(123:123,C43,124:124)+100</f>
        <v>96</v>
      </c>
      <c r="I43" s="419" t="s">
        <v>3261</v>
      </c>
      <c r="J43" s="394">
        <f>SUMIF(123:123,I43,124:124)-SUMIF(123:123,C43,124:124)+100</f>
        <v>98</v>
      </c>
      <c r="K43" s="569">
        <v>2</v>
      </c>
      <c r="L43" s="2900"/>
      <c r="M43" s="2894"/>
      <c r="N43" s="2894"/>
      <c r="O43" s="2894"/>
      <c r="P43" s="3467"/>
      <c r="Q43" s="1486" t="str">
        <f t="shared" si="11"/>
        <v>内部装修</v>
      </c>
      <c r="R43" s="714" t="s">
        <v>17</v>
      </c>
      <c r="S43" s="715">
        <f t="shared" si="12"/>
        <v>100</v>
      </c>
      <c r="T43" s="714" t="s">
        <v>17</v>
      </c>
      <c r="U43" s="715">
        <f t="shared" si="13"/>
        <v>96</v>
      </c>
      <c r="V43" s="714" t="s">
        <v>17</v>
      </c>
      <c r="W43" s="715">
        <f t="shared" si="14"/>
        <v>98</v>
      </c>
      <c r="X43" s="1489"/>
      <c r="Y43" s="3469"/>
      <c r="Z43" s="1490" t="str">
        <f t="shared" si="15"/>
        <v>内部装修</v>
      </c>
      <c r="AA43" s="1487">
        <f t="shared" si="3"/>
        <v>1</v>
      </c>
      <c r="AB43" s="1487">
        <f t="shared" si="4"/>
        <v>1.0416666666666667</v>
      </c>
      <c r="AC43" s="2098">
        <f t="shared" si="5"/>
        <v>1.0204081632653061</v>
      </c>
    </row>
    <row r="44" spans="1:29" ht="15">
      <c r="A44" s="431"/>
      <c r="B44" s="381" t="s">
        <v>2155</v>
      </c>
      <c r="C44" s="419" t="s">
        <v>3248</v>
      </c>
      <c r="D44" s="394">
        <v>100</v>
      </c>
      <c r="E44" s="419" t="s">
        <v>3248</v>
      </c>
      <c r="F44" s="420">
        <f>SUMIF(125:125,E44,126:126)-SUMIF(125:125,C44,126:126)+100</f>
        <v>100</v>
      </c>
      <c r="G44" s="419" t="s">
        <v>3248</v>
      </c>
      <c r="H44" s="394">
        <f>SUMIF(125:125,G44,126:126)-SUMIF(125:125,C44,126:126)+100</f>
        <v>100</v>
      </c>
      <c r="I44" s="419" t="s">
        <v>3248</v>
      </c>
      <c r="J44" s="394">
        <f>SUMIF(125:125,I44,126:126)-SUMIF(125:125,C44,126:126)+100</f>
        <v>100</v>
      </c>
      <c r="K44" s="569">
        <v>2</v>
      </c>
      <c r="L44" s="2900"/>
      <c r="M44" s="2894"/>
      <c r="N44" s="2894"/>
      <c r="O44" s="2894"/>
      <c r="P44" s="3467"/>
      <c r="Q44" s="1486" t="str">
        <f t="shared" si="11"/>
        <v>内部装修维护情况</v>
      </c>
      <c r="R44" s="714" t="s">
        <v>17</v>
      </c>
      <c r="S44" s="715">
        <f t="shared" si="12"/>
        <v>100</v>
      </c>
      <c r="T44" s="714" t="s">
        <v>17</v>
      </c>
      <c r="U44" s="715">
        <f t="shared" si="13"/>
        <v>100</v>
      </c>
      <c r="V44" s="714" t="s">
        <v>17</v>
      </c>
      <c r="W44" s="715">
        <f t="shared" si="14"/>
        <v>100</v>
      </c>
      <c r="X44" s="1489"/>
      <c r="Y44" s="3469"/>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7"/>
      <c r="Q45" s="1477">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7"/>
      <c r="Q46" s="1486">
        <f t="shared" si="11"/>
        <v>111</v>
      </c>
      <c r="R46" s="714" t="s">
        <v>17</v>
      </c>
      <c r="S46" s="715">
        <f t="shared" si="12"/>
        <v>100</v>
      </c>
      <c r="T46" s="714" t="s">
        <v>17</v>
      </c>
      <c r="U46" s="715">
        <f t="shared" si="13"/>
        <v>100</v>
      </c>
      <c r="V46" s="714" t="s">
        <v>17</v>
      </c>
      <c r="W46" s="715">
        <f t="shared" si="14"/>
        <v>100</v>
      </c>
      <c r="X46" s="1489"/>
      <c r="Y46" s="3469"/>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8"/>
      <c r="Q47" s="1486">
        <f t="shared" si="11"/>
        <v>111</v>
      </c>
      <c r="R47" s="714" t="s">
        <v>17</v>
      </c>
      <c r="S47" s="715">
        <f t="shared" si="12"/>
        <v>100</v>
      </c>
      <c r="T47" s="714" t="s">
        <v>17</v>
      </c>
      <c r="U47" s="715">
        <f t="shared" si="13"/>
        <v>100</v>
      </c>
      <c r="V47" s="714" t="s">
        <v>17</v>
      </c>
      <c r="W47" s="715">
        <f t="shared" si="14"/>
        <v>100</v>
      </c>
      <c r="X47" s="1489"/>
      <c r="Y47" s="3470"/>
      <c r="Z47" s="1490">
        <f t="shared" si="15"/>
        <v>111</v>
      </c>
      <c r="AA47" s="1487">
        <f t="shared" si="3"/>
        <v>1</v>
      </c>
      <c r="AB47" s="1487">
        <f t="shared" si="4"/>
        <v>1</v>
      </c>
      <c r="AC47" s="2098">
        <f t="shared" si="5"/>
        <v>1</v>
      </c>
    </row>
    <row r="48" spans="1:29" ht="15">
      <c r="A48" s="438" t="s">
        <v>2156</v>
      </c>
      <c r="B48" s="439"/>
      <c r="C48" s="1268" t="s">
        <v>1</v>
      </c>
      <c r="D48" s="1269"/>
      <c r="E48" s="1270">
        <v>45000</v>
      </c>
      <c r="F48" s="1271"/>
      <c r="G48" s="1272">
        <v>40129</v>
      </c>
      <c r="H48" s="1273"/>
      <c r="I48" s="1270">
        <v>45001</v>
      </c>
      <c r="J48" s="444"/>
      <c r="K48" s="723"/>
      <c r="L48" s="2902"/>
      <c r="M48" s="2894"/>
      <c r="N48" s="2894"/>
      <c r="O48" s="2894"/>
      <c r="P48" s="3473" t="str">
        <f>A48</f>
        <v>成交单价（元/平方米）</v>
      </c>
      <c r="Q48" s="3462"/>
      <c r="R48" s="3463">
        <f>E48</f>
        <v>45000</v>
      </c>
      <c r="S48" s="3463"/>
      <c r="T48" s="3463">
        <f>G48</f>
        <v>40129</v>
      </c>
      <c r="U48" s="3463"/>
      <c r="V48" s="3463">
        <f>I48</f>
        <v>45001</v>
      </c>
      <c r="W48" s="3463"/>
      <c r="X48" s="405"/>
      <c r="Y48" s="721"/>
      <c r="Z48" s="405"/>
      <c r="AA48" s="405"/>
      <c r="AB48" s="405"/>
      <c r="AC48" s="586"/>
    </row>
    <row r="49" spans="1:29" ht="15.75" thickBot="1">
      <c r="A49" s="445" t="s">
        <v>2248</v>
      </c>
      <c r="B49" s="446"/>
      <c r="C49" s="1274">
        <f>R50</f>
        <v>43958</v>
      </c>
      <c r="D49" s="2488" t="s">
        <v>2637</v>
      </c>
      <c r="E49" s="1275">
        <f>R49</f>
        <v>44118</v>
      </c>
      <c r="F49" s="2489"/>
      <c r="G49" s="1274">
        <f>T49</f>
        <v>41818</v>
      </c>
      <c r="H49" s="2489"/>
      <c r="I49" s="1275">
        <f>V49</f>
        <v>45938</v>
      </c>
      <c r="J49" s="2489"/>
      <c r="K49" s="2491">
        <f>F49+H49+J49</f>
        <v>0</v>
      </c>
      <c r="L49" s="2902"/>
      <c r="M49" s="2894"/>
      <c r="N49" s="2894"/>
      <c r="O49" s="2894"/>
      <c r="P49" s="3473" t="str">
        <f>A49</f>
        <v>比较价值（元/平方米）</v>
      </c>
      <c r="Q49" s="3462"/>
      <c r="R49" s="3463">
        <f>IF(F1="售价",ROUND(PRODUCT(R48,AA7:AA47),0),ROUND(PRODUCT(R48,AA7:AA47),1))</f>
        <v>44118</v>
      </c>
      <c r="S49" s="3463"/>
      <c r="T49" s="3463">
        <f>IF(F1="售价",ROUND(PRODUCT(T48,AB7:AB47),0),ROUND(PRODUCT(T48,AB7:AB47),1))</f>
        <v>41818</v>
      </c>
      <c r="U49" s="3463"/>
      <c r="V49" s="3463">
        <f>IF(F1="售价",ROUND(PRODUCT(V48,AC7:AC47),0),ROUND(PRODUCT(V48,AC7:AC47),1))</f>
        <v>45938</v>
      </c>
      <c r="W49" s="3463"/>
      <c r="X49" s="405"/>
      <c r="Y49" s="405"/>
      <c r="Z49" s="405"/>
      <c r="AA49" s="405"/>
      <c r="AB49" s="405"/>
      <c r="AC49" s="586"/>
    </row>
    <row r="50" spans="1:29" ht="15.75" thickBot="1">
      <c r="A50" s="449" t="s">
        <v>2249</v>
      </c>
      <c r="B50" s="450"/>
      <c r="C50" s="1277">
        <f>R50</f>
        <v>43958</v>
      </c>
      <c r="D50" s="1277"/>
      <c r="E50" s="1277"/>
      <c r="F50" s="1277"/>
      <c r="G50" s="1277"/>
      <c r="H50" s="1277"/>
      <c r="I50" s="1277"/>
      <c r="J50" s="451"/>
      <c r="K50" s="724"/>
      <c r="L50" s="2902"/>
      <c r="M50" s="2894"/>
      <c r="N50" s="2894"/>
      <c r="O50" s="2894"/>
      <c r="P50" s="3505" t="str">
        <f>A50</f>
        <v>估价对象XX用房的比较价值（楼面单价，元/平方米）</v>
      </c>
      <c r="Q50" s="3506"/>
      <c r="R50" s="3507">
        <f>IF(F1="售价",ROUND(IF(D49="简单平均",AVERAGE(R49:V49),R49*F49+T49*H49+V49*J49),0),ROUND(IF(D49="简单平均",AVERAGE(R49:V49),R49*F49+T49*H49+V49*J49),1))</f>
        <v>43958</v>
      </c>
      <c r="S50" s="3507"/>
      <c r="T50" s="3507"/>
      <c r="U50" s="3507"/>
      <c r="V50" s="3507"/>
      <c r="W50" s="350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f>IF(E48&lt;E49,E49/E48-1,E48/E49-1)</f>
        <v>1.9991840065279431E-2</v>
      </c>
      <c r="F53" s="457" t="str">
        <f>IF(OR(E53&gt;=0.3,E53&lt;=-0.3),"超过30%","")</f>
        <v/>
      </c>
      <c r="G53" s="456">
        <f>IF(G48&lt;G49,G49/G48-1,G48/G49-1)</f>
        <v>4.2089262129632043E-2</v>
      </c>
      <c r="H53" s="457" t="str">
        <f>IF(OR(G53&gt;=0.3,G53&lt;=-0.3),"超过30%","")</f>
        <v/>
      </c>
      <c r="I53" s="456">
        <f>IF(I48&lt;I49,I49/I48-1,I48/I49-1)</f>
        <v>2.0821759516455263E-2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f>IF(E49&lt;G49,G49/E49-1,E49/G49-1)</f>
        <v>5.500023913147456E-2</v>
      </c>
      <c r="F54" s="457" t="str">
        <f>IF(OR(E54&gt;=0.2,E54&lt;=-0.2),"超过20%","")</f>
        <v/>
      </c>
      <c r="G54" s="456">
        <f>IF(G49&lt;I49,I49/G49-1,G49/I49-1)</f>
        <v>9.8522167487684831E-2</v>
      </c>
      <c r="H54" s="457" t="str">
        <f>IF(OR(G54&gt;=0.2,G54&lt;=-0.2),"超过20%","")</f>
        <v/>
      </c>
      <c r="I54" s="456">
        <f>IF(I49&lt;E49,E49/I49-1,I49/E49-1)</f>
        <v>4.1253003309306813E-2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f>IF(E48&lt;G48,G48/E48-1,E48/G48-1)</f>
        <v>0.12138353808966085</v>
      </c>
      <c r="F55" s="457" t="str">
        <f>IF(OR(E55&gt;=0.3,E55&lt;=-0.3),"超过30%","")</f>
        <v/>
      </c>
      <c r="G55" s="456">
        <f>IF(G48&lt;I48,I48/G48-1,G48/I48-1)</f>
        <v>0.12140845772384057</v>
      </c>
      <c r="H55" s="457" t="str">
        <f>IF(OR(G55&gt;=0.3,G55&lt;=-0.3),"超过30%","")</f>
        <v/>
      </c>
      <c r="I55" s="456">
        <f>IF(I48&lt;E48,E48/I48-1,I48/E48-1)</f>
        <v>2.222222222214576E-5</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v>100</v>
      </c>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t="str">
        <f>C9</f>
        <v>办公</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98</v>
      </c>
      <c r="E78" s="501">
        <f>D78-$K15</f>
        <v>96</v>
      </c>
      <c r="F78" s="501">
        <f>E78-$K15</f>
        <v>94</v>
      </c>
      <c r="G78" s="501">
        <f>F78-$K15</f>
        <v>92</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3601" t="s">
        <v>3225</v>
      </c>
      <c r="D87" s="3601" t="s">
        <v>3226</v>
      </c>
      <c r="E87" s="3601" t="s">
        <v>3227</v>
      </c>
      <c r="F87" s="3601" t="s">
        <v>3228</v>
      </c>
      <c r="G87" s="3601" t="s">
        <v>3230</v>
      </c>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3601" t="s">
        <v>3250</v>
      </c>
      <c r="D89" s="3601" t="s">
        <v>3252</v>
      </c>
      <c r="E89" s="3601" t="s">
        <v>3254</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3602" t="s">
        <v>3232</v>
      </c>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2"/>
      <c r="O102" s="2932"/>
      <c r="P102" s="2940"/>
      <c r="Q102" s="2917"/>
      <c r="R102" s="2903"/>
      <c r="S102" s="2903"/>
      <c r="T102" s="2903"/>
      <c r="U102" s="2903"/>
      <c r="V102" s="2903"/>
      <c r="W102" s="2903"/>
      <c r="X102" s="2903"/>
      <c r="Y102" s="2903"/>
      <c r="Z102" s="2903"/>
      <c r="AA102" s="2903"/>
      <c r="AB102" s="2903"/>
      <c r="AC102" s="2903"/>
    </row>
    <row r="103" spans="1:29" ht="16.5" thickTop="1" thickBot="1">
      <c r="A103" s="491"/>
      <c r="B103" s="495" t="s">
        <v>2192</v>
      </c>
      <c r="C103" s="535" t="str">
        <f>C104&amp;"(含)"&amp;"-"&amp;D104</f>
        <v>0(含)-300</v>
      </c>
      <c r="D103" s="535" t="str">
        <f t="shared" ref="D103:L103" si="23">D104&amp;"(含)"&amp;"-"&amp;E104</f>
        <v>300(含)-500</v>
      </c>
      <c r="E103" s="535" t="str">
        <f t="shared" si="23"/>
        <v>500(含)-1000</v>
      </c>
      <c r="F103" s="535" t="str">
        <f t="shared" si="23"/>
        <v>1000(含)-1500</v>
      </c>
      <c r="G103" s="535" t="str">
        <f t="shared" si="23"/>
        <v>1500(含)-2000</v>
      </c>
      <c r="H103" s="535" t="str">
        <f t="shared" si="23"/>
        <v>2000(含)-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ht="15" thickTop="1">
      <c r="A104" s="550"/>
      <c r="B104" s="551"/>
      <c r="C104" s="511">
        <v>0</v>
      </c>
      <c r="D104" s="511">
        <v>300</v>
      </c>
      <c r="E104" s="511">
        <v>500</v>
      </c>
      <c r="F104" s="540">
        <v>1000</v>
      </c>
      <c r="G104" s="512">
        <v>1500</v>
      </c>
      <c r="H104" s="512">
        <v>2000</v>
      </c>
      <c r="I104" s="512"/>
      <c r="J104" s="512"/>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99</v>
      </c>
      <c r="D105" s="517">
        <v>100</v>
      </c>
      <c r="E105" s="517">
        <v>99</v>
      </c>
      <c r="F105" s="517">
        <v>98</v>
      </c>
      <c r="G105" s="517">
        <v>97</v>
      </c>
      <c r="H105" s="517">
        <v>96</v>
      </c>
      <c r="I105" s="517"/>
      <c r="J105" s="517"/>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3601" t="s">
        <v>3233</v>
      </c>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3601" t="s">
        <v>3235</v>
      </c>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3601" t="s">
        <v>3237</v>
      </c>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3601" t="s">
        <v>3239</v>
      </c>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t="s">
        <v>3240</v>
      </c>
      <c r="D117" s="511" t="s">
        <v>3241</v>
      </c>
      <c r="E117" s="511" t="s">
        <v>3242</v>
      </c>
      <c r="F117" s="511" t="s">
        <v>3243</v>
      </c>
      <c r="G117" s="511" t="s">
        <v>3244</v>
      </c>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3601" t="s">
        <v>3235</v>
      </c>
      <c r="D123" s="3601" t="s">
        <v>3262</v>
      </c>
      <c r="E123" s="3601" t="s">
        <v>3264</v>
      </c>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北京市房地产抵押价值预评估</v>
      </c>
      <c r="C37" s="3241"/>
      <c r="D37" s="3241"/>
      <c r="E37" s="3241"/>
      <c r="F37" s="3241"/>
      <c r="G37" s="3241"/>
      <c r="H37" s="3241"/>
      <c r="I37" s="3241"/>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4"/>
      <c r="C1" s="204"/>
      <c r="D1" s="204"/>
      <c r="E1" s="204"/>
      <c r="F1" s="204"/>
      <c r="G1" s="1240">
        <f>MATCH(B1,'数据-取费表'!A6:A16,0)+5</f>
        <v>8</v>
      </c>
    </row>
    <row r="2" spans="1:9" s="206" customFormat="1" ht="18" customHeight="1">
      <c r="A2" s="207" t="s">
        <v>1906</v>
      </c>
      <c r="B2" s="208">
        <f ca="1">IF(D2="——",C52,C52-E2)</f>
        <v>80873</v>
      </c>
      <c r="C2" s="205" t="s">
        <v>1907</v>
      </c>
      <c r="D2" s="1989" t="s">
        <v>70</v>
      </c>
      <c r="E2" s="1283"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32525</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55539</v>
      </c>
      <c r="D5" s="217" t="s">
        <v>1913</v>
      </c>
      <c r="E5" s="218" t="s">
        <v>1914</v>
      </c>
      <c r="F5" s="218" t="s">
        <v>1915</v>
      </c>
      <c r="G5" s="219"/>
    </row>
    <row r="6" spans="1:9" s="220" customFormat="1" ht="13.5" customHeight="1">
      <c r="A6" s="867" t="s">
        <v>1916</v>
      </c>
      <c r="B6" s="221" t="s">
        <v>1917</v>
      </c>
      <c r="C6" s="222">
        <f>[2]基准地价修正!$B$2</f>
        <v>53413</v>
      </c>
      <c r="D6" s="223"/>
      <c r="E6" s="224"/>
      <c r="F6" s="224"/>
      <c r="G6" s="225"/>
    </row>
    <row r="7" spans="1:9" s="220" customFormat="1" ht="13.5" customHeight="1">
      <c r="A7" s="867" t="s">
        <v>1918</v>
      </c>
      <c r="B7" s="221" t="s">
        <v>1919</v>
      </c>
      <c r="C7" s="226">
        <f>ROUND(C6*F7,0)</f>
        <v>1629</v>
      </c>
      <c r="D7" s="226"/>
      <c r="E7" s="224"/>
      <c r="F7" s="227">
        <f>IF(项目基本情况!B8="出让",0,'数据-取费表'!B48+'数据-取费表'!B49)</f>
        <v>3.0499999999999999E-2</v>
      </c>
      <c r="G7" s="225"/>
    </row>
    <row r="8" spans="1:9" s="229" customFormat="1">
      <c r="A8" s="867" t="s">
        <v>1920</v>
      </c>
      <c r="B8" s="221" t="s">
        <v>1921</v>
      </c>
      <c r="C8" s="226">
        <f>IF(G8="已包含在土地购买价格中","0",IF(B1="",'数据-取费表'!B29,IF(G9="全部缴纳",C9+C10,H9)))</f>
        <v>497</v>
      </c>
      <c r="D8" s="228"/>
      <c r="E8" s="226"/>
      <c r="F8" s="227"/>
      <c r="G8" s="1992"/>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0</v>
      </c>
      <c r="F9" s="227"/>
      <c r="G9" s="1993"/>
      <c r="H9" s="1251"/>
      <c r="I9" s="1994" t="s">
        <v>1923</v>
      </c>
    </row>
    <row r="10" spans="1:9" s="220" customFormat="1" ht="13.5" customHeight="1">
      <c r="A10" s="868" t="s">
        <v>620</v>
      </c>
      <c r="B10" s="230" t="s">
        <v>1924</v>
      </c>
      <c r="C10" s="231">
        <f ca="1">ROUND(D10*E10/10000,0)</f>
        <v>497</v>
      </c>
      <c r="D10" s="935">
        <f ca="1">IF(B1="",'数据-汇总表'!E6,IF(INDIRECT("'数据-取费表'!c"&amp;$G$1)="住宅",INDIRECT("'数据-取费表'!s"&amp;$G$1),INDIRECT("'数据-取费表'!k"&amp;$G$1)+INDIRECT("'数据-取费表'!s"&amp;$G$1)))</f>
        <v>24865.040000000005</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f ca="1">IF(G19="已包含在土地取得成本中","0",ROUND(D19*E19/10000,0))</f>
        <v>497</v>
      </c>
      <c r="D19" s="939">
        <f ca="1">D9+D10</f>
        <v>24865.040000000005</v>
      </c>
      <c r="E19" s="217">
        <f>'数据-取费表'!B31</f>
        <v>200</v>
      </c>
      <c r="F19" s="237"/>
      <c r="G19" s="1992"/>
    </row>
    <row r="20" spans="1:7" s="220" customFormat="1" ht="13.5" customHeight="1">
      <c r="A20" s="261" t="s">
        <v>1937</v>
      </c>
      <c r="B20" s="216" t="s">
        <v>1938</v>
      </c>
      <c r="C20" s="238">
        <f ca="1">ROUND((C5+C19)*F20,0)</f>
        <v>1121</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6">
        <f ca="1">ROUND(SUM(C23:C25),0)</f>
        <v>4794</v>
      </c>
      <c r="D22" s="241">
        <f ca="1">C26</f>
        <v>8.0000000000000004E-4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7">
        <f ca="1">ROUND(IF('数据-取费表'!B22&lt;=1,C5*F22*'数据-取费表'!B23,C5*(POWER((1+F22),'数据-取费表'!B23)-1)),0)</f>
        <v>4705</v>
      </c>
      <c r="D23" s="244"/>
      <c r="E23" s="244"/>
      <c r="F23" s="245"/>
      <c r="G23" s="246" t="s">
        <v>1948</v>
      </c>
    </row>
    <row r="24" spans="1:7" s="220" customFormat="1" ht="13.5" customHeight="1">
      <c r="A24" s="869" t="s">
        <v>1949</v>
      </c>
      <c r="B24" s="221" t="s">
        <v>1950</v>
      </c>
      <c r="C24" s="1217">
        <f ca="1">ROUND(IF('数据-取费表'!B22&lt;=1,C19*F22*('数据-取费表'!B19/2+'数据-取费表'!B21),C19*(POWER((1+F22),('数据-取费表'!B19/2+'数据-取费表'!B21))-1)),0)</f>
        <v>42</v>
      </c>
      <c r="D24" s="244"/>
      <c r="E24" s="244"/>
      <c r="F24" s="245"/>
      <c r="G24" s="246" t="s">
        <v>1951</v>
      </c>
    </row>
    <row r="25" spans="1:7" s="220" customFormat="1" ht="24">
      <c r="A25" s="869" t="s">
        <v>1952</v>
      </c>
      <c r="B25" s="221" t="s">
        <v>1953</v>
      </c>
      <c r="C25" s="1217">
        <f ca="1">ROUND(IF('数据-取费表'!B22&lt;=1,C20*F22*'数据-取费表'!B23/2,C20*(POWER((1+F22),'数据-取费表'!B23/2)-1)),0)</f>
        <v>47</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11431</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11431</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79599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1205</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678</v>
      </c>
      <c r="D34" s="223"/>
      <c r="E34" s="226"/>
      <c r="F34" s="263">
        <f ca="1">IF('数据-取费表'!B24=0,1,IF(B1="",'数据-取费表'!N16,INDIRECT("'数据-取费表'!n"&amp;$G$1)))</f>
        <v>1</v>
      </c>
      <c r="G34" s="225" t="s">
        <v>1970</v>
      </c>
    </row>
    <row r="35" spans="1:7" ht="13.5" customHeight="1">
      <c r="A35" s="869" t="s">
        <v>615</v>
      </c>
      <c r="B35" s="221" t="s">
        <v>1971</v>
      </c>
      <c r="C35" s="226">
        <f ca="1">ROUND(C34*F35,0)</f>
        <v>20</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497</v>
      </c>
      <c r="D37" s="223">
        <f ca="1">D19</f>
        <v>24865.040000000005</v>
      </c>
      <c r="E37" s="255">
        <f>'数据-取费表'!B35</f>
        <v>200</v>
      </c>
      <c r="F37" s="265"/>
      <c r="G37" s="267" t="s">
        <v>1976</v>
      </c>
    </row>
    <row r="38" spans="1:7" ht="13.5" customHeight="1">
      <c r="A38" s="869" t="s">
        <v>618</v>
      </c>
      <c r="B38" s="221" t="s">
        <v>1977</v>
      </c>
      <c r="C38" s="226">
        <f ca="1">ROUND(C34*F38,0)</f>
        <v>10</v>
      </c>
      <c r="D38" s="226"/>
      <c r="E38" s="226"/>
      <c r="F38" s="265">
        <f>'数据-取费表'!B36</f>
        <v>1.4999999999999999E-2</v>
      </c>
      <c r="G38" s="225" t="s">
        <v>1972</v>
      </c>
    </row>
    <row r="39" spans="1:7" s="220" customFormat="1" ht="13.5" customHeight="1">
      <c r="A39" s="261" t="s">
        <v>1978</v>
      </c>
      <c r="B39" s="216" t="s">
        <v>1979</v>
      </c>
      <c r="C39" s="238">
        <f ca="1">ROUND(C33*F20,0)</f>
        <v>24</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51</v>
      </c>
      <c r="D41" s="241">
        <f ca="1">C44</f>
        <v>8.0000000000000004E-4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50</v>
      </c>
      <c r="D42" s="244"/>
      <c r="E42" s="244"/>
      <c r="F42" s="245"/>
      <c r="G42" s="3430" t="s">
        <v>1988</v>
      </c>
    </row>
    <row r="43" spans="1:7" ht="13.5" customHeight="1">
      <c r="A43" s="869" t="s">
        <v>611</v>
      </c>
      <c r="B43" s="221" t="s">
        <v>1989</v>
      </c>
      <c r="C43" s="244">
        <f ca="1">ROUND(IF('数据-取费表'!B22&lt;=1,C39*F22*'数据-取费表'!B21/2,C39*(POWER((1+F22),'数据-取费表'!B21/2)-1)),0)</f>
        <v>1</v>
      </c>
      <c r="D43" s="244"/>
      <c r="E43" s="244"/>
      <c r="F43" s="245"/>
      <c r="G43" s="3431"/>
    </row>
    <row r="44" spans="1:7" ht="13.5" customHeight="1">
      <c r="A44" s="869" t="s">
        <v>612</v>
      </c>
      <c r="B44" s="221" t="s">
        <v>1990</v>
      </c>
      <c r="C44" s="244">
        <f ca="1">ROUND(IF('数据-取费表'!B22&lt;=1,C40*F22*'数据-取费表'!B21/2,C40*(POWER((1+F22),'数据-取费表'!B21/2)-1)),4)</f>
        <v>8.0000000000000004E-4</v>
      </c>
      <c r="D44" s="244"/>
      <c r="E44" s="244"/>
      <c r="F44" s="245"/>
      <c r="G44" s="3432"/>
    </row>
    <row r="45" spans="1:7" s="220" customFormat="1" ht="13.5" customHeight="1">
      <c r="A45" s="261" t="s">
        <v>1991</v>
      </c>
      <c r="B45" s="250" t="s">
        <v>1957</v>
      </c>
      <c r="C45" s="251">
        <f ca="1">C46</f>
        <v>246</v>
      </c>
      <c r="D45" s="241">
        <f ca="1">C47</f>
        <v>4.0000000000000001E-3</v>
      </c>
      <c r="E45" s="242" t="s">
        <v>1983</v>
      </c>
      <c r="F45" s="2487">
        <f ca="1">F27</f>
        <v>0.2</v>
      </c>
      <c r="G45" s="253" t="s">
        <v>1992</v>
      </c>
    </row>
    <row r="46" spans="1:7" s="220" customFormat="1" ht="13.5" customHeight="1">
      <c r="A46" s="869" t="s">
        <v>610</v>
      </c>
      <c r="B46" s="254" t="s">
        <v>1993</v>
      </c>
      <c r="C46" s="255">
        <f ca="1">ROUND((C33+C39)*F27,0)</f>
        <v>246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7">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1655</v>
      </c>
      <c r="D49" s="238"/>
      <c r="E49" s="238"/>
      <c r="F49" s="270"/>
      <c r="G49" s="240" t="s">
        <v>1998</v>
      </c>
    </row>
    <row r="50" spans="1:7" s="264" customFormat="1" ht="24">
      <c r="A50" s="261" t="s">
        <v>1999</v>
      </c>
      <c r="B50" s="216" t="s">
        <v>2000</v>
      </c>
      <c r="C50" s="238"/>
      <c r="D50" s="238"/>
      <c r="E50" s="238"/>
      <c r="F50" s="270">
        <f>IF('数据-取费表'!B24=0,'数据-取费表'!N16,1)</f>
        <v>0.77</v>
      </c>
      <c r="G50" s="253" t="s">
        <v>2001</v>
      </c>
    </row>
    <row r="51" spans="1:7" ht="16.5" customHeight="1">
      <c r="A51" s="261" t="s">
        <v>2002</v>
      </c>
      <c r="B51" s="216" t="s">
        <v>2003</v>
      </c>
      <c r="C51" s="238">
        <f ca="1">ROUND(C49*F50,0)</f>
        <v>1274</v>
      </c>
      <c r="D51" s="238"/>
      <c r="E51" s="238"/>
      <c r="F51" s="270"/>
      <c r="G51" s="240" t="s">
        <v>2004</v>
      </c>
    </row>
    <row r="52" spans="1:7" s="214" customFormat="1" ht="16.5" thickBot="1">
      <c r="A52" s="271" t="s">
        <v>2005</v>
      </c>
      <c r="B52" s="272"/>
      <c r="C52" s="273">
        <f ca="1">C31+C51</f>
        <v>80873</v>
      </c>
      <c r="D52" s="272"/>
      <c r="E52" s="272"/>
      <c r="F52" s="272"/>
      <c r="G52" s="274"/>
    </row>
    <row r="55" spans="1:7" ht="15">
      <c r="B55" s="276" t="s">
        <v>2006</v>
      </c>
      <c r="C55" s="277"/>
    </row>
    <row r="56" spans="1:7">
      <c r="B56" s="279" t="s">
        <v>1237</v>
      </c>
      <c r="C56" s="281">
        <f ca="1">1-C57</f>
        <v>0.98399999999999999</v>
      </c>
    </row>
    <row r="57" spans="1:7">
      <c r="B57" s="279" t="s">
        <v>1238</v>
      </c>
      <c r="C57" s="280">
        <f ca="1">ROUND(C51/C52,3)</f>
        <v>1.6E-2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4"/>
      <c r="C1" s="1995" t="s">
        <v>2007</v>
      </c>
      <c r="D1" s="204"/>
      <c r="E1" s="204"/>
      <c r="F1" s="204"/>
      <c r="G1" s="1240">
        <f>MATCH(B1,'数据-取费表'!A6:A16,0)+5</f>
        <v>8</v>
      </c>
      <c r="H1" s="1172" t="str">
        <f>IF(ISERROR(FIND("住宅",B1)),"非住宅","住宅")</f>
        <v>非住宅</v>
      </c>
    </row>
    <row r="2" spans="1:8" s="206" customFormat="1" ht="18" customHeight="1">
      <c r="A2" s="207" t="s">
        <v>1906</v>
      </c>
      <c r="B2" s="208">
        <f ca="1">ROUND(IF(D2="——",C52/10000,C52/10000-E2),0)</f>
        <v>2688</v>
      </c>
      <c r="C2" s="205" t="s">
        <v>1907</v>
      </c>
      <c r="D2" s="1989" t="s">
        <v>70</v>
      </c>
      <c r="E2" s="1283"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1081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4973008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4973008</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1924</v>
      </c>
      <c r="C10" s="231">
        <f ca="1">ROUND(D10*E10,0)</f>
        <v>4973008</v>
      </c>
      <c r="D10" s="935">
        <f ca="1">IF(B1="",'数据-汇总表'!E6,IF(INDIRECT("'数据-取费表'!c"&amp;$G$1)="住宅",INDIRECT("'数据-取费表'!s"&amp;$G$1),INDIRECT("'数据-取费表'!k"&amp;$G$1)+INDIRECT("'数据-取费表'!s"&amp;$G$1)))</f>
        <v>24865.040000000005</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4973008</v>
      </c>
      <c r="D19" s="939">
        <f ca="1">D9+D10</f>
        <v>24865.040000000005</v>
      </c>
      <c r="E19" s="217">
        <f>'数据-取费表'!B31</f>
        <v>200</v>
      </c>
      <c r="F19" s="237"/>
      <c r="G19" s="1992"/>
    </row>
    <row r="20" spans="1:7" s="220" customFormat="1" ht="13.5" customHeight="1">
      <c r="A20" s="261" t="s">
        <v>2018</v>
      </c>
      <c r="B20" s="216" t="s">
        <v>2019</v>
      </c>
      <c r="C20" s="238">
        <f ca="1">ROUND((C5+C19)*F20,0)</f>
        <v>198920</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1">
        <f ca="1">ROUND(SUM(C23:C25),0)</f>
        <v>850903</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2">
        <f ca="1">ROUND(IF('数据-取费表'!B22&lt;=1,C5*F22*'数据-取费表'!B22,C5*(POWER((1+F22),'数据-取费表'!B22)-1)),0)</f>
        <v>421324</v>
      </c>
      <c r="D23" s="244"/>
      <c r="E23" s="244"/>
      <c r="F23" s="245"/>
      <c r="G23" s="246" t="s">
        <v>2028</v>
      </c>
    </row>
    <row r="24" spans="1:7" s="220" customFormat="1" ht="13.5" customHeight="1">
      <c r="A24" s="869" t="s">
        <v>1918</v>
      </c>
      <c r="B24" s="221" t="s">
        <v>2029</v>
      </c>
      <c r="C24" s="1242">
        <f ca="1">ROUND(IF('数据-取费表'!B22&lt;=1,C19*F22*('数据-取费表'!B19/2+'数据-取费表'!B20),C19*(POWER((1+F22),('数据-取费表'!B19/2+'数据-取费表'!B20))-1)),0)</f>
        <v>421324</v>
      </c>
      <c r="D24" s="244"/>
      <c r="E24" s="244"/>
      <c r="F24" s="245"/>
      <c r="G24" s="246" t="s">
        <v>2030</v>
      </c>
    </row>
    <row r="25" spans="1:7" s="220" customFormat="1" ht="24">
      <c r="A25" s="869" t="s">
        <v>1920</v>
      </c>
      <c r="B25" s="221" t="s">
        <v>2031</v>
      </c>
      <c r="C25" s="1242">
        <f ca="1">ROUND(IF('数据-取费表'!B22&lt;=1,C20*F22*'数据-取费表'!B22/2,C20*(POWER((1+F22),'数据-取费表'!B22/2)-1)),0)</f>
        <v>8255</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2028987</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2028987</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14128242</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12057418</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6779340</v>
      </c>
      <c r="D34" s="223"/>
      <c r="E34" s="226"/>
      <c r="F34" s="263"/>
      <c r="G34" s="225"/>
    </row>
    <row r="35" spans="1:7" ht="13.5" customHeight="1">
      <c r="A35" s="869" t="s">
        <v>615</v>
      </c>
      <c r="B35" s="221" t="s">
        <v>1971</v>
      </c>
      <c r="C35" s="226">
        <f ca="1">ROUND(C34*F35,0)</f>
        <v>203380</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4973008</v>
      </c>
      <c r="D37" s="223">
        <f ca="1">D19</f>
        <v>24865.040000000005</v>
      </c>
      <c r="E37" s="255">
        <f>'数据-取费表'!B35</f>
        <v>200</v>
      </c>
      <c r="F37" s="265"/>
      <c r="G37" s="267"/>
    </row>
    <row r="38" spans="1:7" ht="13.5" customHeight="1">
      <c r="A38" s="869" t="s">
        <v>618</v>
      </c>
      <c r="B38" s="221" t="s">
        <v>1977</v>
      </c>
      <c r="C38" s="226">
        <f ca="1">ROUND(C34*F38,0)</f>
        <v>101690</v>
      </c>
      <c r="D38" s="226"/>
      <c r="E38" s="226"/>
      <c r="F38" s="265">
        <f>'数据-取费表'!B36</f>
        <v>1.4999999999999999E-2</v>
      </c>
      <c r="G38" s="225" t="s">
        <v>1972</v>
      </c>
    </row>
    <row r="39" spans="1:7" s="220" customFormat="1" ht="13.5" customHeight="1">
      <c r="A39" s="261" t="s">
        <v>1978</v>
      </c>
      <c r="B39" s="216" t="s">
        <v>1979</v>
      </c>
      <c r="C39" s="238">
        <f ca="1">ROUND(C33*F20,0)</f>
        <v>241148</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510391</v>
      </c>
      <c r="D41" s="241">
        <f ca="1">C44</f>
        <v>8.0000000000000004E-4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500383</v>
      </c>
      <c r="D42" s="244"/>
      <c r="E42" s="244"/>
      <c r="F42" s="245"/>
      <c r="G42" s="3430" t="s">
        <v>2035</v>
      </c>
    </row>
    <row r="43" spans="1:7" ht="13.5" customHeight="1">
      <c r="A43" s="869" t="s">
        <v>611</v>
      </c>
      <c r="B43" s="221" t="s">
        <v>1989</v>
      </c>
      <c r="C43" s="244">
        <f ca="1">ROUND(IF('数据-取费表'!B22&lt;=1,C39*F22*'数据-取费表'!B20/2,C39*(POWER((1+F22),'数据-取费表'!B20/2)-1)),0)</f>
        <v>10008</v>
      </c>
      <c r="D43" s="244"/>
      <c r="E43" s="244"/>
      <c r="F43" s="245"/>
      <c r="G43" s="3431"/>
    </row>
    <row r="44" spans="1:7" ht="13.5" customHeight="1">
      <c r="A44" s="869" t="s">
        <v>612</v>
      </c>
      <c r="B44" s="221" t="s">
        <v>1990</v>
      </c>
      <c r="C44" s="244">
        <f ca="1">ROUND(IF('数据-取费表'!B22&lt;=1,C40*F22*'数据-取费表'!B20/2,C40*(POWER((1+F22),'数据-取费表'!B20/2)-1)),4)</f>
        <v>8.0000000000000004E-4</v>
      </c>
      <c r="D44" s="244"/>
      <c r="E44" s="244"/>
      <c r="F44" s="245"/>
      <c r="G44" s="3432"/>
    </row>
    <row r="45" spans="1:7" s="220" customFormat="1" ht="13.5" customHeight="1">
      <c r="A45" s="261" t="s">
        <v>1991</v>
      </c>
      <c r="B45" s="250" t="s">
        <v>1957</v>
      </c>
      <c r="C45" s="251">
        <f ca="1">C46</f>
        <v>2459713</v>
      </c>
      <c r="D45" s="241">
        <f ca="1">C47</f>
        <v>4.0000000000000001E-3</v>
      </c>
      <c r="E45" s="242" t="s">
        <v>1983</v>
      </c>
      <c r="F45" s="2487">
        <f ca="1">F27</f>
        <v>0.2</v>
      </c>
      <c r="G45" s="253" t="s">
        <v>1992</v>
      </c>
    </row>
    <row r="46" spans="1:7" s="220" customFormat="1" ht="13.5" customHeight="1">
      <c r="A46" s="869" t="s">
        <v>610</v>
      </c>
      <c r="B46" s="254" t="s">
        <v>1993</v>
      </c>
      <c r="C46" s="255">
        <f ca="1">ROUND((C33+C39)*F27,0)</f>
        <v>2459713</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16562176</v>
      </c>
      <c r="D49" s="238"/>
      <c r="E49" s="238"/>
      <c r="F49" s="270"/>
      <c r="G49" s="240" t="s">
        <v>1998</v>
      </c>
    </row>
    <row r="50" spans="1:7" s="264" customFormat="1">
      <c r="A50" s="261" t="s">
        <v>1999</v>
      </c>
      <c r="B50" s="216" t="s">
        <v>2000</v>
      </c>
      <c r="C50" s="238"/>
      <c r="D50" s="238"/>
      <c r="E50" s="238"/>
      <c r="F50" s="270">
        <f>IF('数据-取费表'!B24=0,'数据-取费表'!N16,1)</f>
        <v>0.77</v>
      </c>
      <c r="G50" s="253"/>
    </row>
    <row r="51" spans="1:7" ht="16.5" customHeight="1">
      <c r="A51" s="261" t="s">
        <v>2002</v>
      </c>
      <c r="B51" s="216" t="s">
        <v>2037</v>
      </c>
      <c r="C51" s="238">
        <f ca="1">ROUND(C49*F50,0)</f>
        <v>12752876</v>
      </c>
      <c r="D51" s="238"/>
      <c r="E51" s="238"/>
      <c r="F51" s="270"/>
      <c r="G51" s="240" t="s">
        <v>2004</v>
      </c>
    </row>
    <row r="52" spans="1:7" s="214" customFormat="1" ht="16.5" thickBot="1">
      <c r="A52" s="271" t="s">
        <v>2005</v>
      </c>
      <c r="B52" s="272"/>
      <c r="C52" s="273">
        <f ca="1">C31+C51</f>
        <v>26881118</v>
      </c>
      <c r="D52" s="272"/>
      <c r="E52" s="272"/>
      <c r="F52" s="272"/>
      <c r="G52" s="274"/>
    </row>
    <row r="55" spans="1:7" ht="15">
      <c r="B55" s="276" t="s">
        <v>2006</v>
      </c>
      <c r="C55" s="277"/>
    </row>
    <row r="56" spans="1:7">
      <c r="B56" s="279" t="s">
        <v>1237</v>
      </c>
      <c r="C56" s="281">
        <f ca="1">1-C57</f>
        <v>0.52600000000000002</v>
      </c>
    </row>
    <row r="57" spans="1:7">
      <c r="B57" s="279" t="s">
        <v>1238</v>
      </c>
      <c r="C57" s="280">
        <f ca="1">ROUND(C51/C52,3)</f>
        <v>0.47399999999999998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5"/>
      <c r="C1" s="1306"/>
      <c r="D1" s="1304"/>
      <c r="E1" s="2986"/>
      <c r="F1" s="2986"/>
      <c r="G1" s="2849"/>
      <c r="H1" s="2986"/>
      <c r="I1" s="2986"/>
      <c r="J1" s="2986"/>
      <c r="K1" s="2987">
        <f>MATCH(C1,'数据-取费表'!A6:A16,0)+5</f>
        <v>8</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24865.040000000005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24865.040000000005</v>
      </c>
      <c r="E17" s="24">
        <f>'数据-取费表'!B32</f>
        <v>0</v>
      </c>
      <c r="F17" s="896"/>
      <c r="G17" s="136" t="s">
        <v>2070</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1"/>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2074</v>
      </c>
      <c r="C20" s="24">
        <f ca="1">ROUND(D20*E20/10000,0)</f>
        <v>497</v>
      </c>
      <c r="D20" s="936">
        <f ca="1">IF(C1="",'数据-汇总表'!E6,IF(INDIRECT("'数据-取费表'!c"&amp;$K$1)="住宅",INDIRECT("'数据-取费表'!s"&amp;$K$1),INDIRECT("'数据-取费表'!k"&amp;$K$1)+INDIRECT("'数据-取费表'!s"&amp;$K$1)))</f>
        <v>24865.040000000005</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70</v>
      </c>
      <c r="E1" s="1497" t="s">
        <v>1111</v>
      </c>
      <c r="F1" s="1173">
        <f ca="1">J53</f>
        <v>28.71</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9416</v>
      </c>
      <c r="C2" s="1521" t="s">
        <v>1240</v>
      </c>
      <c r="D2" s="1521"/>
      <c r="E2" s="1522"/>
      <c r="F2" s="1523"/>
      <c r="G2" s="2884"/>
      <c r="H2" s="2873"/>
      <c r="I2" s="2873"/>
      <c r="J2" s="2873"/>
      <c r="K2" s="2874"/>
      <c r="L2" s="2873"/>
      <c r="M2" s="2873"/>
    </row>
    <row r="3" spans="1:37" ht="18" customHeight="1" thickBot="1">
      <c r="A3" s="1524" t="s">
        <v>1241</v>
      </c>
      <c r="B3" s="1525">
        <f ca="1">IF(ISERROR(B2*10000/F43),0,ROUND(B2*10000/F43,0))</f>
        <v>62502</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595</v>
      </c>
      <c r="D5" s="1498" t="s">
        <v>1126</v>
      </c>
      <c r="E5" s="1183"/>
      <c r="F5" s="1184"/>
      <c r="G5" s="1518"/>
      <c r="H5" s="305">
        <v>1</v>
      </c>
      <c r="I5" s="306" t="s">
        <v>1125</v>
      </c>
      <c r="J5" s="1182">
        <f ca="1">J6+J10+J12</f>
        <v>0</v>
      </c>
      <c r="K5" s="1498" t="s">
        <v>1126</v>
      </c>
      <c r="L5" s="1183"/>
      <c r="M5" s="1184"/>
    </row>
    <row r="6" spans="1:37" ht="18" customHeight="1">
      <c r="A6" s="1181" t="s">
        <v>822</v>
      </c>
      <c r="B6" s="3435" t="s">
        <v>1127</v>
      </c>
      <c r="C6" s="1186">
        <f ca="1">ROUND(F6*F8*F7*(1-F9)/10000,0)</f>
        <v>594</v>
      </c>
      <c r="D6" s="160" t="s">
        <v>2607</v>
      </c>
      <c r="E6" s="308" t="s">
        <v>1129</v>
      </c>
      <c r="F6" s="309">
        <f ca="1">INDIRECT("'数据-取费表'!u"&amp;$G$1)</f>
        <v>12</v>
      </c>
      <c r="G6" s="1518"/>
      <c r="H6" s="1181" t="s">
        <v>822</v>
      </c>
      <c r="I6" s="3435" t="s">
        <v>1127</v>
      </c>
      <c r="J6" s="307">
        <f ca="1">ROUND(M6*M8*M7*(1-M9)/10000,0)</f>
        <v>0</v>
      </c>
      <c r="K6" s="160" t="s">
        <v>2606</v>
      </c>
      <c r="L6" s="308" t="s">
        <v>1129</v>
      </c>
      <c r="M6" s="309">
        <f ca="1">INDIRECT("'数据-取费表'!z"&amp;$G$1)</f>
        <v>0</v>
      </c>
    </row>
    <row r="7" spans="1:37" ht="18" customHeight="1">
      <c r="A7" s="1185"/>
      <c r="B7" s="3436"/>
      <c r="C7" s="1187"/>
      <c r="D7" s="313"/>
      <c r="E7" s="3233" t="s">
        <v>1130</v>
      </c>
      <c r="F7" s="309">
        <f ca="1">IF(INDIRECT("'数据-取费表'!ah"&amp;$G$1)="",INDIRECT("'数据-取费表'!k"&amp;$G$1),INDIRECT("'数据-取费表'!ah"&amp;$G$1))</f>
        <v>1506.52</v>
      </c>
      <c r="G7" s="1518"/>
      <c r="H7" s="310"/>
      <c r="I7" s="3436"/>
      <c r="J7" s="312"/>
      <c r="K7" s="313"/>
      <c r="L7" s="308" t="s">
        <v>1130</v>
      </c>
      <c r="M7" s="309">
        <f ca="1">F7</f>
        <v>1506.52</v>
      </c>
    </row>
    <row r="8" spans="1:37" ht="18" customHeight="1">
      <c r="A8" s="310"/>
      <c r="B8" s="3436"/>
      <c r="C8" s="312"/>
      <c r="D8" s="313"/>
      <c r="E8" s="308" t="s">
        <v>1131</v>
      </c>
      <c r="F8" s="309">
        <f ca="1">INDIRECT("'数据-取费表'!ai"&amp;$G$1)</f>
        <v>365</v>
      </c>
      <c r="G8" s="1518"/>
      <c r="H8" s="310"/>
      <c r="I8" s="3436"/>
      <c r="J8" s="312"/>
      <c r="K8" s="313"/>
      <c r="L8" s="308" t="s">
        <v>1131</v>
      </c>
      <c r="M8" s="309">
        <f ca="1">INDIRECT("'数据-取费表'!ai"&amp;$G$1)</f>
        <v>365</v>
      </c>
    </row>
    <row r="9" spans="1:37" ht="18" customHeight="1">
      <c r="A9" s="310"/>
      <c r="B9" s="3437"/>
      <c r="C9" s="312"/>
      <c r="D9" s="313"/>
      <c r="E9" s="308" t="s">
        <v>1132</v>
      </c>
      <c r="F9" s="318">
        <f ca="1">INDIRECT("'数据-取费表'!w"&amp;$G$1)</f>
        <v>0.1</v>
      </c>
      <c r="G9" s="1518"/>
      <c r="H9" s="310"/>
      <c r="I9" s="3437"/>
      <c r="J9" s="312"/>
      <c r="K9" s="313"/>
      <c r="L9" s="319" t="s">
        <v>1132</v>
      </c>
      <c r="M9" s="320">
        <f ca="1">INDIRECT("'数据-取费表'!ab"&amp;$G$1)</f>
        <v>0</v>
      </c>
    </row>
    <row r="10" spans="1:37" ht="18" customHeight="1">
      <c r="A10" s="1181" t="s">
        <v>826</v>
      </c>
      <c r="B10" s="1499" t="s">
        <v>1133</v>
      </c>
      <c r="C10" s="322">
        <f ca="1">ROUND(IF(F10="押一",C6/12*F11,IF(F10="押二",C6/12*2*F11,IF(F10="押三",C6/12*3*F11,C11*F11))),0)</f>
        <v>1</v>
      </c>
      <c r="D10" s="1500" t="s">
        <v>2614</v>
      </c>
      <c r="E10" s="319" t="s">
        <v>1134</v>
      </c>
      <c r="F10" s="1228" t="s">
        <v>3216</v>
      </c>
      <c r="G10" s="1518"/>
      <c r="H10" s="1181" t="s">
        <v>826</v>
      </c>
      <c r="I10" s="1499" t="s">
        <v>1133</v>
      </c>
      <c r="J10" s="307">
        <f ca="1">ROUND(IF(M10="押一",J6/12*M11,IF(M10="押二",J6/12*2*M11,IF(M10="押三",J6/12*3*M11,J11*M11))),0)</f>
        <v>0</v>
      </c>
      <c r="K10" s="1500" t="s">
        <v>2614</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782</v>
      </c>
      <c r="D13" s="3230" t="s">
        <v>1139</v>
      </c>
      <c r="E13" s="3230" t="s">
        <v>1140</v>
      </c>
      <c r="F13" s="1194">
        <f ca="1">INDIRECT("'数据-取费表'!y"&amp;$G$1)</f>
        <v>0.77</v>
      </c>
      <c r="G13" s="1518"/>
      <c r="H13" s="1191">
        <v>2</v>
      </c>
      <c r="I13" s="1192" t="s">
        <v>1138</v>
      </c>
      <c r="J13" s="1180">
        <f ca="1">ROUND(J14*J15,0)</f>
        <v>0</v>
      </c>
      <c r="K13" s="1199" t="s">
        <v>1139</v>
      </c>
      <c r="L13" s="1526"/>
      <c r="M13" s="1527"/>
    </row>
    <row r="14" spans="1:37" ht="18" customHeight="1">
      <c r="A14" s="1094" t="s">
        <v>821</v>
      </c>
      <c r="B14" s="308" t="s">
        <v>1141</v>
      </c>
      <c r="C14" s="324">
        <f ca="1">INDIRECT("'数据-取费表'!m"&amp;$G$1)+INDIRECT("'数据-取费表'!t"&amp;$G$1)</f>
        <v>678</v>
      </c>
      <c r="D14" s="3236" t="s">
        <v>1142</v>
      </c>
      <c r="E14" s="3235"/>
      <c r="F14" s="325"/>
      <c r="G14" s="1518"/>
      <c r="H14" s="1094" t="s">
        <v>822</v>
      </c>
      <c r="I14" s="308" t="s">
        <v>1143</v>
      </c>
      <c r="J14" s="24">
        <f ca="1">C29</f>
        <v>1015</v>
      </c>
      <c r="K14" s="3232"/>
      <c r="L14" s="897"/>
      <c r="M14" s="898"/>
    </row>
    <row r="15" spans="1:37" s="1531" customFormat="1" ht="18" customHeight="1" thickBot="1">
      <c r="A15" s="1094" t="s">
        <v>823</v>
      </c>
      <c r="B15" s="308" t="s">
        <v>1144</v>
      </c>
      <c r="C15" s="24">
        <f ca="1">ROUND(C14*F15,0)</f>
        <v>20</v>
      </c>
      <c r="D15" s="3231" t="s">
        <v>1145</v>
      </c>
      <c r="E15" s="3231"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24</v>
      </c>
      <c r="K16" s="1199" t="s">
        <v>1149</v>
      </c>
      <c r="L16" s="3238"/>
      <c r="M16" s="1184"/>
    </row>
    <row r="17" spans="1:37" s="1531" customFormat="1" ht="18" customHeight="1">
      <c r="A17" s="1094" t="s">
        <v>1114</v>
      </c>
      <c r="B17" s="308" t="s">
        <v>1150</v>
      </c>
      <c r="C17" s="24">
        <f ca="1">ROUND(F17*(F43+INDIRECT("'数据-取费表'!S"&amp;$G$1))/10000,0)</f>
        <v>30</v>
      </c>
      <c r="D17" s="308" t="s">
        <v>1151</v>
      </c>
      <c r="E17" s="308" t="s">
        <v>1152</v>
      </c>
      <c r="F17" s="26">
        <f>'数据-取费表'!B35</f>
        <v>200</v>
      </c>
      <c r="G17" s="1530"/>
      <c r="H17" s="1094" t="s">
        <v>822</v>
      </c>
      <c r="I17" s="308" t="s">
        <v>1153</v>
      </c>
      <c r="J17" s="2484">
        <f ca="1">ROUND(IF(AND(项目基本情况!B11="自然人",项目基本情况!B10="北京市"),J6*M17/(1+'数据-取费表'!C42),J18+J19+J20),0)</f>
        <v>9</v>
      </c>
      <c r="K17" s="3236"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10</v>
      </c>
      <c r="D18" s="308" t="s">
        <v>1145</v>
      </c>
      <c r="E18" s="308" t="s">
        <v>1146</v>
      </c>
      <c r="F18" s="328">
        <f>'数据-取费表'!B36</f>
        <v>1.4999999999999999E-2</v>
      </c>
      <c r="G18" s="1530"/>
      <c r="H18" s="1094" t="s">
        <v>821</v>
      </c>
      <c r="I18" s="308" t="s">
        <v>1157</v>
      </c>
      <c r="J18" s="24">
        <f ca="1">ROUND(J6*M18/(1+'数据-取费表'!C42),2)</f>
        <v>0</v>
      </c>
      <c r="K18" s="3237"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738</v>
      </c>
      <c r="D19" s="136" t="s">
        <v>1160</v>
      </c>
      <c r="E19" s="3240"/>
      <c r="F19" s="26"/>
      <c r="G19" s="1518"/>
      <c r="H19" s="1094" t="s">
        <v>823</v>
      </c>
      <c r="I19" s="308" t="s">
        <v>1161</v>
      </c>
      <c r="J19" s="24">
        <f ca="1">IF(K19="按租金收入计税",ROUND(J6*M19/(1+'数据-取费表'!C42),2),ROUND(C29*M19*0.7,2))</f>
        <v>8.5299999999999994</v>
      </c>
      <c r="K19" s="1504" t="s">
        <v>1162</v>
      </c>
      <c r="L19" s="308" t="s">
        <v>1146</v>
      </c>
      <c r="M19" s="328">
        <f>IF(K19="按租金收入计税",'数据-取费表'!B51,'数据-取费表'!B50)</f>
        <v>1.2E-2</v>
      </c>
    </row>
    <row r="20" spans="1:37" s="1531" customFormat="1" ht="18" customHeight="1">
      <c r="A20" s="1094" t="s">
        <v>826</v>
      </c>
      <c r="B20" s="308" t="s">
        <v>1163</v>
      </c>
      <c r="C20" s="24">
        <f ca="1">ROUND(C19*F20,0)</f>
        <v>15</v>
      </c>
      <c r="D20" s="329" t="s">
        <v>1164</v>
      </c>
      <c r="E20" s="308" t="s">
        <v>1146</v>
      </c>
      <c r="F20" s="328">
        <f>'数据-取费表'!B37</f>
        <v>0.02</v>
      </c>
      <c r="G20" s="1530"/>
      <c r="H20" s="1094" t="s">
        <v>1113</v>
      </c>
      <c r="I20" s="160" t="s">
        <v>1165</v>
      </c>
      <c r="J20" s="25">
        <f ca="1">ROUND(M20*M21/10000,2)</f>
        <v>0.28000000000000003</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115.1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0"/>
      <c r="F22" s="26"/>
      <c r="G22" s="1518"/>
      <c r="H22" s="1094" t="s">
        <v>826</v>
      </c>
      <c r="I22" s="308" t="s">
        <v>1173</v>
      </c>
      <c r="J22" s="24">
        <f ca="1">ROUND(J14*M22,1)</f>
        <v>15.2</v>
      </c>
      <c r="K22" s="3237"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32</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3237"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40"/>
      <c r="F25" s="26"/>
      <c r="G25" s="1518"/>
      <c r="H25" s="1191" t="s">
        <v>818</v>
      </c>
      <c r="I25" s="1206" t="s">
        <v>1187</v>
      </c>
      <c r="J25" s="316">
        <f ca="1">J5-J16</f>
        <v>-24</v>
      </c>
      <c r="K25" s="1207" t="s">
        <v>1188</v>
      </c>
      <c r="L25" s="1208"/>
      <c r="M25" s="1209"/>
    </row>
    <row r="26" spans="1:37">
      <c r="A26" s="1094" t="s">
        <v>821</v>
      </c>
      <c r="B26" s="308" t="s">
        <v>1189</v>
      </c>
      <c r="C26" s="24">
        <f ca="1">ROUND((C19+C20)*F26,0)</f>
        <v>151</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31"/>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1015</v>
      </c>
      <c r="D29" s="1204"/>
      <c r="E29" s="1202"/>
      <c r="F29" s="1205"/>
      <c r="G29" s="1530"/>
      <c r="H29" s="340" t="s">
        <v>820</v>
      </c>
      <c r="I29" s="341" t="s">
        <v>1203</v>
      </c>
      <c r="J29" s="342">
        <f ca="1">ROUND(J26/(1+F40)^F41,0)</f>
        <v>0</v>
      </c>
      <c r="K29" s="343" t="s">
        <v>1204</v>
      </c>
      <c r="L29" s="344"/>
      <c r="M29" s="345">
        <f ca="1">INDIRECT("'数据-取费表'!k"&amp;$G$1)</f>
        <v>1506.52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122</v>
      </c>
      <c r="D30" s="1199" t="s">
        <v>1149</v>
      </c>
      <c r="E30" s="3238"/>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100</v>
      </c>
      <c r="D31" s="3236" t="s">
        <v>1154</v>
      </c>
      <c r="E31" s="3237"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f ca="1">IF(项目基本情况!B11="自然人","——",ROUND(C6*F32/(1+'数据-取费表'!C42),2))</f>
        <v>31.68</v>
      </c>
      <c r="D32" s="3237"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67.89</v>
      </c>
      <c r="D33" s="1504" t="s">
        <v>3217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0.28000000000000003</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115.1</v>
      </c>
      <c r="G35" s="1518"/>
      <c r="H35" s="2875"/>
      <c r="I35" s="1532"/>
      <c r="J35" s="1533"/>
      <c r="K35" s="2879"/>
      <c r="L35" s="2878"/>
      <c r="M35" s="2878"/>
    </row>
    <row r="36" spans="1:18" ht="18" customHeight="1">
      <c r="A36" s="1214" t="s">
        <v>826</v>
      </c>
      <c r="B36" s="308" t="s">
        <v>1173</v>
      </c>
      <c r="C36" s="24">
        <f ca="1">ROUND(C29*F36,1)</f>
        <v>15.2</v>
      </c>
      <c r="D36" s="3237" t="s">
        <v>1206</v>
      </c>
      <c r="E36" s="308" t="s">
        <v>1146</v>
      </c>
      <c r="F36" s="334">
        <f ca="1">INDIRECT("'数据-取费表'!Ak"&amp;$G$1)</f>
        <v>1.4999999999999999E-2</v>
      </c>
      <c r="G36" s="1518"/>
      <c r="H36" s="2878"/>
      <c r="I36" s="1532"/>
      <c r="J36" s="1533"/>
      <c r="K36" s="2719"/>
      <c r="L36" s="2878"/>
      <c r="M36" s="2878"/>
    </row>
    <row r="37" spans="1:18" ht="18" customHeight="1">
      <c r="A37" s="1094" t="s">
        <v>862</v>
      </c>
      <c r="B37" s="308" t="s">
        <v>1177</v>
      </c>
      <c r="C37" s="24">
        <f ca="1">ROUND(C13*F37,1)</f>
        <v>1.2</v>
      </c>
      <c r="D37" s="3237" t="s">
        <v>1178</v>
      </c>
      <c r="E37" s="308" t="s">
        <v>1146</v>
      </c>
      <c r="F37" s="336">
        <f ca="1">INDIRECT("'数据-取费表'!Al"&amp;$G$1)</f>
        <v>1.5E-3</v>
      </c>
      <c r="G37" s="1518"/>
      <c r="H37" s="2878"/>
      <c r="I37" s="1532"/>
      <c r="J37" s="1533"/>
      <c r="K37" s="2719"/>
      <c r="L37" s="2878"/>
      <c r="M37" s="2878"/>
    </row>
    <row r="38" spans="1:18" ht="18" customHeight="1" thickBot="1">
      <c r="A38" s="1201" t="s">
        <v>1116</v>
      </c>
      <c r="B38" s="1202" t="s">
        <v>1163</v>
      </c>
      <c r="C38" s="1203">
        <f ca="1">ROUND(C5*F38,1)</f>
        <v>6</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6">
        <f ca="1">C5-C30</f>
        <v>473</v>
      </c>
      <c r="D39" s="1207" t="s">
        <v>1188</v>
      </c>
      <c r="E39" s="1208"/>
      <c r="F39" s="1209"/>
      <c r="G39" s="1518"/>
      <c r="H39" s="2878"/>
      <c r="I39" s="1532"/>
      <c r="J39" s="1533"/>
      <c r="K39" s="2882"/>
      <c r="L39" s="2878"/>
      <c r="M39" s="2878"/>
    </row>
    <row r="40" spans="1:18" ht="18" customHeight="1">
      <c r="A40" s="305" t="s">
        <v>819</v>
      </c>
      <c r="B40" s="306" t="s">
        <v>1209</v>
      </c>
      <c r="C40" s="307">
        <f ca="1">ROUND(C39*(1-((1+F42)/(1+F40))^F41)/(F40-F42),0)</f>
        <v>9416</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28.71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62502</v>
      </c>
      <c r="D43" s="343" t="s">
        <v>1212</v>
      </c>
      <c r="E43" s="344" t="s">
        <v>1213</v>
      </c>
      <c r="F43" s="345">
        <f ca="1">INDIRECT("'数据-取费表'!k"&amp;$G$1)</f>
        <v>1506.52</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-10872</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3218</v>
      </c>
      <c r="K47" s="1550" t="s">
        <v>1251</v>
      </c>
      <c r="L47" s="1551">
        <f ca="1">INDIRECT("'数据-取费表'!d"&amp;$G$1)</f>
        <v>50</v>
      </c>
      <c r="M47" s="1514" t="str">
        <f>IF(ISNUMBER(FIND("住宅",C1)),"住宅","非住宅")</f>
        <v>非住宅</v>
      </c>
      <c r="O47" s="1552" t="s">
        <v>827</v>
      </c>
      <c r="P47" s="1553" t="s">
        <v>1252</v>
      </c>
      <c r="Q47" s="1554">
        <f ca="1">C40+J29</f>
        <v>9416</v>
      </c>
      <c r="R47" s="1554" t="s">
        <v>1253</v>
      </c>
    </row>
    <row r="48" spans="1:18" s="1518" customFormat="1" ht="28.5" thickBot="1">
      <c r="A48" s="1222" t="s">
        <v>863</v>
      </c>
      <c r="B48" s="306" t="s">
        <v>1125</v>
      </c>
      <c r="C48" s="3239">
        <f ca="1">C49+C53+C55</f>
        <v>0</v>
      </c>
      <c r="D48" s="1224"/>
      <c r="E48" s="1225"/>
      <c r="F48" s="1074"/>
      <c r="G48" s="731"/>
      <c r="H48" s="732"/>
      <c r="I48" s="1555" t="s">
        <v>1254</v>
      </c>
      <c r="J48" s="1556" t="s">
        <v>3219</v>
      </c>
      <c r="K48" s="1557" t="s">
        <v>1255</v>
      </c>
      <c r="L48" s="1558">
        <f ca="1">INDIRECT("'数据-取费表'!f"&amp;$G$1)</f>
        <v>28.71</v>
      </c>
      <c r="O48" s="1552" t="s">
        <v>828</v>
      </c>
      <c r="P48" s="1553" t="s">
        <v>1256</v>
      </c>
      <c r="Q48" s="1554" t="str">
        <f ca="1">J60</f>
        <v>0</v>
      </c>
      <c r="R48" s="1554" t="s">
        <v>1257</v>
      </c>
    </row>
    <row r="49" spans="1:18" s="1518" customFormat="1" ht="13.5" thickBot="1">
      <c r="A49" s="1087" t="s">
        <v>864</v>
      </c>
      <c r="B49" s="1505" t="s">
        <v>1214</v>
      </c>
      <c r="C49" s="1226">
        <f ca="1">ROUND(F49*F51*F50*(1-F52)/10000,0)</f>
        <v>0</v>
      </c>
      <c r="D49" s="1166" t="s">
        <v>2606</v>
      </c>
      <c r="E49" s="1506" t="s">
        <v>1215</v>
      </c>
      <c r="F49" s="1171"/>
      <c r="G49" s="1559"/>
      <c r="H49" s="732"/>
      <c r="I49" s="1555" t="s">
        <v>1258</v>
      </c>
      <c r="J49" s="1560">
        <v>2008</v>
      </c>
      <c r="K49" s="1557" t="s">
        <v>1259</v>
      </c>
      <c r="L49" s="1561"/>
      <c r="O49" s="1562" t="s">
        <v>829</v>
      </c>
      <c r="P49" s="1553" t="s">
        <v>1260</v>
      </c>
      <c r="Q49" s="1554">
        <f ca="1">C29</f>
        <v>1015</v>
      </c>
      <c r="R49" s="1554" t="s">
        <v>1253</v>
      </c>
    </row>
    <row r="50" spans="1:18" s="1518" customFormat="1" ht="13.5" thickBot="1">
      <c r="A50" s="1088"/>
      <c r="B50" s="1091"/>
      <c r="C50" s="1230"/>
      <c r="D50" s="1065"/>
      <c r="E50" s="1167" t="s">
        <v>1130</v>
      </c>
      <c r="F50" s="1168">
        <f ca="1">F7</f>
        <v>1506.52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46</v>
      </c>
      <c r="K51" s="1568" t="s">
        <v>1265</v>
      </c>
      <c r="L51" s="1569">
        <f ca="1">ROUND(-PV(INDIRECT("'数据-取费表'!h"&amp;$G$1),J51,(C39-C13*C76),0),0)</f>
        <v>7269</v>
      </c>
      <c r="M51" s="1570"/>
      <c r="O51" s="1562" t="s">
        <v>831</v>
      </c>
      <c r="P51" s="1553" t="s">
        <v>1266</v>
      </c>
      <c r="Q51" s="1565">
        <f>J52</f>
        <v>8.5000000000000006E-2</v>
      </c>
      <c r="R51" s="1554"/>
    </row>
    <row r="52" spans="1:18" s="1518" customFormat="1" ht="13.5" thickBot="1">
      <c r="A52" s="1089"/>
      <c r="B52" s="1091"/>
      <c r="C52" s="1092"/>
      <c r="D52" s="1065"/>
      <c r="E52" s="1093" t="s">
        <v>1132</v>
      </c>
      <c r="F52" s="1165"/>
      <c r="I52" s="1571" t="s">
        <v>1267</v>
      </c>
      <c r="J52" s="1572">
        <v>8.5000000000000006E-2</v>
      </c>
      <c r="K52" s="1571" t="s">
        <v>1268</v>
      </c>
      <c r="L52" s="1572"/>
      <c r="O52" s="1562" t="s">
        <v>832</v>
      </c>
      <c r="P52" s="1553" t="s">
        <v>1269</v>
      </c>
      <c r="Q52" s="1554">
        <f ca="1">J53</f>
        <v>28.71</v>
      </c>
      <c r="R52" s="1554" t="s">
        <v>1270</v>
      </c>
    </row>
    <row r="53" spans="1:18" s="1518" customFormat="1" ht="24.75" thickBot="1">
      <c r="A53" s="1266" t="s">
        <v>865</v>
      </c>
      <c r="B53" s="1507" t="s">
        <v>1133</v>
      </c>
      <c r="C53" s="322">
        <f ca="1">ROUND(IF(F53="押一",C49/12*F11,IF(F53="押二",C49/12*2*F11,IF(F53="押三",C49/12*3*F11,C54*F11))),0)</f>
        <v>0</v>
      </c>
      <c r="D53" s="1500" t="s">
        <v>2614</v>
      </c>
      <c r="E53" s="319" t="s">
        <v>1134</v>
      </c>
      <c r="F53" s="1228"/>
      <c r="I53" s="1573" t="s">
        <v>1271</v>
      </c>
      <c r="J53" s="2336">
        <f ca="1">IF(M47="住宅",IF(D1="——",MAX(J51,L48),MAX(J51,L48-'数据-取费表'!B24)),IF(D1="——",MIN(J51,L48),MIN(J51,L48-'数据-取费表'!B24)))</f>
        <v>28.71</v>
      </c>
      <c r="K53" s="3433" t="s">
        <v>1272</v>
      </c>
      <c r="L53" s="3434"/>
      <c r="O53" s="1552" t="s">
        <v>833</v>
      </c>
      <c r="P53" s="1553" t="s">
        <v>1273</v>
      </c>
      <c r="Q53" s="1554">
        <f ca="1">Q47+Q48</f>
        <v>9416</v>
      </c>
      <c r="R53" s="1554" t="s">
        <v>834</v>
      </c>
    </row>
    <row r="54" spans="1:18" s="1518" customFormat="1" ht="13.5" thickBot="1">
      <c r="A54" s="1267"/>
      <c r="B54" s="1501" t="s">
        <v>1112</v>
      </c>
      <c r="C54" s="1071"/>
      <c r="D54" s="1500"/>
      <c r="E54" s="3234"/>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34"/>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782</v>
      </c>
      <c r="D56" s="1581"/>
      <c r="E56" s="1582"/>
      <c r="F56" s="1574"/>
      <c r="I56" s="1583" t="s">
        <v>1278</v>
      </c>
      <c r="J56" s="1584" t="s">
        <v>3178</v>
      </c>
      <c r="K56" s="1555" t="s">
        <v>1279</v>
      </c>
      <c r="L56" s="1558" t="str">
        <f ca="1">IF(L48&lt;J51,"——",L48-J53)</f>
        <v>——</v>
      </c>
      <c r="O56" s="1552" t="s">
        <v>827</v>
      </c>
      <c r="P56" s="1553" t="s">
        <v>1252</v>
      </c>
      <c r="Q56" s="1554">
        <f ca="1">C40+J29</f>
        <v>9416</v>
      </c>
      <c r="R56" s="1554" t="s">
        <v>1253</v>
      </c>
    </row>
    <row r="57" spans="1:18" s="1518" customFormat="1" ht="24.75" thickBot="1">
      <c r="A57" s="1585"/>
      <c r="B57" s="1062" t="s">
        <v>1202</v>
      </c>
      <c r="C57" s="244">
        <f ca="1">C29</f>
        <v>1015</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102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86</v>
      </c>
      <c r="D59" s="1075" t="s">
        <v>1154</v>
      </c>
      <c r="E59" s="1076"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85.26</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0.28000000000000003</v>
      </c>
      <c r="D62" s="1077" t="s">
        <v>1166</v>
      </c>
      <c r="E62" s="1062" t="s">
        <v>1167</v>
      </c>
      <c r="F62" s="331">
        <f t="shared" si="0"/>
        <v>24</v>
      </c>
      <c r="I62" s="1596" t="s">
        <v>1294</v>
      </c>
      <c r="J62" s="1597" t="s">
        <v>1295</v>
      </c>
      <c r="K62" s="1597" t="s">
        <v>1296</v>
      </c>
      <c r="L62" s="1597" t="s">
        <v>1297</v>
      </c>
      <c r="M62" s="1598" t="s">
        <v>1298</v>
      </c>
      <c r="O62" s="1552" t="s">
        <v>833</v>
      </c>
      <c r="P62" s="1553" t="s">
        <v>1273</v>
      </c>
      <c r="Q62" s="1554">
        <f ca="1">Q56+Q57</f>
        <v>9416</v>
      </c>
      <c r="R62" s="1554" t="s">
        <v>834</v>
      </c>
    </row>
    <row r="63" spans="1:18" s="1518" customFormat="1" ht="13.5" thickBot="1">
      <c r="A63" s="332"/>
      <c r="B63" s="1068"/>
      <c r="C63" s="29"/>
      <c r="D63" s="1078"/>
      <c r="E63" s="1062" t="s">
        <v>1171</v>
      </c>
      <c r="F63" s="309">
        <f t="shared" ca="1" si="0"/>
        <v>115.1</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15.2</v>
      </c>
      <c r="D64" s="1076" t="s">
        <v>1206</v>
      </c>
      <c r="E64" s="1062" t="s">
        <v>1146</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1.2</v>
      </c>
      <c r="D65" s="1076" t="s">
        <v>1178</v>
      </c>
      <c r="E65" s="1062" t="s">
        <v>1146</v>
      </c>
      <c r="F65" s="336">
        <f t="shared" ca="1" si="0"/>
        <v>1.5E-3</v>
      </c>
      <c r="I65" s="1596" t="s">
        <v>1303</v>
      </c>
      <c r="J65" s="1597">
        <v>40</v>
      </c>
      <c r="K65" s="1597">
        <v>30</v>
      </c>
      <c r="L65" s="1597">
        <v>50</v>
      </c>
      <c r="M65" s="1599">
        <v>0.02</v>
      </c>
      <c r="O65" s="1552" t="s">
        <v>827</v>
      </c>
      <c r="P65" s="1553" t="s">
        <v>1252</v>
      </c>
      <c r="Q65" s="1554">
        <f ca="1">C40+J29</f>
        <v>9416</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-102</v>
      </c>
      <c r="D67" s="1075" t="s">
        <v>1188</v>
      </c>
      <c r="E67" s="1080"/>
      <c r="F67" s="1081"/>
      <c r="O67" s="1562" t="s">
        <v>829</v>
      </c>
      <c r="P67" s="1553" t="s">
        <v>1286</v>
      </c>
      <c r="Q67" s="1600">
        <f ca="1">L51</f>
        <v>7269</v>
      </c>
      <c r="R67" s="1554" t="s">
        <v>1306</v>
      </c>
    </row>
    <row r="68" spans="1:18" s="1518" customFormat="1" ht="16.5" thickBot="1">
      <c r="A68" s="1059" t="s">
        <v>819</v>
      </c>
      <c r="B68" s="1060" t="s">
        <v>1209</v>
      </c>
      <c r="C68" s="307">
        <f ca="1">ROUND(C67*(1-((1+F70)/(1+F68))^F69)/(F68-F70),0)</f>
        <v>-1456</v>
      </c>
      <c r="D68" s="1077" t="s">
        <v>1193</v>
      </c>
      <c r="E68" s="1062" t="s">
        <v>1194</v>
      </c>
      <c r="F68" s="318">
        <f ca="1">F40</f>
        <v>5.5E-2</v>
      </c>
      <c r="O68" s="1562" t="s">
        <v>830</v>
      </c>
      <c r="P68" s="1601" t="s">
        <v>1307</v>
      </c>
      <c r="Q68" s="1554">
        <f ca="1">ROUND(Q69-Q70*Q71,0)</f>
        <v>407</v>
      </c>
      <c r="R68" s="1554" t="s">
        <v>838</v>
      </c>
    </row>
    <row r="69" spans="1:18" s="1518" customFormat="1" ht="13.5" thickBot="1">
      <c r="A69" s="1063"/>
      <c r="B69" s="1064"/>
      <c r="C69" s="312"/>
      <c r="D69" s="1082" t="s">
        <v>1197</v>
      </c>
      <c r="E69" s="1062" t="s">
        <v>1198</v>
      </c>
      <c r="F69" s="339">
        <f ca="1">F41</f>
        <v>28.71</v>
      </c>
      <c r="O69" s="1562" t="s">
        <v>835</v>
      </c>
      <c r="P69" s="1601" t="s">
        <v>1308</v>
      </c>
      <c r="Q69" s="1554">
        <f ca="1">C39</f>
        <v>473</v>
      </c>
      <c r="R69" s="1554" t="s">
        <v>1253</v>
      </c>
    </row>
    <row r="70" spans="1:18" s="1518" customFormat="1" ht="13.5" thickBot="1">
      <c r="A70" s="1066"/>
      <c r="B70" s="1067"/>
      <c r="C70" s="316"/>
      <c r="D70" s="1078"/>
      <c r="E70" s="1062" t="s">
        <v>1201</v>
      </c>
      <c r="F70" s="1165"/>
      <c r="O70" s="1562" t="s">
        <v>836</v>
      </c>
      <c r="P70" s="1601" t="s">
        <v>1309</v>
      </c>
      <c r="Q70" s="1554">
        <f ca="1">C13</f>
        <v>782</v>
      </c>
      <c r="R70" s="1554" t="s">
        <v>1253</v>
      </c>
    </row>
    <row r="71" spans="1:18" s="1518" customFormat="1" ht="13.5" thickBot="1">
      <c r="A71" s="1083" t="s">
        <v>820</v>
      </c>
      <c r="B71" s="1084" t="s">
        <v>1211</v>
      </c>
      <c r="C71" s="342">
        <f ca="1">ROUND(C68*10000/F71,0)</f>
        <v>-9665</v>
      </c>
      <c r="D71" s="1085" t="s">
        <v>1212</v>
      </c>
      <c r="E71" s="1086" t="s">
        <v>1213</v>
      </c>
      <c r="F71" s="345">
        <f ca="1">F43</f>
        <v>1506.52</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66</v>
      </c>
      <c r="D75" s="1518"/>
      <c r="E75" s="1518"/>
      <c r="F75" s="1518"/>
      <c r="K75" s="1536"/>
      <c r="L75" s="1518"/>
      <c r="O75" s="1552" t="s">
        <v>833</v>
      </c>
      <c r="P75" s="1553" t="s">
        <v>1273</v>
      </c>
      <c r="Q75" s="1554">
        <f ca="1">Q65+Q66</f>
        <v>9416</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0.86</v>
      </c>
    </row>
    <row r="80" spans="1:18">
      <c r="B80" s="346" t="s">
        <v>1235</v>
      </c>
      <c r="C80" s="280">
        <f ca="1">ROUND(C75/C39,3)</f>
        <v>0.14000000000000001</v>
      </c>
    </row>
    <row r="81" spans="2:3">
      <c r="B81" s="276" t="s">
        <v>1236</v>
      </c>
      <c r="C81" s="244"/>
    </row>
    <row r="82" spans="2:3">
      <c r="B82" s="279" t="s">
        <v>1237</v>
      </c>
      <c r="C82" s="281">
        <f ca="1">1-C83</f>
        <v>0.91700000000000004</v>
      </c>
    </row>
    <row r="83" spans="2:3">
      <c r="B83" s="279" t="s">
        <v>1238</v>
      </c>
      <c r="C83" s="280">
        <f ca="1">ROUND(C13/C40,3)</f>
        <v>8.3000000000000004E-2</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3" t="e">
        <f ca="1">J53</f>
        <v>#N/A</v>
      </c>
      <c r="G1" s="1512" t="e">
        <f>MATCH(C1,'数据-取费表'!A6:A16,0)+5</f>
        <v>#N/A</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435" t="s">
        <v>1127</v>
      </c>
      <c r="C6" s="1186" t="e">
        <f ca="1">ROUND(F6*F8*F7*(1-F9)/10000,0)</f>
        <v>#N/A</v>
      </c>
      <c r="D6" s="160" t="s">
        <v>2607</v>
      </c>
      <c r="E6" s="308" t="s">
        <v>1129</v>
      </c>
      <c r="F6" s="309" t="e">
        <f ca="1">INDIRECT("'数据-取费表'!u"&amp;$G$1)</f>
        <v>#N/A</v>
      </c>
      <c r="G6" s="1518"/>
      <c r="H6" s="1181" t="s">
        <v>822</v>
      </c>
      <c r="I6" s="3435" t="s">
        <v>1127</v>
      </c>
      <c r="J6" s="307" t="e">
        <f ca="1">ROUND(M6*M8*M7*(1-M9)/10000,0)</f>
        <v>#N/A</v>
      </c>
      <c r="K6" s="160" t="s">
        <v>2606</v>
      </c>
      <c r="L6" s="308" t="s">
        <v>1129</v>
      </c>
      <c r="M6" s="309" t="e">
        <f ca="1">INDIRECT("'数据-取费表'!z"&amp;$G$1)</f>
        <v>#N/A</v>
      </c>
    </row>
    <row r="7" spans="1:37" ht="18" customHeight="1">
      <c r="A7" s="1185"/>
      <c r="B7" s="3436"/>
      <c r="C7" s="1187"/>
      <c r="D7" s="313"/>
      <c r="E7" s="1188" t="s">
        <v>1130</v>
      </c>
      <c r="F7" s="309" t="e">
        <f ca="1">IF(INDIRECT("'数据-取费表'!ah"&amp;$G$1)="",INDIRECT("'数据-取费表'!k"&amp;$G$1),INDIRECT("'数据-取费表'!ah"&amp;$G$1))</f>
        <v>#N/A</v>
      </c>
      <c r="G7" s="1518"/>
      <c r="H7" s="310"/>
      <c r="I7" s="3436"/>
      <c r="J7" s="312"/>
      <c r="K7" s="313"/>
      <c r="L7" s="308" t="s">
        <v>1130</v>
      </c>
      <c r="M7" s="309" t="e">
        <f ca="1">F7</f>
        <v>#N/A</v>
      </c>
    </row>
    <row r="8" spans="1:37" ht="18" customHeight="1">
      <c r="A8" s="310"/>
      <c r="B8" s="3436"/>
      <c r="C8" s="312"/>
      <c r="D8" s="313"/>
      <c r="E8" s="308" t="s">
        <v>1131</v>
      </c>
      <c r="F8" s="309" t="e">
        <f ca="1">INDIRECT("'数据-取费表'!ai"&amp;$G$1)</f>
        <v>#N/A</v>
      </c>
      <c r="G8" s="1518"/>
      <c r="H8" s="310"/>
      <c r="I8" s="3436"/>
      <c r="J8" s="312"/>
      <c r="K8" s="313"/>
      <c r="L8" s="308" t="s">
        <v>1131</v>
      </c>
      <c r="M8" s="309" t="e">
        <f ca="1">INDIRECT("'数据-取费表'!ai"&amp;$G$1)</f>
        <v>#N/A</v>
      </c>
    </row>
    <row r="9" spans="1:37" ht="18" customHeight="1">
      <c r="A9" s="310"/>
      <c r="B9" s="3437"/>
      <c r="C9" s="312"/>
      <c r="D9" s="313"/>
      <c r="E9" s="308" t="s">
        <v>1132</v>
      </c>
      <c r="F9" s="318" t="e">
        <f ca="1">INDIRECT("'数据-取费表'!w"&amp;$G$1)</f>
        <v>#N/A</v>
      </c>
      <c r="G9" s="1518"/>
      <c r="H9" s="310"/>
      <c r="I9" s="3437"/>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2615</v>
      </c>
      <c r="E10" s="319" t="s">
        <v>1134</v>
      </c>
      <c r="F10" s="1228" t="s">
        <v>3216</v>
      </c>
      <c r="G10" s="1518"/>
      <c r="H10" s="1181" t="s">
        <v>826</v>
      </c>
      <c r="I10" s="1499" t="s">
        <v>1133</v>
      </c>
      <c r="J10" s="307" t="e">
        <f ca="1">ROUND(IF(M10="押一",J6/12*M11,IF(M10="押二",J6/12*2*M11,IF(M10="押三",J6/12*3*M11,J11*M11))),0)</f>
        <v>#N/A</v>
      </c>
      <c r="K10" s="1500" t="s">
        <v>2614</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4" t="e">
        <f ca="1">ROUND(IF(AND(项目基本情况!B11="自然人",项目基本情况!B10="北京市"),J6*M17/(1+'数据-取费表'!C42),J18+J19+J20),0)</f>
        <v>#N/A</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0.02</v>
      </c>
      <c r="G20" s="1530"/>
      <c r="H20" s="1094" t="s">
        <v>1113</v>
      </c>
      <c r="I20" s="160" t="s">
        <v>1165</v>
      </c>
      <c r="J20" s="25" t="e">
        <f ca="1">ROUND(M20*M21/10000,2)</f>
        <v>#N/A</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5"/>
      <c r="I30" s="1532"/>
      <c r="J30" s="1533"/>
      <c r="K30" s="2650"/>
      <c r="L30" s="2876"/>
      <c r="M30" s="2877"/>
    </row>
    <row r="31" spans="1:37" ht="18" customHeight="1">
      <c r="A31" s="1094" t="s">
        <v>822</v>
      </c>
      <c r="B31" s="308" t="s">
        <v>1153</v>
      </c>
      <c r="C31" s="2484" t="e">
        <f ca="1">ROUND(IF(AND(项目基本情况!B11="自然人",项目基本情况!B10="北京市"),C6*F31/(1+'数据-取费表'!C42),C32+C33+C34),0)</f>
        <v>#N/A</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3217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t="e">
        <f ca="1">IF(项目基本情况!B11="自然人","——",ROUND(F34*F35/10000,2))</f>
        <v>#N/A</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t="e">
        <f ca="1">INDIRECT("'数据-取费表'!r"&amp;$G$1)</f>
        <v>#N/A</v>
      </c>
      <c r="G35" s="1518"/>
      <c r="H35" s="2875"/>
      <c r="I35" s="1532"/>
      <c r="J35" s="1533"/>
      <c r="K35" s="2879"/>
      <c r="L35" s="2878"/>
      <c r="M35" s="2878"/>
    </row>
    <row r="36" spans="1:18" ht="18" customHeight="1">
      <c r="A36" s="1214" t="s">
        <v>826</v>
      </c>
      <c r="B36" s="308" t="s">
        <v>1173</v>
      </c>
      <c r="C36" s="24" t="e">
        <f ca="1">ROUND(C29*F36,1)</f>
        <v>#N/A</v>
      </c>
      <c r="D36" s="1478" t="s">
        <v>1206</v>
      </c>
      <c r="E36" s="308" t="s">
        <v>1146</v>
      </c>
      <c r="F36" s="334" t="e">
        <f ca="1">INDIRECT("'数据-取费表'!Ak"&amp;$G$1)</f>
        <v>#N/A</v>
      </c>
      <c r="G36" s="1518"/>
      <c r="H36" s="2878"/>
      <c r="I36" s="1532"/>
      <c r="J36" s="1533"/>
      <c r="K36" s="2719"/>
      <c r="L36" s="2878"/>
      <c r="M36" s="2878"/>
    </row>
    <row r="37" spans="1:18" ht="18" customHeight="1">
      <c r="A37" s="1094" t="s">
        <v>862</v>
      </c>
      <c r="B37" s="308" t="s">
        <v>1177</v>
      </c>
      <c r="C37" s="24" t="e">
        <f ca="1">ROUND(C13*F37,1)</f>
        <v>#N/A</v>
      </c>
      <c r="D37" s="1478" t="s">
        <v>1178</v>
      </c>
      <c r="E37" s="308" t="s">
        <v>1179</v>
      </c>
      <c r="F37" s="336" t="e">
        <f ca="1">INDIRECT("'数据-取费表'!Al"&amp;$G$1)</f>
        <v>#N/A</v>
      </c>
      <c r="G37" s="1518"/>
      <c r="H37" s="2878"/>
      <c r="I37" s="1532"/>
      <c r="J37" s="1533"/>
      <c r="K37" s="2719"/>
      <c r="L37" s="2878"/>
      <c r="M37" s="2878"/>
    </row>
    <row r="38" spans="1:18" ht="18" customHeight="1" thickBot="1">
      <c r="A38" s="1201" t="s">
        <v>1117</v>
      </c>
      <c r="B38" s="1202" t="s">
        <v>1163</v>
      </c>
      <c r="C38" s="1203" t="e">
        <f ca="1">ROUND(C5*F38,1)</f>
        <v>#N/A</v>
      </c>
      <c r="D38" s="1204" t="s">
        <v>1183</v>
      </c>
      <c r="E38" s="1202" t="s">
        <v>1179</v>
      </c>
      <c r="F38" s="1198" t="e">
        <f ca="1">INDIRECT("'数据-取费表'!Am"&amp;$G$1)</f>
        <v>#N/A</v>
      </c>
      <c r="G38" s="1518"/>
      <c r="H38" s="2878"/>
      <c r="I38" s="1532"/>
      <c r="J38" s="1533"/>
      <c r="K38" s="2882"/>
      <c r="L38" s="2878"/>
      <c r="M38" s="2878"/>
    </row>
    <row r="39" spans="1:18" ht="24.6" customHeight="1" thickTop="1">
      <c r="A39" s="1191" t="s">
        <v>818</v>
      </c>
      <c r="B39" s="1206" t="s">
        <v>1207</v>
      </c>
      <c r="C39" s="316" t="e">
        <f ca="1">C5-C30</f>
        <v>#N/A</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82"/>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9"/>
      <c r="L41" s="1305"/>
      <c r="M41" s="1305"/>
    </row>
    <row r="42" spans="1:18" ht="18" customHeight="1">
      <c r="A42" s="314"/>
      <c r="B42" s="315"/>
      <c r="C42" s="316"/>
      <c r="D42" s="333"/>
      <c r="E42" s="308" t="s">
        <v>1201</v>
      </c>
      <c r="F42" s="318" t="e">
        <f ca="1">INDIRECT("'数据-取费表'!v"&amp;$G$1)</f>
        <v>#N/A</v>
      </c>
      <c r="G42" s="1518"/>
      <c r="H42" s="1305"/>
      <c r="I42" s="1532"/>
      <c r="J42" s="1533"/>
      <c r="K42" s="2719"/>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3218</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3219</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2608</v>
      </c>
      <c r="E49" s="1506" t="s">
        <v>1215</v>
      </c>
      <c r="F49" s="1171"/>
      <c r="G49" s="1559"/>
      <c r="H49" s="732"/>
      <c r="I49" s="1555" t="s">
        <v>1258</v>
      </c>
      <c r="J49" s="1560">
        <v>2008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60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8.5000000000000006E-2</v>
      </c>
      <c r="R51" s="1554"/>
    </row>
    <row r="52" spans="1:18" s="1518" customFormat="1" ht="13.5" thickBot="1">
      <c r="A52" s="1089"/>
      <c r="B52" s="1091"/>
      <c r="C52" s="1092"/>
      <c r="D52" s="1065"/>
      <c r="E52" s="1093" t="s">
        <v>1132</v>
      </c>
      <c r="F52" s="1165"/>
      <c r="I52" s="1571" t="s">
        <v>1267</v>
      </c>
      <c r="J52" s="1572">
        <v>8.5000000000000006E-2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2614</v>
      </c>
      <c r="E53" s="319" t="s">
        <v>1134</v>
      </c>
      <c r="F53" s="1228"/>
      <c r="I53" s="1573" t="s">
        <v>1271</v>
      </c>
      <c r="J53" s="2336" t="e">
        <f ca="1">IF(M47="住宅",IF(D1="——",MAX(J51,L48),MAX(J51,L48-'数据-取费表'!B24)),IF(D1="——",MIN(J51,L48),MIN(J51,L48-'数据-取费表'!B24)))</f>
        <v>#N/A</v>
      </c>
      <c r="K53" s="3433" t="s">
        <v>1272</v>
      </c>
      <c r="L53" s="3434"/>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3178</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4" t="e">
        <f ca="1">ROUND(IF(AND(项目基本情况!B11="自然人",项目基本情况!B10="北京市"),C49*F59/(1+'数据-取费表'!C42),C60+C61+C62),0)</f>
        <v>#N/A</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24</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35" t="s">
        <v>1127</v>
      </c>
      <c r="C6" s="1186">
        <f ca="1">ROUND(F6*F8*F7*(1-F9),0)</f>
        <v>0</v>
      </c>
      <c r="D6" s="160" t="s">
        <v>2604</v>
      </c>
      <c r="E6" s="308" t="s">
        <v>1129</v>
      </c>
      <c r="F6" s="309">
        <f ca="1">INDIRECT("'数据-取费表'!u"&amp;$G$1)</f>
        <v>0</v>
      </c>
      <c r="G6" s="1518"/>
      <c r="H6" s="1181" t="s">
        <v>822</v>
      </c>
      <c r="I6" s="3435" t="s">
        <v>1127</v>
      </c>
      <c r="J6" s="307">
        <f ca="1">ROUND(M6*M8*M7*(1-M9),0)</f>
        <v>0</v>
      </c>
      <c r="K6" s="1510" t="s">
        <v>2605</v>
      </c>
      <c r="L6" s="308" t="s">
        <v>1129</v>
      </c>
      <c r="M6" s="309">
        <f ca="1">INDIRECT("'数据-取费表'!z"&amp;$G$1)</f>
        <v>0</v>
      </c>
    </row>
    <row r="7" spans="1:37" ht="18" customHeight="1">
      <c r="A7" s="1185"/>
      <c r="B7" s="3436"/>
      <c r="C7" s="1187"/>
      <c r="D7" s="313"/>
      <c r="E7" s="1188" t="s">
        <v>1130</v>
      </c>
      <c r="F7" s="309">
        <f ca="1">IF(INDIRECT("'数据-取费表'!ah"&amp;$G$1)="",INDIRECT("'数据-取费表'!k"&amp;$G$1),INDIRECT("'数据-取费表'!ah"&amp;$G$1))</f>
        <v>0</v>
      </c>
      <c r="G7" s="1518"/>
      <c r="H7" s="310"/>
      <c r="I7" s="3436"/>
      <c r="J7" s="312"/>
      <c r="K7" s="313"/>
      <c r="L7" s="308" t="s">
        <v>1130</v>
      </c>
      <c r="M7" s="309">
        <f ca="1">F7</f>
        <v>0</v>
      </c>
    </row>
    <row r="8" spans="1:37" ht="18" customHeight="1">
      <c r="A8" s="310"/>
      <c r="B8" s="3436"/>
      <c r="C8" s="312"/>
      <c r="D8" s="313"/>
      <c r="E8" s="308" t="s">
        <v>1131</v>
      </c>
      <c r="F8" s="309">
        <f ca="1">INDIRECT("'数据-取费表'!ai"&amp;$G$1)</f>
        <v>0</v>
      </c>
      <c r="G8" s="1518"/>
      <c r="H8" s="310"/>
      <c r="I8" s="3436"/>
      <c r="J8" s="312"/>
      <c r="K8" s="313"/>
      <c r="L8" s="308" t="s">
        <v>1131</v>
      </c>
      <c r="M8" s="309">
        <f ca="1">INDIRECT("'数据-取费表'!ai"&amp;$G$1)</f>
        <v>0</v>
      </c>
    </row>
    <row r="9" spans="1:37" ht="18" customHeight="1">
      <c r="A9" s="310"/>
      <c r="B9" s="3437"/>
      <c r="C9" s="312"/>
      <c r="D9" s="313"/>
      <c r="E9" s="308" t="s">
        <v>1132</v>
      </c>
      <c r="F9" s="318">
        <f ca="1">INDIRECT("'数据-取费表'!w"&amp;$G$1)</f>
        <v>0</v>
      </c>
      <c r="G9" s="1518"/>
      <c r="H9" s="310"/>
      <c r="I9" s="3437"/>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2614</v>
      </c>
      <c r="E10" s="319" t="s">
        <v>1134</v>
      </c>
      <c r="F10" s="1228"/>
      <c r="G10" s="1518"/>
      <c r="H10" s="1181" t="s">
        <v>826</v>
      </c>
      <c r="I10" s="1499" t="s">
        <v>1133</v>
      </c>
      <c r="J10" s="307">
        <f ca="1">ROUND(IF(M10="押一",J6/12*M11,IF(M10="押二",J6/12*2*M11,IF(M10="押三",J6/12*3*M11,J11*M11))),0)</f>
        <v>0</v>
      </c>
      <c r="K10" s="1511" t="s">
        <v>2616</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2617</v>
      </c>
      <c r="E53" s="319" t="s">
        <v>1134</v>
      </c>
      <c r="F53" s="1228"/>
      <c r="I53" s="1573" t="s">
        <v>1271</v>
      </c>
      <c r="J53" s="2336">
        <f ca="1">IF(M47="住宅",IF(D1="——",MAX(J51,L48),MAX(J51,L48-'数据-取费表'!B24)),IF(D1="——",MIN(J51,L48),MIN(J51,L48-'数据-取费表'!B24)))</f>
        <v>0</v>
      </c>
      <c r="K53" s="3433" t="s">
        <v>1272</v>
      </c>
      <c r="L53" s="3434"/>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24</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19" t="s">
        <v>2818</v>
      </c>
      <c r="B2" s="3023" t="e">
        <f>C40</f>
        <v>#DIV/0!</v>
      </c>
      <c r="C2" s="3024" t="s">
        <v>2819</v>
      </c>
      <c r="D2" s="3024"/>
      <c r="E2" s="3025"/>
      <c r="F2" s="3026"/>
      <c r="G2" s="3027"/>
      <c r="H2" s="3028"/>
      <c r="I2" s="3029"/>
      <c r="J2" s="3444" t="s">
        <v>2820</v>
      </c>
      <c r="K2" s="3445"/>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446" t="s">
        <v>2830</v>
      </c>
      <c r="K3" s="3447"/>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446" t="s">
        <v>2832</v>
      </c>
      <c r="K4" s="3447"/>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452" t="s">
        <v>2836</v>
      </c>
      <c r="B6" s="3453"/>
      <c r="C6" s="3454"/>
      <c r="D6" s="3050"/>
      <c r="E6" s="3051"/>
      <c r="F6" s="3052"/>
      <c r="G6" s="3053"/>
      <c r="H6" s="3028"/>
      <c r="I6" s="3029"/>
      <c r="J6" s="3438">
        <v>1</v>
      </c>
      <c r="K6" s="3439"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438"/>
      <c r="K7" s="3440"/>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455" t="s">
        <v>2850</v>
      </c>
      <c r="C8" s="3456"/>
      <c r="D8" s="3069" t="s">
        <v>2851</v>
      </c>
      <c r="E8" s="3070" t="s">
        <v>2852</v>
      </c>
      <c r="F8" s="3071" t="s">
        <v>2853</v>
      </c>
      <c r="G8" s="3072"/>
      <c r="H8" s="3028"/>
      <c r="I8" s="3029"/>
      <c r="J8" s="3438"/>
      <c r="K8" s="3440"/>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455" t="s">
        <v>2856</v>
      </c>
      <c r="C9" s="3456"/>
      <c r="D9" s="3069">
        <f>ROUND(D6*E9,0)</f>
        <v>0</v>
      </c>
      <c r="E9" s="3073"/>
      <c r="F9" s="3074" t="s">
        <v>2857</v>
      </c>
      <c r="G9" s="3053"/>
      <c r="H9" s="3028"/>
      <c r="I9" s="3029"/>
      <c r="J9" s="3438"/>
      <c r="K9" s="3440"/>
      <c r="L9" s="3063" t="s">
        <v>2858</v>
      </c>
      <c r="M9" s="3064"/>
      <c r="N9" s="3040"/>
      <c r="O9" s="3065"/>
      <c r="P9" s="3065"/>
      <c r="Q9" s="3066">
        <v>365</v>
      </c>
      <c r="R9" s="3067">
        <f t="shared" si="0"/>
        <v>0</v>
      </c>
      <c r="S9" s="3021"/>
      <c r="T9" s="3021"/>
      <c r="U9" s="3021"/>
      <c r="V9" s="3029"/>
    </row>
    <row r="10" spans="1:22" s="3033" customFormat="1" ht="13.15" customHeight="1">
      <c r="A10" s="3068">
        <v>2</v>
      </c>
      <c r="B10" s="3455" t="s">
        <v>2859</v>
      </c>
      <c r="C10" s="3456"/>
      <c r="D10" s="3069">
        <f>ROUND(D6*E10,0)</f>
        <v>0</v>
      </c>
      <c r="E10" s="3073"/>
      <c r="F10" s="3074" t="s">
        <v>2860</v>
      </c>
      <c r="G10" s="3053"/>
      <c r="H10" s="3028"/>
      <c r="I10" s="3029"/>
      <c r="J10" s="3438"/>
      <c r="K10" s="3440"/>
      <c r="L10" s="3063" t="s">
        <v>2861</v>
      </c>
      <c r="M10" s="3064"/>
      <c r="N10" s="3040"/>
      <c r="O10" s="3065"/>
      <c r="P10" s="3065"/>
      <c r="Q10" s="3066">
        <v>365</v>
      </c>
      <c r="R10" s="3067">
        <f t="shared" si="0"/>
        <v>0</v>
      </c>
      <c r="S10" s="3021"/>
      <c r="T10" s="3021"/>
      <c r="U10" s="3021"/>
      <c r="V10" s="3029"/>
    </row>
    <row r="11" spans="1:22" s="3033" customFormat="1" ht="13.15" customHeight="1">
      <c r="A11" s="3068">
        <v>3</v>
      </c>
      <c r="B11" s="3455" t="s">
        <v>2862</v>
      </c>
      <c r="C11" s="3456"/>
      <c r="D11" s="3069">
        <f>D12+D14+D15+D16</f>
        <v>0</v>
      </c>
      <c r="E11" s="3075" t="e">
        <f>D11/D6</f>
        <v>#DIV/0!</v>
      </c>
      <c r="F11" s="3071"/>
      <c r="G11" s="3072"/>
      <c r="H11" s="3028"/>
      <c r="I11" s="3029"/>
      <c r="J11" s="3438"/>
      <c r="K11" s="3440"/>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448" t="s">
        <v>2865</v>
      </c>
      <c r="C12" s="3449"/>
      <c r="D12" s="3077">
        <f>ROUND(D13*1.2%*(1-30%),0)</f>
        <v>0</v>
      </c>
      <c r="E12" s="3078">
        <v>1.2E-2</v>
      </c>
      <c r="F12" s="3071" t="s">
        <v>2866</v>
      </c>
      <c r="G12" s="3072"/>
      <c r="H12" s="3028"/>
      <c r="I12" s="3029"/>
      <c r="J12" s="3438"/>
      <c r="K12" s="3440"/>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438"/>
      <c r="K13" s="3440"/>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448" t="s">
        <v>2871</v>
      </c>
      <c r="C14" s="3449"/>
      <c r="D14" s="3077">
        <f>ROUND(E14*B5/10000,0)</f>
        <v>0</v>
      </c>
      <c r="E14" s="3066"/>
      <c r="F14" s="3071" t="s">
        <v>2872</v>
      </c>
      <c r="G14" s="3072"/>
      <c r="H14" s="3028"/>
      <c r="I14" s="3029"/>
      <c r="J14" s="3438"/>
      <c r="K14" s="3441"/>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448" t="s">
        <v>2875</v>
      </c>
      <c r="C15" s="3449"/>
      <c r="D15" s="3077">
        <f>ROUND(D6*E15,0)</f>
        <v>0</v>
      </c>
      <c r="E15" s="3078">
        <v>5.5E-2</v>
      </c>
      <c r="F15" s="3071" t="s">
        <v>2876</v>
      </c>
      <c r="G15" s="3053"/>
      <c r="H15" s="3028"/>
      <c r="I15" s="3029"/>
      <c r="J15" s="3438">
        <v>2</v>
      </c>
      <c r="K15" s="3439"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448" t="s">
        <v>2884</v>
      </c>
      <c r="C16" s="3449"/>
      <c r="D16" s="3088">
        <f>D6*E16</f>
        <v>0</v>
      </c>
      <c r="E16" s="3089"/>
      <c r="F16" s="3074" t="s">
        <v>2885</v>
      </c>
      <c r="G16" s="3053"/>
      <c r="H16" s="3028"/>
      <c r="I16" s="3029"/>
      <c r="J16" s="3438"/>
      <c r="K16" s="3440"/>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450" t="s">
        <v>2887</v>
      </c>
      <c r="C17" s="3451"/>
      <c r="D17" s="3091">
        <f>ROUND(D6*E17,0)</f>
        <v>0</v>
      </c>
      <c r="E17" s="3092"/>
      <c r="F17" s="3093" t="s">
        <v>2888</v>
      </c>
      <c r="G17" s="3053"/>
      <c r="H17" s="3028"/>
      <c r="I17" s="3029"/>
      <c r="J17" s="3438"/>
      <c r="K17" s="3440"/>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438"/>
      <c r="K18" s="3440"/>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438"/>
      <c r="K19" s="3441"/>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8">
        <v>3</v>
      </c>
      <c r="K20" s="3439"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438"/>
      <c r="K21" s="3440"/>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438"/>
      <c r="K22" s="3440"/>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438"/>
      <c r="K23" s="3440"/>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438"/>
      <c r="K24" s="3441"/>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442">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44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444" t="s">
        <v>2820</v>
      </c>
      <c r="K32" s="3445"/>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446" t="s">
        <v>2830</v>
      </c>
      <c r="K33" s="3447"/>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446" t="s">
        <v>2832</v>
      </c>
      <c r="K34" s="344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438">
        <v>1</v>
      </c>
      <c r="K36" s="3439"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438"/>
      <c r="K37" s="3440"/>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8"/>
      <c r="K38" s="3440"/>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438"/>
      <c r="K39" s="3440"/>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438"/>
      <c r="K40" s="3441"/>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2">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44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2105</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9416</v>
      </c>
      <c r="C2" s="2008" t="s">
        <v>2098</v>
      </c>
      <c r="D2" s="2009" t="s">
        <v>2099</v>
      </c>
      <c r="E2" s="2782">
        <f>SUM(E6:E13)</f>
        <v>1506.52</v>
      </c>
      <c r="F2" s="2885"/>
      <c r="G2" s="1624"/>
      <c r="H2" s="1624"/>
      <c r="I2" s="1624"/>
      <c r="J2" s="1624"/>
      <c r="K2" s="1624"/>
      <c r="L2" s="1624"/>
      <c r="M2" s="1624"/>
      <c r="N2" s="1624"/>
      <c r="O2" s="1624"/>
      <c r="P2" s="1624"/>
      <c r="Q2" s="1624"/>
      <c r="R2" s="1624"/>
      <c r="S2" s="1624"/>
    </row>
    <row r="3" spans="1:22" ht="15.75">
      <c r="A3" s="2006" t="s">
        <v>1119</v>
      </c>
      <c r="B3" s="2776">
        <f ca="1">ROUND(B2*10000/E2,0)</f>
        <v>62502</v>
      </c>
      <c r="C3" s="2008" t="s">
        <v>2106</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2100</v>
      </c>
      <c r="B5" s="3457" t="s">
        <v>2101</v>
      </c>
      <c r="C5" s="3458"/>
      <c r="D5" s="2886"/>
      <c r="E5" s="2010" t="s">
        <v>2102</v>
      </c>
      <c r="F5" s="2011" t="s">
        <v>2103</v>
      </c>
      <c r="G5" s="1624"/>
      <c r="H5" s="1624"/>
      <c r="I5" s="1624"/>
      <c r="J5" s="1624"/>
      <c r="K5" s="1624"/>
      <c r="L5" s="1624"/>
      <c r="M5" s="1624"/>
      <c r="N5" s="1624"/>
      <c r="O5" s="1624"/>
      <c r="P5" s="1624"/>
      <c r="Q5" s="1624"/>
      <c r="R5" s="1624"/>
      <c r="S5" s="1624"/>
    </row>
    <row r="6" spans="1:22">
      <c r="A6" s="2779" t="str">
        <f>'数据-取费表'!AN6</f>
        <v>收益法-办公</v>
      </c>
      <c r="B6" s="2777">
        <f ca="1">IF(F6="是",'数据-取费表'!AO6,0)</f>
        <v>9416</v>
      </c>
      <c r="C6" s="2008" t="s">
        <v>2098</v>
      </c>
      <c r="D6" s="2887"/>
      <c r="E6" s="2781">
        <f>IF(OR(A6=0,F6="否"),0,'数据-取费表'!K6+'数据-取费表'!S6)</f>
        <v>1506.52</v>
      </c>
      <c r="F6" s="2012" t="s">
        <v>2104</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2098</v>
      </c>
      <c r="D7" s="2887"/>
      <c r="E7" s="2781">
        <f>IF(OR(A7=0,F7="否"),0,'数据-取费表'!K7+'数据-取费表'!S7)</f>
        <v>0</v>
      </c>
      <c r="F7" s="2012" t="s">
        <v>2104</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2098</v>
      </c>
      <c r="D8" s="2887"/>
      <c r="E8" s="2781">
        <f>IF(OR(A8=0,F8="否"),0,'数据-取费表'!K8+'数据-取费表'!S8)</f>
        <v>0</v>
      </c>
      <c r="F8" s="2012" t="s">
        <v>2104</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2098</v>
      </c>
      <c r="D9" s="2887"/>
      <c r="E9" s="2781">
        <f>IF(OR(A9=0,F9="否"),0,'数据-取费表'!K9+'数据-取费表'!S9)</f>
        <v>0</v>
      </c>
      <c r="F9" s="2012" t="s">
        <v>2104</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2098</v>
      </c>
      <c r="D10" s="2887"/>
      <c r="E10" s="2781">
        <f>IF(OR(A10=0,F10="否"),0,'数据-取费表'!K10+'数据-取费表'!S10)</f>
        <v>0</v>
      </c>
      <c r="F10" s="2012" t="s">
        <v>2104</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2098</v>
      </c>
      <c r="D11" s="2887"/>
      <c r="E11" s="2781">
        <f>IF(OR(A11=0,F11="否"),0,'数据-取费表'!K11+'数据-取费表'!S11)</f>
        <v>0</v>
      </c>
      <c r="F11" s="2012" t="s">
        <v>2104</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2098</v>
      </c>
      <c r="D12" s="2887"/>
      <c r="E12" s="2781">
        <f>IF(OR(A12=0,F12="否"),0,'数据-取费表'!K12+'数据-取费表'!S12)</f>
        <v>0</v>
      </c>
      <c r="F12" s="2012" t="s">
        <v>2104</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2108</v>
      </c>
      <c r="C1" s="1358" t="s">
        <v>2109</v>
      </c>
      <c r="D1" s="1345"/>
      <c r="E1" s="2494"/>
      <c r="F1" s="2015" t="s">
        <v>2110</v>
      </c>
      <c r="G1" s="1355" t="s">
        <v>2111</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24865.040000000005</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2"/>
    </row>
    <row r="4" spans="1:29" ht="15">
      <c r="A4" s="361" t="s">
        <v>2114</v>
      </c>
      <c r="B4" s="362"/>
      <c r="C4" s="3477" t="s">
        <v>2115</v>
      </c>
      <c r="D4" s="3478"/>
      <c r="E4" s="3479" t="s">
        <v>2116</v>
      </c>
      <c r="F4" s="3480"/>
      <c r="G4" s="3477" t="s">
        <v>2117</v>
      </c>
      <c r="H4" s="3478"/>
      <c r="I4" s="3477" t="s">
        <v>2118</v>
      </c>
      <c r="J4" s="3478"/>
      <c r="K4" s="2025" t="s">
        <v>2119</v>
      </c>
      <c r="L4" s="2893"/>
      <c r="M4" s="2894"/>
      <c r="N4" s="2894"/>
      <c r="O4" s="2894"/>
      <c r="P4" s="3481" t="s">
        <v>2120</v>
      </c>
      <c r="Q4" s="3482"/>
      <c r="R4" s="3487" t="s">
        <v>2116</v>
      </c>
      <c r="S4" s="3488"/>
      <c r="T4" s="3487" t="s">
        <v>2117</v>
      </c>
      <c r="U4" s="3488"/>
      <c r="V4" s="3493" t="s">
        <v>2118</v>
      </c>
      <c r="W4" s="3493"/>
      <c r="X4" s="1489"/>
      <c r="Y4" s="3487" t="s">
        <v>2120</v>
      </c>
      <c r="Z4" s="3488"/>
      <c r="AA4" s="3474" t="s">
        <v>2116</v>
      </c>
      <c r="AB4" s="3474" t="s">
        <v>2117</v>
      </c>
      <c r="AC4" s="3474" t="s">
        <v>2118</v>
      </c>
    </row>
    <row r="5" spans="1:29" ht="15">
      <c r="A5" s="364"/>
      <c r="B5" s="365"/>
      <c r="C5" s="3496" t="s">
        <v>2121</v>
      </c>
      <c r="D5" s="3497"/>
      <c r="E5" s="3503" t="s">
        <v>2122</v>
      </c>
      <c r="F5" s="3504"/>
      <c r="G5" s="3496" t="s">
        <v>2123</v>
      </c>
      <c r="H5" s="3497"/>
      <c r="I5" s="3496" t="s">
        <v>2124</v>
      </c>
      <c r="J5" s="3497"/>
      <c r="K5" s="2026"/>
      <c r="L5" s="2893"/>
      <c r="M5" s="2894"/>
      <c r="N5" s="2894"/>
      <c r="O5" s="2894"/>
      <c r="P5" s="3483"/>
      <c r="Q5" s="3484"/>
      <c r="R5" s="3489"/>
      <c r="S5" s="3490"/>
      <c r="T5" s="3489"/>
      <c r="U5" s="3490"/>
      <c r="V5" s="3493"/>
      <c r="W5" s="3493"/>
      <c r="X5" s="1489"/>
      <c r="Y5" s="3489"/>
      <c r="Z5" s="3490"/>
      <c r="AA5" s="3475"/>
      <c r="AB5" s="3475"/>
      <c r="AC5" s="3475"/>
    </row>
    <row r="6" spans="1:29" ht="15.75" thickBot="1">
      <c r="A6" s="366"/>
      <c r="B6" s="367"/>
      <c r="C6" s="3494" t="s">
        <v>2125</v>
      </c>
      <c r="D6" s="3495"/>
      <c r="E6" s="3501" t="s">
        <v>2125</v>
      </c>
      <c r="F6" s="3502"/>
      <c r="G6" s="3494" t="s">
        <v>2125</v>
      </c>
      <c r="H6" s="3495"/>
      <c r="I6" s="3494" t="s">
        <v>2125</v>
      </c>
      <c r="J6" s="3495"/>
      <c r="K6" s="2026" t="s">
        <v>2126</v>
      </c>
      <c r="L6" s="2893"/>
      <c r="M6" s="2894"/>
      <c r="N6" s="2894"/>
      <c r="O6" s="2894"/>
      <c r="P6" s="3485"/>
      <c r="Q6" s="3486"/>
      <c r="R6" s="3489"/>
      <c r="S6" s="3490"/>
      <c r="T6" s="3491"/>
      <c r="U6" s="3492"/>
      <c r="V6" s="3493"/>
      <c r="W6" s="3493"/>
      <c r="X6" s="1489"/>
      <c r="Y6" s="3491"/>
      <c r="Z6" s="3492"/>
      <c r="AA6" s="3476"/>
      <c r="AB6" s="3476"/>
      <c r="AC6" s="3476"/>
    </row>
    <row r="7" spans="1:29" s="113" customFormat="1" ht="15.75" thickBot="1">
      <c r="A7" s="368" t="s">
        <v>2127</v>
      </c>
      <c r="B7" s="369"/>
      <c r="C7" s="370">
        <f>'数据-取费表'!B2</f>
        <v>44805</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98" t="s">
        <v>2128</v>
      </c>
      <c r="Q7" s="3500"/>
      <c r="R7" s="710" t="s">
        <v>23</v>
      </c>
      <c r="S7" s="711">
        <f t="shared" ref="S7:S15" si="0">F7</f>
        <v>0</v>
      </c>
      <c r="T7" s="710" t="s">
        <v>23</v>
      </c>
      <c r="U7" s="711">
        <f t="shared" ref="U7:U15" si="1">H7</f>
        <v>0</v>
      </c>
      <c r="V7" s="710" t="s">
        <v>23</v>
      </c>
      <c r="W7" s="711">
        <f t="shared" ref="W7:W15" si="2">J7</f>
        <v>0</v>
      </c>
      <c r="X7" s="712"/>
      <c r="Y7" s="3498" t="s">
        <v>2128</v>
      </c>
      <c r="Z7" s="3499"/>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98" t="s">
        <v>2131</v>
      </c>
      <c r="Q8" s="3499"/>
      <c r="R8" s="710" t="s">
        <v>23</v>
      </c>
      <c r="S8" s="711">
        <f t="shared" si="0"/>
        <v>0</v>
      </c>
      <c r="T8" s="710" t="s">
        <v>23</v>
      </c>
      <c r="U8" s="711">
        <f t="shared" si="1"/>
        <v>0</v>
      </c>
      <c r="V8" s="710" t="s">
        <v>23</v>
      </c>
      <c r="W8" s="711">
        <f t="shared" si="2"/>
        <v>0</v>
      </c>
      <c r="X8" s="712"/>
      <c r="Y8" s="3498" t="s">
        <v>2131</v>
      </c>
      <c r="Z8" s="3499"/>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3"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3"/>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3"/>
      <c r="Q11" s="1477"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3"/>
      <c r="Q12" s="1477">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3"/>
      <c r="Q13" s="1477">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3"/>
      <c r="Q14" s="1477">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71" t="s">
        <v>2139</v>
      </c>
      <c r="Q15" s="1486" t="str">
        <f t="shared" si="6"/>
        <v>居住社区成熟度</v>
      </c>
      <c r="R15" s="714" t="s">
        <v>21</v>
      </c>
      <c r="S15" s="715">
        <f t="shared" si="0"/>
        <v>100</v>
      </c>
      <c r="T15" s="714" t="s">
        <v>21</v>
      </c>
      <c r="U15" s="715">
        <f t="shared" si="1"/>
        <v>100</v>
      </c>
      <c r="V15" s="714" t="s">
        <v>21</v>
      </c>
      <c r="W15" s="715">
        <f t="shared" si="2"/>
        <v>100</v>
      </c>
      <c r="X15" s="1489"/>
      <c r="Y15" s="3464" t="s">
        <v>2139</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472"/>
      <c r="Q16" s="1486"/>
      <c r="R16" s="714"/>
      <c r="S16" s="715"/>
      <c r="T16" s="714"/>
      <c r="U16" s="715"/>
      <c r="V16" s="714"/>
      <c r="W16" s="715"/>
      <c r="X16" s="1489"/>
      <c r="Y16" s="3465"/>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2"/>
      <c r="Q17" s="1486" t="str">
        <f>B17</f>
        <v>交通便捷度</v>
      </c>
      <c r="R17" s="714" t="s">
        <v>21</v>
      </c>
      <c r="S17" s="715">
        <f>F17</f>
        <v>100</v>
      </c>
      <c r="T17" s="714" t="s">
        <v>21</v>
      </c>
      <c r="U17" s="715">
        <f>H17</f>
        <v>100</v>
      </c>
      <c r="V17" s="714" t="s">
        <v>21</v>
      </c>
      <c r="W17" s="715">
        <f>J17</f>
        <v>100</v>
      </c>
      <c r="X17" s="1489"/>
      <c r="Y17" s="3465"/>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472"/>
      <c r="Q18" s="1486"/>
      <c r="R18" s="714"/>
      <c r="S18" s="715"/>
      <c r="T18" s="714"/>
      <c r="U18" s="715"/>
      <c r="V18" s="714"/>
      <c r="W18" s="715"/>
      <c r="X18" s="1489"/>
      <c r="Y18" s="3465"/>
      <c r="Z18" s="1490"/>
      <c r="AA18" s="1487">
        <v>1</v>
      </c>
      <c r="AB18" s="1487">
        <v>1</v>
      </c>
      <c r="AC18" s="1487">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2"/>
      <c r="Q19" s="1486" t="str">
        <f>B19</f>
        <v>公共配套设施</v>
      </c>
      <c r="R19" s="714" t="s">
        <v>21</v>
      </c>
      <c r="S19" s="715">
        <f>F19</f>
        <v>100</v>
      </c>
      <c r="T19" s="714" t="s">
        <v>21</v>
      </c>
      <c r="U19" s="715">
        <f>H19</f>
        <v>100</v>
      </c>
      <c r="V19" s="714" t="s">
        <v>21</v>
      </c>
      <c r="W19" s="715">
        <f>J19</f>
        <v>100</v>
      </c>
      <c r="X19" s="1489"/>
      <c r="Y19" s="3465"/>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472"/>
      <c r="Q20" s="1486"/>
      <c r="R20" s="714"/>
      <c r="S20" s="715"/>
      <c r="T20" s="714"/>
      <c r="U20" s="715"/>
      <c r="V20" s="714"/>
      <c r="W20" s="715"/>
      <c r="X20" s="1489"/>
      <c r="Y20" s="3465"/>
      <c r="Z20" s="1490"/>
      <c r="AA20" s="1487">
        <v>1</v>
      </c>
      <c r="AB20" s="1487">
        <v>1</v>
      </c>
      <c r="AC20" s="1487">
        <v>1</v>
      </c>
    </row>
    <row r="21" spans="1:29" ht="28.5">
      <c r="A21" s="387"/>
      <c r="B21" s="1245"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2"/>
      <c r="Q21" s="1486" t="str">
        <f>B21</f>
        <v>基础设施水平</v>
      </c>
      <c r="R21" s="714" t="s">
        <v>17</v>
      </c>
      <c r="S21" s="715">
        <f>F21</f>
        <v>100</v>
      </c>
      <c r="T21" s="714" t="s">
        <v>17</v>
      </c>
      <c r="U21" s="715">
        <f>H21</f>
        <v>100</v>
      </c>
      <c r="V21" s="714" t="s">
        <v>17</v>
      </c>
      <c r="W21" s="715">
        <f>J21</f>
        <v>100</v>
      </c>
      <c r="X21" s="1489"/>
      <c r="Y21" s="346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472"/>
      <c r="Q22" s="1486"/>
      <c r="R22" s="714"/>
      <c r="S22" s="715"/>
      <c r="T22" s="714"/>
      <c r="U22" s="715"/>
      <c r="V22" s="714"/>
      <c r="W22" s="715"/>
      <c r="X22" s="1489"/>
      <c r="Y22" s="3465"/>
      <c r="Z22" s="1490"/>
      <c r="AA22" s="1487">
        <v>1</v>
      </c>
      <c r="AB22" s="1487">
        <v>1</v>
      </c>
      <c r="AC22" s="1487">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2"/>
      <c r="Q23" s="1486" t="str">
        <f>B23</f>
        <v>自然及人文环境</v>
      </c>
      <c r="R23" s="714" t="s">
        <v>21</v>
      </c>
      <c r="S23" s="715">
        <f>F23</f>
        <v>100</v>
      </c>
      <c r="T23" s="714" t="s">
        <v>21</v>
      </c>
      <c r="U23" s="715">
        <f>H23</f>
        <v>100</v>
      </c>
      <c r="V23" s="714" t="s">
        <v>21</v>
      </c>
      <c r="W23" s="715">
        <f>J23</f>
        <v>100</v>
      </c>
      <c r="X23" s="1489"/>
      <c r="Y23" s="3465"/>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472"/>
      <c r="Q24" s="1486"/>
      <c r="R24" s="714"/>
      <c r="S24" s="715"/>
      <c r="T24" s="714"/>
      <c r="U24" s="715"/>
      <c r="V24" s="714"/>
      <c r="W24" s="715"/>
      <c r="X24" s="1489"/>
      <c r="Y24" s="3465"/>
      <c r="Z24" s="1490"/>
      <c r="AA24" s="1487">
        <v>1</v>
      </c>
      <c r="AB24" s="1487">
        <v>1</v>
      </c>
      <c r="AC24" s="1487">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7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5"/>
      <c r="Z25" s="1490" t="str">
        <f>Q25</f>
        <v>楼层-1</v>
      </c>
      <c r="AA25" s="1487">
        <f t="shared" ref="AA25:AA46" si="15">D25/F25</f>
        <v>1</v>
      </c>
      <c r="AB25" s="1487">
        <f t="shared" ref="AB25:AB46" si="16">D25/H25</f>
        <v>1</v>
      </c>
      <c r="AC25" s="1487">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72"/>
      <c r="Q26" s="1486" t="str">
        <f t="shared" si="11"/>
        <v>朝向</v>
      </c>
      <c r="R26" s="714" t="s">
        <v>21</v>
      </c>
      <c r="S26" s="715">
        <f t="shared" si="12"/>
        <v>100</v>
      </c>
      <c r="T26" s="714" t="s">
        <v>21</v>
      </c>
      <c r="U26" s="715">
        <f t="shared" si="13"/>
        <v>100</v>
      </c>
      <c r="V26" s="714" t="s">
        <v>21</v>
      </c>
      <c r="W26" s="715">
        <f t="shared" si="14"/>
        <v>100</v>
      </c>
      <c r="X26" s="1489"/>
      <c r="Y26" s="3465"/>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72"/>
      <c r="Q27" s="1477">
        <f t="shared" si="11"/>
        <v>111</v>
      </c>
      <c r="R27" s="710" t="s">
        <v>21</v>
      </c>
      <c r="S27" s="711">
        <f t="shared" si="12"/>
        <v>100</v>
      </c>
      <c r="T27" s="710" t="s">
        <v>21</v>
      </c>
      <c r="U27" s="711">
        <f t="shared" si="13"/>
        <v>100</v>
      </c>
      <c r="V27" s="710" t="s">
        <v>21</v>
      </c>
      <c r="W27" s="711">
        <f t="shared" si="14"/>
        <v>100</v>
      </c>
      <c r="X27" s="712"/>
      <c r="Y27" s="3465"/>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72"/>
      <c r="Q28" s="1486">
        <f t="shared" si="11"/>
        <v>111</v>
      </c>
      <c r="R28" s="714" t="s">
        <v>21</v>
      </c>
      <c r="S28" s="715">
        <f t="shared" si="12"/>
        <v>100</v>
      </c>
      <c r="T28" s="714" t="s">
        <v>21</v>
      </c>
      <c r="U28" s="715">
        <f t="shared" si="13"/>
        <v>100</v>
      </c>
      <c r="V28" s="714" t="s">
        <v>21</v>
      </c>
      <c r="W28" s="715">
        <f t="shared" si="14"/>
        <v>100</v>
      </c>
      <c r="X28" s="1489"/>
      <c r="Y28" s="3465"/>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72"/>
      <c r="Q29" s="1486">
        <f t="shared" si="11"/>
        <v>111</v>
      </c>
      <c r="R29" s="714" t="s">
        <v>21</v>
      </c>
      <c r="S29" s="715">
        <f t="shared" si="12"/>
        <v>100</v>
      </c>
      <c r="T29" s="714" t="s">
        <v>21</v>
      </c>
      <c r="U29" s="715">
        <f t="shared" si="13"/>
        <v>100</v>
      </c>
      <c r="V29" s="714" t="s">
        <v>21</v>
      </c>
      <c r="W29" s="715">
        <f t="shared" si="14"/>
        <v>100</v>
      </c>
      <c r="X29" s="1489"/>
      <c r="Y29" s="3465"/>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72"/>
      <c r="Q30" s="1486">
        <f t="shared" si="11"/>
        <v>111</v>
      </c>
      <c r="R30" s="714" t="s">
        <v>21</v>
      </c>
      <c r="S30" s="715">
        <f t="shared" si="12"/>
        <v>100</v>
      </c>
      <c r="T30" s="714" t="s">
        <v>21</v>
      </c>
      <c r="U30" s="715">
        <f t="shared" si="13"/>
        <v>100</v>
      </c>
      <c r="V30" s="714" t="s">
        <v>21</v>
      </c>
      <c r="W30" s="715">
        <f t="shared" si="14"/>
        <v>100</v>
      </c>
      <c r="X30" s="1489"/>
      <c r="Y30" s="3465"/>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72"/>
      <c r="Q31" s="1486">
        <f t="shared" si="11"/>
        <v>111</v>
      </c>
      <c r="R31" s="714" t="s">
        <v>21</v>
      </c>
      <c r="S31" s="715">
        <f t="shared" si="12"/>
        <v>100</v>
      </c>
      <c r="T31" s="714" t="s">
        <v>21</v>
      </c>
      <c r="U31" s="715">
        <f t="shared" si="13"/>
        <v>100</v>
      </c>
      <c r="V31" s="714" t="s">
        <v>21</v>
      </c>
      <c r="W31" s="715">
        <f t="shared" si="14"/>
        <v>100</v>
      </c>
      <c r="X31" s="1489"/>
      <c r="Y31" s="3465"/>
      <c r="Z31" s="1490">
        <f t="shared" si="18"/>
        <v>111</v>
      </c>
      <c r="AA31" s="1487">
        <f t="shared" si="15"/>
        <v>1</v>
      </c>
      <c r="AB31" s="1487">
        <f t="shared" si="16"/>
        <v>1</v>
      </c>
      <c r="AC31" s="1487">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66" t="s">
        <v>2144</v>
      </c>
      <c r="Q32" s="1486" t="str">
        <f t="shared" si="11"/>
        <v>建筑类型</v>
      </c>
      <c r="R32" s="714" t="s">
        <v>21</v>
      </c>
      <c r="S32" s="715">
        <f t="shared" si="12"/>
        <v>100</v>
      </c>
      <c r="T32" s="714" t="s">
        <v>21</v>
      </c>
      <c r="U32" s="715">
        <f t="shared" si="13"/>
        <v>100</v>
      </c>
      <c r="V32" s="714" t="s">
        <v>21</v>
      </c>
      <c r="W32" s="715">
        <f t="shared" si="14"/>
        <v>100</v>
      </c>
      <c r="X32" s="1489"/>
      <c r="Y32" s="3469" t="s">
        <v>2144</v>
      </c>
      <c r="Z32" s="1490" t="str">
        <f t="shared" si="18"/>
        <v>建筑类型</v>
      </c>
      <c r="AA32" s="1487">
        <f t="shared" si="15"/>
        <v>1</v>
      </c>
      <c r="AB32" s="1487">
        <f t="shared" si="16"/>
        <v>1</v>
      </c>
      <c r="AC32" s="1487">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487" t="e">
        <f t="shared" si="15"/>
        <v>#N/A</v>
      </c>
      <c r="AB33" s="1487" t="e">
        <f t="shared" si="16"/>
        <v>#N/A</v>
      </c>
      <c r="AC33" s="1487"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67"/>
      <c r="Q34" s="1486" t="str">
        <f t="shared" si="11"/>
        <v>建筑结构</v>
      </c>
      <c r="R34" s="714" t="s">
        <v>21</v>
      </c>
      <c r="S34" s="715">
        <f t="shared" si="12"/>
        <v>100</v>
      </c>
      <c r="T34" s="714" t="s">
        <v>21</v>
      </c>
      <c r="U34" s="715">
        <f t="shared" si="13"/>
        <v>100</v>
      </c>
      <c r="V34" s="714" t="s">
        <v>21</v>
      </c>
      <c r="W34" s="715">
        <f t="shared" si="14"/>
        <v>100</v>
      </c>
      <c r="X34" s="1489"/>
      <c r="Y34" s="3469"/>
      <c r="Z34" s="1490" t="str">
        <f t="shared" si="18"/>
        <v>建筑结构</v>
      </c>
      <c r="AA34" s="1487">
        <f t="shared" si="15"/>
        <v>1</v>
      </c>
      <c r="AB34" s="1487">
        <f t="shared" si="16"/>
        <v>1</v>
      </c>
      <c r="AC34" s="1487">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67"/>
      <c r="Q35" s="1486" t="str">
        <f t="shared" si="11"/>
        <v>建筑品质</v>
      </c>
      <c r="R35" s="714" t="s">
        <v>21</v>
      </c>
      <c r="S35" s="715">
        <f t="shared" si="12"/>
        <v>100</v>
      </c>
      <c r="T35" s="714" t="s">
        <v>21</v>
      </c>
      <c r="U35" s="715">
        <f t="shared" si="13"/>
        <v>100</v>
      </c>
      <c r="V35" s="714" t="s">
        <v>21</v>
      </c>
      <c r="W35" s="715">
        <f t="shared" si="14"/>
        <v>100</v>
      </c>
      <c r="X35" s="1489"/>
      <c r="Y35" s="3469"/>
      <c r="Z35" s="1490" t="str">
        <f t="shared" si="18"/>
        <v>建筑品质</v>
      </c>
      <c r="AA35" s="1487">
        <f t="shared" si="15"/>
        <v>1</v>
      </c>
      <c r="AB35" s="1487">
        <f t="shared" si="16"/>
        <v>1</v>
      </c>
      <c r="AC35" s="1487">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67"/>
      <c r="Q36" s="1486" t="str">
        <f t="shared" si="11"/>
        <v>公共部分装修</v>
      </c>
      <c r="R36" s="714" t="s">
        <v>21</v>
      </c>
      <c r="S36" s="715">
        <f t="shared" si="12"/>
        <v>100</v>
      </c>
      <c r="T36" s="714" t="s">
        <v>21</v>
      </c>
      <c r="U36" s="715">
        <f t="shared" si="13"/>
        <v>100</v>
      </c>
      <c r="V36" s="714" t="s">
        <v>21</v>
      </c>
      <c r="W36" s="715">
        <f t="shared" si="14"/>
        <v>100</v>
      </c>
      <c r="X36" s="1489"/>
      <c r="Y36" s="3469"/>
      <c r="Z36" s="1490" t="str">
        <f t="shared" si="18"/>
        <v>公共部分装修</v>
      </c>
      <c r="AA36" s="1487">
        <f t="shared" si="15"/>
        <v>1</v>
      </c>
      <c r="AB36" s="1487">
        <f t="shared" si="16"/>
        <v>1</v>
      </c>
      <c r="AC36" s="1487">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7"/>
      <c r="Q37" s="1477"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67" t="s">
        <v>2144</v>
      </c>
      <c r="Q38" s="1486" t="str">
        <f t="shared" si="11"/>
        <v>物业管理</v>
      </c>
      <c r="R38" s="714" t="s">
        <v>21</v>
      </c>
      <c r="S38" s="715">
        <f t="shared" si="12"/>
        <v>100</v>
      </c>
      <c r="T38" s="714" t="s">
        <v>21</v>
      </c>
      <c r="U38" s="715">
        <f t="shared" si="13"/>
        <v>100</v>
      </c>
      <c r="V38" s="714" t="s">
        <v>21</v>
      </c>
      <c r="W38" s="715">
        <f t="shared" si="14"/>
        <v>100</v>
      </c>
      <c r="X38" s="1489"/>
      <c r="Y38" s="3469" t="s">
        <v>2144</v>
      </c>
      <c r="Z38" s="1490" t="str">
        <f t="shared" si="18"/>
        <v>物业管理</v>
      </c>
      <c r="AA38" s="1487">
        <f t="shared" si="15"/>
        <v>1</v>
      </c>
      <c r="AB38" s="1487">
        <f t="shared" si="16"/>
        <v>1</v>
      </c>
      <c r="AC38" s="1487">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67"/>
      <c r="Q39" s="1486" t="str">
        <f t="shared" si="11"/>
        <v>市政基础设施</v>
      </c>
      <c r="R39" s="714" t="s">
        <v>21</v>
      </c>
      <c r="S39" s="715">
        <f t="shared" si="12"/>
        <v>100</v>
      </c>
      <c r="T39" s="714" t="s">
        <v>21</v>
      </c>
      <c r="U39" s="715">
        <f t="shared" si="13"/>
        <v>100</v>
      </c>
      <c r="V39" s="714" t="s">
        <v>21</v>
      </c>
      <c r="W39" s="715">
        <f t="shared" si="14"/>
        <v>100</v>
      </c>
      <c r="X39" s="1489"/>
      <c r="Y39" s="3469"/>
      <c r="Z39" s="1490" t="str">
        <f t="shared" si="18"/>
        <v>市政基础设施</v>
      </c>
      <c r="AA39" s="1487">
        <f t="shared" si="15"/>
        <v>1</v>
      </c>
      <c r="AB39" s="1487">
        <f t="shared" si="16"/>
        <v>1</v>
      </c>
      <c r="AC39" s="1487">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67"/>
      <c r="Q40" s="1486" t="str">
        <f t="shared" si="11"/>
        <v>房型</v>
      </c>
      <c r="R40" s="714" t="s">
        <v>21</v>
      </c>
      <c r="S40" s="715">
        <f t="shared" si="12"/>
        <v>100</v>
      </c>
      <c r="T40" s="714" t="s">
        <v>21</v>
      </c>
      <c r="U40" s="715">
        <f t="shared" si="13"/>
        <v>100</v>
      </c>
      <c r="V40" s="714" t="s">
        <v>21</v>
      </c>
      <c r="W40" s="715">
        <f t="shared" si="14"/>
        <v>100</v>
      </c>
      <c r="X40" s="1489"/>
      <c r="Y40" s="3469"/>
      <c r="Z40" s="1490" t="str">
        <f t="shared" si="18"/>
        <v>房型</v>
      </c>
      <c r="AA40" s="1487">
        <f t="shared" si="15"/>
        <v>1</v>
      </c>
      <c r="AB40" s="1487">
        <f t="shared" si="16"/>
        <v>1</v>
      </c>
      <c r="AC40" s="1487">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487">
        <f t="shared" si="15"/>
        <v>1</v>
      </c>
      <c r="AB41" s="1487">
        <f t="shared" si="16"/>
        <v>1</v>
      </c>
      <c r="AC41" s="1487">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67"/>
      <c r="Q42" s="1486" t="str">
        <f t="shared" si="11"/>
        <v>内部装修</v>
      </c>
      <c r="R42" s="714" t="s">
        <v>21</v>
      </c>
      <c r="S42" s="715">
        <f t="shared" si="12"/>
        <v>100</v>
      </c>
      <c r="T42" s="714" t="s">
        <v>21</v>
      </c>
      <c r="U42" s="715">
        <f t="shared" si="13"/>
        <v>100</v>
      </c>
      <c r="V42" s="714" t="s">
        <v>21</v>
      </c>
      <c r="W42" s="715">
        <f t="shared" si="14"/>
        <v>100</v>
      </c>
      <c r="X42" s="1489"/>
      <c r="Y42" s="3469"/>
      <c r="Z42" s="1490" t="str">
        <f t="shared" si="18"/>
        <v>内部装修</v>
      </c>
      <c r="AA42" s="1487">
        <f t="shared" si="15"/>
        <v>1</v>
      </c>
      <c r="AB42" s="1487">
        <f t="shared" si="16"/>
        <v>1</v>
      </c>
      <c r="AC42" s="1487">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67"/>
      <c r="Q43" s="1486" t="str">
        <f t="shared" si="11"/>
        <v>内部装修维护情况</v>
      </c>
      <c r="R43" s="714" t="s">
        <v>21</v>
      </c>
      <c r="S43" s="715">
        <f t="shared" si="12"/>
        <v>100</v>
      </c>
      <c r="T43" s="714" t="s">
        <v>21</v>
      </c>
      <c r="U43" s="715">
        <f t="shared" si="13"/>
        <v>100</v>
      </c>
      <c r="V43" s="714" t="s">
        <v>21</v>
      </c>
      <c r="W43" s="715">
        <f t="shared" si="14"/>
        <v>100</v>
      </c>
      <c r="X43" s="1489"/>
      <c r="Y43" s="3469"/>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67"/>
      <c r="Q44" s="1477">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67"/>
      <c r="Q45" s="1486">
        <f t="shared" si="11"/>
        <v>111</v>
      </c>
      <c r="R45" s="714" t="s">
        <v>21</v>
      </c>
      <c r="S45" s="715">
        <f t="shared" si="12"/>
        <v>100</v>
      </c>
      <c r="T45" s="714" t="s">
        <v>21</v>
      </c>
      <c r="U45" s="715">
        <f t="shared" si="13"/>
        <v>100</v>
      </c>
      <c r="V45" s="714" t="s">
        <v>21</v>
      </c>
      <c r="W45" s="715">
        <f t="shared" si="14"/>
        <v>100</v>
      </c>
      <c r="X45" s="1489"/>
      <c r="Y45" s="3469"/>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68"/>
      <c r="Q46" s="1486">
        <f t="shared" si="11"/>
        <v>111</v>
      </c>
      <c r="R46" s="714" t="s">
        <v>20</v>
      </c>
      <c r="S46" s="715">
        <f t="shared" si="12"/>
        <v>100</v>
      </c>
      <c r="T46" s="714" t="s">
        <v>20</v>
      </c>
      <c r="U46" s="715">
        <f t="shared" si="13"/>
        <v>100</v>
      </c>
      <c r="V46" s="714" t="s">
        <v>20</v>
      </c>
      <c r="W46" s="715">
        <f t="shared" si="14"/>
        <v>100</v>
      </c>
      <c r="X46" s="1489"/>
      <c r="Y46" s="3470"/>
      <c r="Z46" s="1490">
        <f t="shared" si="18"/>
        <v>111</v>
      </c>
      <c r="AA46" s="1487">
        <f t="shared" si="15"/>
        <v>1</v>
      </c>
      <c r="AB46" s="1487">
        <f t="shared" si="16"/>
        <v>1</v>
      </c>
      <c r="AC46" s="1487">
        <f t="shared" si="17"/>
        <v>1</v>
      </c>
    </row>
    <row r="47" spans="1:29" ht="15">
      <c r="A47" s="438" t="s">
        <v>2156</v>
      </c>
      <c r="B47" s="439"/>
      <c r="C47" s="1268" t="s">
        <v>19</v>
      </c>
      <c r="D47" s="1269"/>
      <c r="E47" s="1270"/>
      <c r="F47" s="1271"/>
      <c r="G47" s="1272"/>
      <c r="H47" s="1273"/>
      <c r="I47" s="1270"/>
      <c r="J47" s="1273"/>
      <c r="K47" s="2050"/>
      <c r="L47" s="2902"/>
      <c r="M47" s="2903"/>
      <c r="N47" s="2894"/>
      <c r="O47" s="2903"/>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2157</v>
      </c>
      <c r="B48" s="446"/>
      <c r="C48" s="1274" t="e">
        <f>R49</f>
        <v>#DIV/0!</v>
      </c>
      <c r="D48" s="2488" t="s">
        <v>2637</v>
      </c>
      <c r="E48" s="1275" t="e">
        <f>R48</f>
        <v>#DIV/0!</v>
      </c>
      <c r="F48" s="2489"/>
      <c r="G48" s="1274" t="e">
        <f>T48</f>
        <v>#DIV/0!</v>
      </c>
      <c r="H48" s="2489"/>
      <c r="I48" s="1275" t="e">
        <f>V48</f>
        <v>#DIV/0!</v>
      </c>
      <c r="J48" s="2489"/>
      <c r="K48" s="2490">
        <f>F48+H48+J48</f>
        <v>0</v>
      </c>
      <c r="L48" s="2902"/>
      <c r="M48" s="2903"/>
      <c r="N48" s="2903"/>
      <c r="O48" s="2903"/>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2158</v>
      </c>
      <c r="B49" s="450"/>
      <c r="C49" s="1276" t="e">
        <f>R49</f>
        <v>#DIV/0!</v>
      </c>
      <c r="D49" s="1277"/>
      <c r="E49" s="1277"/>
      <c r="F49" s="1277"/>
      <c r="G49" s="1277"/>
      <c r="H49" s="1277"/>
      <c r="I49" s="1277"/>
      <c r="J49" s="1277"/>
      <c r="K49" s="2051"/>
      <c r="L49" s="2902"/>
      <c r="M49" s="2903"/>
      <c r="N49" s="2903"/>
      <c r="O49" s="290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3"/>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2221</v>
      </c>
      <c r="C1" s="1358" t="s">
        <v>2109</v>
      </c>
      <c r="D1" s="1345"/>
      <c r="E1" s="2493"/>
      <c r="F1" s="2015"/>
      <c r="G1" s="1355" t="s">
        <v>2222</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1906</v>
      </c>
      <c r="B2" s="1278" t="e">
        <f ca="1">IF(C2="——",ROUND(C49*D3/10000,0),ROUND(C49*D3/10000,0)-D2)</f>
        <v>#DIV/0!</v>
      </c>
      <c r="C2" s="2017"/>
      <c r="D2" s="1227"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t="e">
        <f ca="1">IF(C2="——",C49,ROUND(B2*10000/D3,0))</f>
        <v>#DIV/0!</v>
      </c>
      <c r="C3" s="360" t="s">
        <v>2223</v>
      </c>
      <c r="D3" s="359">
        <f>IF(D1="",'数据-汇总表'!E3,SUMIF('数据-汇总表'!$C19:$C33,D1,'数据-汇总表'!$E19:$E33))</f>
        <v>24865.040000000005</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477" t="s">
        <v>2225</v>
      </c>
      <c r="D4" s="3478"/>
      <c r="E4" s="3479" t="s">
        <v>2226</v>
      </c>
      <c r="F4" s="3480"/>
      <c r="G4" s="3477" t="s">
        <v>2227</v>
      </c>
      <c r="H4" s="3478"/>
      <c r="I4" s="3477" t="s">
        <v>2228</v>
      </c>
      <c r="J4" s="3478"/>
      <c r="K4" s="567" t="s">
        <v>2229</v>
      </c>
      <c r="L4" s="2893"/>
      <c r="M4" s="2894"/>
      <c r="N4" s="2894"/>
      <c r="O4" s="2894"/>
      <c r="P4" s="3481" t="s">
        <v>2230</v>
      </c>
      <c r="Q4" s="3482"/>
      <c r="R4" s="3487" t="s">
        <v>2226</v>
      </c>
      <c r="S4" s="3488"/>
      <c r="T4" s="3487" t="s">
        <v>2227</v>
      </c>
      <c r="U4" s="3488"/>
      <c r="V4" s="3493" t="s">
        <v>2228</v>
      </c>
      <c r="W4" s="3493"/>
      <c r="X4" s="1489"/>
      <c r="Y4" s="3487" t="s">
        <v>2230</v>
      </c>
      <c r="Z4" s="3488"/>
      <c r="AA4" s="3474" t="s">
        <v>2226</v>
      </c>
      <c r="AB4" s="3493" t="s">
        <v>2227</v>
      </c>
      <c r="AC4" s="3474" t="s">
        <v>2228</v>
      </c>
    </row>
    <row r="5" spans="1:29" ht="15">
      <c r="A5" s="364"/>
      <c r="B5" s="365"/>
      <c r="C5" s="3496" t="s">
        <v>2121</v>
      </c>
      <c r="D5" s="3497"/>
      <c r="E5" s="3503" t="s">
        <v>2122</v>
      </c>
      <c r="F5" s="3504"/>
      <c r="G5" s="3496" t="s">
        <v>2123</v>
      </c>
      <c r="H5" s="3497"/>
      <c r="I5" s="3496" t="s">
        <v>2124</v>
      </c>
      <c r="J5" s="3497"/>
      <c r="K5" s="567"/>
      <c r="L5" s="2893"/>
      <c r="M5" s="2894"/>
      <c r="N5" s="2894"/>
      <c r="O5" s="2894"/>
      <c r="P5" s="3483"/>
      <c r="Q5" s="3484"/>
      <c r="R5" s="3489"/>
      <c r="S5" s="3490"/>
      <c r="T5" s="3489"/>
      <c r="U5" s="3490"/>
      <c r="V5" s="3493"/>
      <c r="W5" s="3493"/>
      <c r="X5" s="1489"/>
      <c r="Y5" s="3489"/>
      <c r="Z5" s="3490"/>
      <c r="AA5" s="3475"/>
      <c r="AB5" s="3493"/>
      <c r="AC5" s="3475"/>
    </row>
    <row r="6" spans="1:29" ht="15.75" thickBot="1">
      <c r="A6" s="366"/>
      <c r="B6" s="367"/>
      <c r="C6" s="3494" t="s">
        <v>2125</v>
      </c>
      <c r="D6" s="3495"/>
      <c r="E6" s="3501" t="s">
        <v>2125</v>
      </c>
      <c r="F6" s="3502"/>
      <c r="G6" s="3494" t="s">
        <v>2125</v>
      </c>
      <c r="H6" s="3495"/>
      <c r="I6" s="3494" t="s">
        <v>2125</v>
      </c>
      <c r="J6" s="3495"/>
      <c r="K6" s="567" t="s">
        <v>2126</v>
      </c>
      <c r="L6" s="2893"/>
      <c r="M6" s="2894"/>
      <c r="N6" s="2894"/>
      <c r="O6" s="2894"/>
      <c r="P6" s="3485"/>
      <c r="Q6" s="3486"/>
      <c r="R6" s="3489"/>
      <c r="S6" s="3490"/>
      <c r="T6" s="3491"/>
      <c r="U6" s="3492"/>
      <c r="V6" s="3493"/>
      <c r="W6" s="3493"/>
      <c r="X6" s="1489"/>
      <c r="Y6" s="3491"/>
      <c r="Z6" s="3492"/>
      <c r="AA6" s="3476"/>
      <c r="AB6" s="3493"/>
      <c r="AC6" s="3476"/>
    </row>
    <row r="7" spans="1:29" s="113" customFormat="1" ht="15.75" thickBot="1">
      <c r="A7" s="368" t="s">
        <v>2127</v>
      </c>
      <c r="B7" s="369"/>
      <c r="C7" s="370">
        <f>'数据-取费表'!B2</f>
        <v>44805</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8" t="s">
        <v>2128</v>
      </c>
      <c r="Q7" s="3500"/>
      <c r="R7" s="710" t="s">
        <v>17</v>
      </c>
      <c r="S7" s="711">
        <f t="shared" ref="S7:S15" si="0">F7</f>
        <v>0</v>
      </c>
      <c r="T7" s="710" t="s">
        <v>17</v>
      </c>
      <c r="U7" s="711">
        <f t="shared" ref="U7:U15" si="1">H7</f>
        <v>0</v>
      </c>
      <c r="V7" s="710" t="s">
        <v>17</v>
      </c>
      <c r="W7" s="711">
        <f t="shared" ref="W7:W15" si="2">J7</f>
        <v>0</v>
      </c>
      <c r="X7" s="712"/>
      <c r="Y7" s="3498" t="s">
        <v>2128</v>
      </c>
      <c r="Z7" s="3499"/>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8" t="s">
        <v>2131</v>
      </c>
      <c r="Q8" s="3499"/>
      <c r="R8" s="710" t="s">
        <v>17</v>
      </c>
      <c r="S8" s="711">
        <f t="shared" si="0"/>
        <v>0</v>
      </c>
      <c r="T8" s="710" t="s">
        <v>17</v>
      </c>
      <c r="U8" s="711">
        <f t="shared" si="1"/>
        <v>0</v>
      </c>
      <c r="V8" s="710" t="s">
        <v>17</v>
      </c>
      <c r="W8" s="711">
        <f t="shared" si="2"/>
        <v>0</v>
      </c>
      <c r="X8" s="712"/>
      <c r="Y8" s="3498" t="s">
        <v>2131</v>
      </c>
      <c r="Z8" s="3499"/>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3"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3"/>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3"/>
      <c r="Q11" s="147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3"/>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3"/>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3"/>
      <c r="Q14" s="147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71" t="s">
        <v>2139</v>
      </c>
      <c r="Q15" s="1486" t="str">
        <f t="shared" si="6"/>
        <v>商业繁华度</v>
      </c>
      <c r="R15" s="714" t="s">
        <v>17</v>
      </c>
      <c r="S15" s="715">
        <f t="shared" si="0"/>
        <v>100</v>
      </c>
      <c r="T15" s="714" t="s">
        <v>17</v>
      </c>
      <c r="U15" s="715">
        <f t="shared" si="1"/>
        <v>100</v>
      </c>
      <c r="V15" s="714" t="s">
        <v>17</v>
      </c>
      <c r="W15" s="715">
        <f t="shared" si="2"/>
        <v>100</v>
      </c>
      <c r="X15" s="1489"/>
      <c r="Y15" s="3464" t="s">
        <v>2139</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472"/>
      <c r="Q16" s="1486"/>
      <c r="R16" s="714"/>
      <c r="S16" s="715"/>
      <c r="T16" s="714"/>
      <c r="U16" s="715"/>
      <c r="V16" s="714"/>
      <c r="W16" s="715"/>
      <c r="X16" s="1489"/>
      <c r="Y16" s="3465"/>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2"/>
      <c r="Q17" s="1486" t="str">
        <f>B17</f>
        <v>交通便捷度</v>
      </c>
      <c r="R17" s="714" t="s">
        <v>17</v>
      </c>
      <c r="S17" s="715">
        <f>F17</f>
        <v>100</v>
      </c>
      <c r="T17" s="714" t="s">
        <v>17</v>
      </c>
      <c r="U17" s="715">
        <f>H17</f>
        <v>100</v>
      </c>
      <c r="V17" s="714" t="s">
        <v>17</v>
      </c>
      <c r="W17" s="715">
        <f>J17</f>
        <v>100</v>
      </c>
      <c r="X17" s="1489"/>
      <c r="Y17" s="346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472"/>
      <c r="Q18" s="1486"/>
      <c r="R18" s="714"/>
      <c r="S18" s="715"/>
      <c r="T18" s="714"/>
      <c r="U18" s="715"/>
      <c r="V18" s="714"/>
      <c r="W18" s="715"/>
      <c r="X18" s="1489"/>
      <c r="Y18" s="3465"/>
      <c r="Z18" s="1490"/>
      <c r="AA18" s="1487">
        <v>1</v>
      </c>
      <c r="AB18" s="1487">
        <v>1</v>
      </c>
      <c r="AC18" s="1487">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2"/>
      <c r="Q19" s="1486" t="str">
        <f>B19</f>
        <v>公共配套设施</v>
      </c>
      <c r="R19" s="714" t="s">
        <v>17</v>
      </c>
      <c r="S19" s="715">
        <f>F19</f>
        <v>100</v>
      </c>
      <c r="T19" s="714" t="s">
        <v>17</v>
      </c>
      <c r="U19" s="715">
        <f>H19</f>
        <v>100</v>
      </c>
      <c r="V19" s="714" t="s">
        <v>17</v>
      </c>
      <c r="W19" s="715">
        <f>J19</f>
        <v>100</v>
      </c>
      <c r="X19" s="1489"/>
      <c r="Y19" s="346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472"/>
      <c r="Q20" s="1486"/>
      <c r="R20" s="714"/>
      <c r="S20" s="715"/>
      <c r="T20" s="714"/>
      <c r="U20" s="715"/>
      <c r="V20" s="714"/>
      <c r="W20" s="715"/>
      <c r="X20" s="1489"/>
      <c r="Y20" s="3465"/>
      <c r="Z20" s="1490"/>
      <c r="AA20" s="1487">
        <v>1</v>
      </c>
      <c r="AB20" s="1487">
        <v>1</v>
      </c>
      <c r="AC20" s="1487">
        <v>1</v>
      </c>
    </row>
    <row r="21" spans="1:29" ht="28.5">
      <c r="A21" s="387"/>
      <c r="B21" s="1245"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2"/>
      <c r="Q21" s="1486" t="str">
        <f>B21</f>
        <v>基础设施水平</v>
      </c>
      <c r="R21" s="714" t="s">
        <v>17</v>
      </c>
      <c r="S21" s="715">
        <f>F21</f>
        <v>100</v>
      </c>
      <c r="T21" s="714" t="s">
        <v>17</v>
      </c>
      <c r="U21" s="715">
        <f>H21</f>
        <v>100</v>
      </c>
      <c r="V21" s="714" t="s">
        <v>17</v>
      </c>
      <c r="W21" s="715">
        <f>J21</f>
        <v>100</v>
      </c>
      <c r="X21" s="1489"/>
      <c r="Y21" s="346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472"/>
      <c r="Q22" s="1486"/>
      <c r="R22" s="714"/>
      <c r="S22" s="715"/>
      <c r="T22" s="714"/>
      <c r="U22" s="715"/>
      <c r="V22" s="714"/>
      <c r="W22" s="715"/>
      <c r="X22" s="1489"/>
      <c r="Y22" s="3465"/>
      <c r="Z22" s="1490"/>
      <c r="AA22" s="1487">
        <v>1</v>
      </c>
      <c r="AB22" s="1487">
        <v>1</v>
      </c>
      <c r="AC22" s="1487">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2"/>
      <c r="Q23" s="1486" t="str">
        <f>B23</f>
        <v>自然及人文环境</v>
      </c>
      <c r="R23" s="714" t="s">
        <v>17</v>
      </c>
      <c r="S23" s="715">
        <f>F23</f>
        <v>100</v>
      </c>
      <c r="T23" s="714" t="s">
        <v>17</v>
      </c>
      <c r="U23" s="715">
        <f>H23</f>
        <v>100</v>
      </c>
      <c r="V23" s="714" t="s">
        <v>17</v>
      </c>
      <c r="W23" s="715">
        <f>J23</f>
        <v>100</v>
      </c>
      <c r="X23" s="1489"/>
      <c r="Y23" s="3465"/>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472"/>
      <c r="Q24" s="1486"/>
      <c r="R24" s="714"/>
      <c r="S24" s="715"/>
      <c r="T24" s="714"/>
      <c r="U24" s="715"/>
      <c r="V24" s="714"/>
      <c r="W24" s="715"/>
      <c r="X24" s="1489"/>
      <c r="Y24" s="3465"/>
      <c r="Z24" s="1490"/>
      <c r="AA24" s="1487">
        <v>1</v>
      </c>
      <c r="AB24" s="1487">
        <v>1</v>
      </c>
      <c r="AC24" s="1487">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2"/>
      <c r="Q25" s="1486" t="str">
        <f t="shared" ref="Q25:Q46" si="11">B25</f>
        <v>临街状况</v>
      </c>
      <c r="R25" s="714" t="s">
        <v>17</v>
      </c>
      <c r="S25" s="715">
        <f>F25</f>
        <v>100</v>
      </c>
      <c r="T25" s="714" t="s">
        <v>17</v>
      </c>
      <c r="U25" s="715">
        <f>H25</f>
        <v>100</v>
      </c>
      <c r="V25" s="714" t="s">
        <v>17</v>
      </c>
      <c r="W25" s="715">
        <f>J25</f>
        <v>100</v>
      </c>
      <c r="X25" s="1489"/>
      <c r="Y25" s="3465"/>
      <c r="Z25" s="1490" t="str">
        <f>Q25</f>
        <v>临街状况</v>
      </c>
      <c r="AA25" s="1487">
        <f t="shared" si="3"/>
        <v>1</v>
      </c>
      <c r="AB25" s="1487">
        <f t="shared" si="4"/>
        <v>1</v>
      </c>
      <c r="AC25" s="1487">
        <f t="shared" si="5"/>
        <v>1</v>
      </c>
    </row>
    <row r="26" spans="1:29" ht="15">
      <c r="A26" s="387"/>
      <c r="B26" s="1247"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2"/>
      <c r="Q26" s="1486" t="str">
        <f t="shared" si="11"/>
        <v>平面位置/可视性</v>
      </c>
      <c r="R26" s="714" t="s">
        <v>17</v>
      </c>
      <c r="S26" s="715">
        <f>F26</f>
        <v>100</v>
      </c>
      <c r="T26" s="714" t="s">
        <v>17</v>
      </c>
      <c r="U26" s="715">
        <f>H26</f>
        <v>100</v>
      </c>
      <c r="V26" s="714" t="s">
        <v>17</v>
      </c>
      <c r="W26" s="715">
        <f>J26</f>
        <v>100</v>
      </c>
      <c r="X26" s="1489"/>
      <c r="Y26" s="3465"/>
      <c r="Z26" s="1490" t="str">
        <f>Q26</f>
        <v>平面位置/可视性</v>
      </c>
      <c r="AA26" s="1487">
        <f t="shared" si="3"/>
        <v>1</v>
      </c>
      <c r="AB26" s="1487">
        <f t="shared" si="4"/>
        <v>1</v>
      </c>
      <c r="AC26" s="1487">
        <f t="shared" si="5"/>
        <v>1</v>
      </c>
    </row>
    <row r="27" spans="1:29" s="113" customFormat="1" ht="15">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72"/>
      <c r="Q27" s="1477" t="str">
        <f t="shared" si="11"/>
        <v>人流量</v>
      </c>
      <c r="R27" s="710" t="s">
        <v>17</v>
      </c>
      <c r="S27" s="711">
        <f>F27</f>
        <v>100</v>
      </c>
      <c r="T27" s="710" t="s">
        <v>17</v>
      </c>
      <c r="U27" s="711">
        <f>H27</f>
        <v>100</v>
      </c>
      <c r="V27" s="710" t="s">
        <v>17</v>
      </c>
      <c r="W27" s="711">
        <f>J27</f>
        <v>100</v>
      </c>
      <c r="X27" s="712"/>
      <c r="Y27" s="3465"/>
      <c r="Z27" s="55" t="str">
        <f>Q27</f>
        <v>人流量</v>
      </c>
      <c r="AA27" s="1487">
        <f>D27/F27</f>
        <v>1</v>
      </c>
      <c r="AB27" s="1487">
        <f>D27/H27</f>
        <v>1</v>
      </c>
      <c r="AC27" s="1487">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5"/>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2"/>
      <c r="Q29" s="1486">
        <f t="shared" si="11"/>
        <v>111</v>
      </c>
      <c r="R29" s="714" t="s">
        <v>17</v>
      </c>
      <c r="S29" s="715">
        <f t="shared" si="12"/>
        <v>100</v>
      </c>
      <c r="T29" s="714" t="s">
        <v>17</v>
      </c>
      <c r="U29" s="715">
        <f t="shared" si="13"/>
        <v>100</v>
      </c>
      <c r="V29" s="714" t="s">
        <v>17</v>
      </c>
      <c r="W29" s="715">
        <f t="shared" si="14"/>
        <v>100</v>
      </c>
      <c r="X29" s="1489"/>
      <c r="Y29" s="3465"/>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2"/>
      <c r="Q30" s="1486">
        <f t="shared" si="11"/>
        <v>111</v>
      </c>
      <c r="R30" s="714" t="s">
        <v>17</v>
      </c>
      <c r="S30" s="715">
        <f t="shared" si="12"/>
        <v>100</v>
      </c>
      <c r="T30" s="714" t="s">
        <v>17</v>
      </c>
      <c r="U30" s="715">
        <f t="shared" si="13"/>
        <v>100</v>
      </c>
      <c r="V30" s="714" t="s">
        <v>17</v>
      </c>
      <c r="W30" s="715">
        <f t="shared" si="14"/>
        <v>100</v>
      </c>
      <c r="X30" s="1489"/>
      <c r="Y30" s="3465"/>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2"/>
      <c r="Q31" s="1486">
        <f t="shared" si="11"/>
        <v>111</v>
      </c>
      <c r="R31" s="714" t="s">
        <v>17</v>
      </c>
      <c r="S31" s="715">
        <f t="shared" si="12"/>
        <v>100</v>
      </c>
      <c r="T31" s="714" t="s">
        <v>17</v>
      </c>
      <c r="U31" s="715">
        <f t="shared" si="13"/>
        <v>100</v>
      </c>
      <c r="V31" s="714" t="s">
        <v>17</v>
      </c>
      <c r="W31" s="715">
        <f t="shared" si="14"/>
        <v>100</v>
      </c>
      <c r="X31" s="1489"/>
      <c r="Y31" s="3465"/>
      <c r="Z31" s="1490">
        <f t="shared" si="15"/>
        <v>111</v>
      </c>
      <c r="AA31" s="1487">
        <f t="shared" si="3"/>
        <v>1</v>
      </c>
      <c r="AB31" s="1487">
        <f t="shared" si="4"/>
        <v>1</v>
      </c>
      <c r="AC31" s="1487">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66" t="s">
        <v>2144</v>
      </c>
      <c r="Q32" s="1486" t="str">
        <f t="shared" si="11"/>
        <v>商业类型</v>
      </c>
      <c r="R32" s="714" t="s">
        <v>17</v>
      </c>
      <c r="S32" s="715">
        <f t="shared" si="12"/>
        <v>100</v>
      </c>
      <c r="T32" s="714" t="s">
        <v>17</v>
      </c>
      <c r="U32" s="715">
        <f t="shared" si="13"/>
        <v>100</v>
      </c>
      <c r="V32" s="714" t="s">
        <v>17</v>
      </c>
      <c r="W32" s="715">
        <f t="shared" si="14"/>
        <v>100</v>
      </c>
      <c r="X32" s="1489"/>
      <c r="Y32" s="3469" t="s">
        <v>2144</v>
      </c>
      <c r="Z32" s="1490" t="str">
        <f t="shared" si="15"/>
        <v>商业类型</v>
      </c>
      <c r="AA32" s="1487">
        <f t="shared" si="3"/>
        <v>1</v>
      </c>
      <c r="AB32" s="1487">
        <f t="shared" si="4"/>
        <v>1</v>
      </c>
      <c r="AC32" s="1487">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487" t="e">
        <f t="shared" si="3"/>
        <v>#N/A</v>
      </c>
      <c r="AB33" s="1487" t="e">
        <f t="shared" si="4"/>
        <v>#N/A</v>
      </c>
      <c r="AC33" s="1487" t="e">
        <f t="shared" si="5"/>
        <v>#N/A</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67"/>
      <c r="Q34" s="1486" t="str">
        <f t="shared" si="11"/>
        <v>建筑结构</v>
      </c>
      <c r="R34" s="714" t="s">
        <v>17</v>
      </c>
      <c r="S34" s="715">
        <f t="shared" si="12"/>
        <v>100</v>
      </c>
      <c r="T34" s="714" t="s">
        <v>17</v>
      </c>
      <c r="U34" s="715">
        <f t="shared" si="13"/>
        <v>100</v>
      </c>
      <c r="V34" s="714" t="s">
        <v>17</v>
      </c>
      <c r="W34" s="715">
        <f t="shared" si="14"/>
        <v>100</v>
      </c>
      <c r="X34" s="1489"/>
      <c r="Y34" s="3469"/>
      <c r="Z34" s="1490" t="str">
        <f t="shared" si="15"/>
        <v>建筑结构</v>
      </c>
      <c r="AA34" s="1487">
        <f t="shared" si="3"/>
        <v>1</v>
      </c>
      <c r="AB34" s="1487">
        <f t="shared" si="4"/>
        <v>1</v>
      </c>
      <c r="AC34" s="1487">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67"/>
      <c r="Q35" s="1486" t="str">
        <f t="shared" si="11"/>
        <v>公共部分装修</v>
      </c>
      <c r="R35" s="714" t="s">
        <v>17</v>
      </c>
      <c r="S35" s="715">
        <f t="shared" si="12"/>
        <v>100</v>
      </c>
      <c r="T35" s="714" t="s">
        <v>17</v>
      </c>
      <c r="U35" s="715">
        <f t="shared" si="13"/>
        <v>100</v>
      </c>
      <c r="V35" s="714" t="s">
        <v>17</v>
      </c>
      <c r="W35" s="715">
        <f t="shared" si="14"/>
        <v>100</v>
      </c>
      <c r="X35" s="1489"/>
      <c r="Y35" s="3469"/>
      <c r="Z35" s="1490" t="str">
        <f t="shared" si="15"/>
        <v>公共部分装修</v>
      </c>
      <c r="AA35" s="1487">
        <f t="shared" si="3"/>
        <v>1</v>
      </c>
      <c r="AB35" s="1487">
        <f t="shared" si="4"/>
        <v>1</v>
      </c>
      <c r="AC35" s="1487">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7"/>
      <c r="Q36" s="1486" t="str">
        <f t="shared" si="11"/>
        <v>成新度</v>
      </c>
      <c r="R36" s="714" t="s">
        <v>17</v>
      </c>
      <c r="S36" s="715" t="e">
        <f t="shared" si="12"/>
        <v>#N/A</v>
      </c>
      <c r="T36" s="714" t="s">
        <v>17</v>
      </c>
      <c r="U36" s="715" t="e">
        <f t="shared" si="13"/>
        <v>#N/A</v>
      </c>
      <c r="V36" s="714" t="s">
        <v>17</v>
      </c>
      <c r="W36" s="715" t="e">
        <f t="shared" si="14"/>
        <v>#N/A</v>
      </c>
      <c r="X36" s="1489"/>
      <c r="Y36" s="3469"/>
      <c r="Z36" s="1490" t="str">
        <f t="shared" si="15"/>
        <v>成新度</v>
      </c>
      <c r="AA36" s="1487" t="e">
        <f t="shared" si="3"/>
        <v>#N/A</v>
      </c>
      <c r="AB36" s="1487" t="e">
        <f t="shared" si="4"/>
        <v>#N/A</v>
      </c>
      <c r="AC36" s="1487" t="e">
        <f t="shared" si="5"/>
        <v>#N/A</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67"/>
      <c r="Q37" s="1477"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67" t="s">
        <v>2144</v>
      </c>
      <c r="Q38" s="1486" t="str">
        <f t="shared" si="11"/>
        <v>业态</v>
      </c>
      <c r="R38" s="714" t="s">
        <v>17</v>
      </c>
      <c r="S38" s="715">
        <f t="shared" si="12"/>
        <v>100</v>
      </c>
      <c r="T38" s="714" t="s">
        <v>17</v>
      </c>
      <c r="U38" s="715">
        <f t="shared" si="13"/>
        <v>100</v>
      </c>
      <c r="V38" s="714" t="s">
        <v>17</v>
      </c>
      <c r="W38" s="715">
        <f t="shared" si="14"/>
        <v>100</v>
      </c>
      <c r="X38" s="1489"/>
      <c r="Y38" s="3469" t="s">
        <v>2144</v>
      </c>
      <c r="Z38" s="1490" t="str">
        <f t="shared" si="15"/>
        <v>业态</v>
      </c>
      <c r="AA38" s="1487">
        <f t="shared" si="3"/>
        <v>1</v>
      </c>
      <c r="AB38" s="1487">
        <f t="shared" si="4"/>
        <v>1</v>
      </c>
      <c r="AC38" s="1487">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67"/>
      <c r="Q39" s="1486" t="str">
        <f t="shared" si="11"/>
        <v>层高</v>
      </c>
      <c r="R39" s="714" t="s">
        <v>17</v>
      </c>
      <c r="S39" s="715">
        <f t="shared" si="12"/>
        <v>100</v>
      </c>
      <c r="T39" s="714" t="s">
        <v>17</v>
      </c>
      <c r="U39" s="715">
        <f t="shared" si="13"/>
        <v>100</v>
      </c>
      <c r="V39" s="714" t="s">
        <v>17</v>
      </c>
      <c r="W39" s="715">
        <f t="shared" si="14"/>
        <v>100</v>
      </c>
      <c r="X39" s="1489"/>
      <c r="Y39" s="3469"/>
      <c r="Z39" s="1490" t="str">
        <f t="shared" si="15"/>
        <v>层高</v>
      </c>
      <c r="AA39" s="1487">
        <f t="shared" si="3"/>
        <v>1</v>
      </c>
      <c r="AB39" s="1487">
        <f t="shared" si="4"/>
        <v>1</v>
      </c>
      <c r="AC39" s="1487">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7"/>
      <c r="Q40" s="1486" t="str">
        <f t="shared" si="11"/>
        <v>单套建筑面积</v>
      </c>
      <c r="R40" s="714" t="s">
        <v>17</v>
      </c>
      <c r="S40" s="715">
        <f t="shared" si="12"/>
        <v>100</v>
      </c>
      <c r="T40" s="714" t="s">
        <v>17</v>
      </c>
      <c r="U40" s="715">
        <f t="shared" si="13"/>
        <v>100</v>
      </c>
      <c r="V40" s="714" t="s">
        <v>17</v>
      </c>
      <c r="W40" s="715">
        <f t="shared" si="14"/>
        <v>100</v>
      </c>
      <c r="X40" s="1489"/>
      <c r="Y40" s="3469"/>
      <c r="Z40" s="1490" t="str">
        <f t="shared" si="15"/>
        <v>单套建筑面积</v>
      </c>
      <c r="AA40" s="1487">
        <f t="shared" si="3"/>
        <v>1</v>
      </c>
      <c r="AB40" s="1487">
        <f t="shared" si="4"/>
        <v>1</v>
      </c>
      <c r="AC40" s="1487">
        <f t="shared" si="5"/>
        <v>1</v>
      </c>
    </row>
    <row r="41" spans="1:29" s="430" customFormat="1" ht="15">
      <c r="A41" s="427"/>
      <c r="B41" s="1488"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487">
        <f t="shared" si="3"/>
        <v>1</v>
      </c>
      <c r="AB41" s="1487">
        <f t="shared" si="4"/>
        <v>1</v>
      </c>
      <c r="AC41" s="1487">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67"/>
      <c r="Q42" s="1486" t="str">
        <f t="shared" si="11"/>
        <v>内部装修</v>
      </c>
      <c r="R42" s="714" t="s">
        <v>17</v>
      </c>
      <c r="S42" s="715">
        <f t="shared" si="12"/>
        <v>100</v>
      </c>
      <c r="T42" s="714" t="s">
        <v>17</v>
      </c>
      <c r="U42" s="715">
        <f t="shared" si="13"/>
        <v>100</v>
      </c>
      <c r="V42" s="714" t="s">
        <v>17</v>
      </c>
      <c r="W42" s="715">
        <f t="shared" si="14"/>
        <v>100</v>
      </c>
      <c r="X42" s="1489"/>
      <c r="Y42" s="3469"/>
      <c r="Z42" s="1490" t="str">
        <f t="shared" si="15"/>
        <v>内部装修</v>
      </c>
      <c r="AA42" s="1487">
        <f t="shared" si="3"/>
        <v>1</v>
      </c>
      <c r="AB42" s="1487">
        <f t="shared" si="4"/>
        <v>1</v>
      </c>
      <c r="AC42" s="1487">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67"/>
      <c r="Q43" s="1486" t="str">
        <f t="shared" si="11"/>
        <v>内部装修维护情况</v>
      </c>
      <c r="R43" s="714" t="s">
        <v>17</v>
      </c>
      <c r="S43" s="715">
        <f t="shared" si="12"/>
        <v>100</v>
      </c>
      <c r="T43" s="714" t="s">
        <v>17</v>
      </c>
      <c r="U43" s="715">
        <f t="shared" si="13"/>
        <v>100</v>
      </c>
      <c r="V43" s="714" t="s">
        <v>17</v>
      </c>
      <c r="W43" s="715">
        <f t="shared" si="14"/>
        <v>100</v>
      </c>
      <c r="X43" s="1489"/>
      <c r="Y43" s="3469"/>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7"/>
      <c r="Q44" s="1477">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7"/>
      <c r="Q45" s="1486">
        <f t="shared" si="11"/>
        <v>111</v>
      </c>
      <c r="R45" s="714" t="s">
        <v>17</v>
      </c>
      <c r="S45" s="715">
        <f t="shared" si="12"/>
        <v>100</v>
      </c>
      <c r="T45" s="714" t="s">
        <v>17</v>
      </c>
      <c r="U45" s="715">
        <f t="shared" si="13"/>
        <v>100</v>
      </c>
      <c r="V45" s="714" t="s">
        <v>17</v>
      </c>
      <c r="W45" s="715">
        <f t="shared" si="14"/>
        <v>100</v>
      </c>
      <c r="X45" s="1489"/>
      <c r="Y45" s="3469"/>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8"/>
      <c r="Q46" s="1486">
        <f t="shared" si="11"/>
        <v>111</v>
      </c>
      <c r="R46" s="714" t="s">
        <v>17</v>
      </c>
      <c r="S46" s="715">
        <f t="shared" si="12"/>
        <v>100</v>
      </c>
      <c r="T46" s="714" t="s">
        <v>17</v>
      </c>
      <c r="U46" s="715">
        <f t="shared" si="13"/>
        <v>100</v>
      </c>
      <c r="V46" s="714" t="s">
        <v>17</v>
      </c>
      <c r="W46" s="715">
        <f t="shared" si="14"/>
        <v>100</v>
      </c>
      <c r="X46" s="1489"/>
      <c r="Y46" s="3470"/>
      <c r="Z46" s="1490">
        <f t="shared" si="15"/>
        <v>111</v>
      </c>
      <c r="AA46" s="1487">
        <f t="shared" si="3"/>
        <v>1</v>
      </c>
      <c r="AB46" s="1487">
        <f t="shared" si="4"/>
        <v>1</v>
      </c>
      <c r="AC46" s="1487">
        <f t="shared" si="5"/>
        <v>1</v>
      </c>
    </row>
    <row r="47" spans="1:29" ht="15">
      <c r="A47" s="438" t="s">
        <v>2156</v>
      </c>
      <c r="B47" s="439"/>
      <c r="C47" s="1268" t="s">
        <v>1</v>
      </c>
      <c r="D47" s="1269"/>
      <c r="E47" s="1270"/>
      <c r="F47" s="1271"/>
      <c r="G47" s="1272"/>
      <c r="H47" s="1273"/>
      <c r="I47" s="1270"/>
      <c r="J47" s="1273"/>
      <c r="K47" s="723"/>
      <c r="L47" s="2902"/>
      <c r="M47" s="2903"/>
      <c r="N47" s="2894"/>
      <c r="O47" s="2903"/>
      <c r="P47" s="3462" t="str">
        <f>A47</f>
        <v>成交单价（元/平方米）</v>
      </c>
      <c r="Q47" s="3462"/>
      <c r="R47" s="3493">
        <f>E47</f>
        <v>0</v>
      </c>
      <c r="S47" s="3493"/>
      <c r="T47" s="3493">
        <f>G47</f>
        <v>0</v>
      </c>
      <c r="U47" s="3493"/>
      <c r="V47" s="3493">
        <f>I47</f>
        <v>0</v>
      </c>
      <c r="W47" s="3493"/>
      <c r="X47" s="699"/>
      <c r="Y47" s="721"/>
      <c r="Z47" s="699"/>
      <c r="AA47" s="699"/>
      <c r="AB47" s="699"/>
      <c r="AC47" s="699"/>
    </row>
    <row r="48" spans="1:29" ht="15.75" thickBot="1">
      <c r="A48" s="445" t="s">
        <v>2248</v>
      </c>
      <c r="B48" s="446"/>
      <c r="C48" s="1274" t="e">
        <f>R49</f>
        <v>#DIV/0!</v>
      </c>
      <c r="D48" s="2488" t="s">
        <v>2637</v>
      </c>
      <c r="E48" s="1275" t="e">
        <f>R48</f>
        <v>#DIV/0!</v>
      </c>
      <c r="F48" s="2489"/>
      <c r="G48" s="1274" t="e">
        <f>T48</f>
        <v>#DIV/0!</v>
      </c>
      <c r="H48" s="2489"/>
      <c r="I48" s="1275" t="e">
        <f>V48</f>
        <v>#DIV/0!</v>
      </c>
      <c r="J48" s="2489"/>
      <c r="K48" s="2491">
        <f>F48+H48+J48</f>
        <v>0</v>
      </c>
      <c r="L48" s="2902"/>
      <c r="M48" s="2903"/>
      <c r="N48" s="2894"/>
      <c r="O48" s="2903"/>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2249</v>
      </c>
      <c r="B49" s="450"/>
      <c r="C49" s="1277" t="e">
        <f>R49</f>
        <v>#DIV/0!</v>
      </c>
      <c r="D49" s="1277"/>
      <c r="E49" s="1277"/>
      <c r="F49" s="1277"/>
      <c r="G49" s="1277"/>
      <c r="H49" s="1277"/>
      <c r="I49" s="1277"/>
      <c r="J49" s="1277"/>
      <c r="K49" s="724"/>
      <c r="L49" s="2902"/>
      <c r="M49" s="2903"/>
      <c r="N49" s="2894"/>
      <c r="O49" s="290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1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618" t="s">
        <v>1338</v>
      </c>
    </row>
    <row r="9" spans="1:1" ht="18.75">
      <c r="A9" s="1617" t="s">
        <v>1339</v>
      </c>
    </row>
    <row r="10" spans="1:1" ht="18">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2022年9月1日</v>
      </c>
    </row>
    <row r="16" spans="1:1" ht="18.75">
      <c r="A16" s="1620" t="s">
        <v>1343</v>
      </c>
    </row>
    <row r="17" spans="1:1" ht="75">
      <c r="A17" s="1615" t="s">
        <v>1344</v>
      </c>
    </row>
    <row r="18" spans="1:1" ht="36">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2281</v>
      </c>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24865.040000000005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7" t="s">
        <v>2225</v>
      </c>
      <c r="D4" s="3478"/>
      <c r="E4" s="3479" t="s">
        <v>2226</v>
      </c>
      <c r="F4" s="3480"/>
      <c r="G4" s="3477" t="s">
        <v>2227</v>
      </c>
      <c r="H4" s="3478"/>
      <c r="I4" s="3477" t="s">
        <v>2228</v>
      </c>
      <c r="J4" s="3478"/>
      <c r="K4" s="567" t="s">
        <v>2229</v>
      </c>
      <c r="L4" s="1025"/>
      <c r="M4" s="1026"/>
      <c r="N4" s="1026"/>
      <c r="O4" s="1026"/>
      <c r="P4" s="3481" t="s">
        <v>2230</v>
      </c>
      <c r="Q4" s="3482"/>
      <c r="R4" s="3487" t="s">
        <v>2226</v>
      </c>
      <c r="S4" s="3488"/>
      <c r="T4" s="3487" t="s">
        <v>2227</v>
      </c>
      <c r="U4" s="3488"/>
      <c r="V4" s="3493" t="s">
        <v>2228</v>
      </c>
      <c r="W4" s="3493"/>
      <c r="X4" s="1489"/>
      <c r="Y4" s="3487" t="s">
        <v>2230</v>
      </c>
      <c r="Z4" s="3488"/>
      <c r="AA4" s="3474" t="s">
        <v>2226</v>
      </c>
      <c r="AB4" s="3475" t="s">
        <v>2227</v>
      </c>
      <c r="AC4" s="3474" t="s">
        <v>2228</v>
      </c>
    </row>
    <row r="5" spans="1:29" ht="15">
      <c r="A5" s="364"/>
      <c r="B5" s="365"/>
      <c r="C5" s="3496" t="s">
        <v>2121</v>
      </c>
      <c r="D5" s="3497"/>
      <c r="E5" s="3503" t="s">
        <v>2122</v>
      </c>
      <c r="F5" s="3504"/>
      <c r="G5" s="3496" t="s">
        <v>2123</v>
      </c>
      <c r="H5" s="3497"/>
      <c r="I5" s="3496" t="s">
        <v>2124</v>
      </c>
      <c r="J5" s="3497"/>
      <c r="K5" s="567"/>
      <c r="L5" s="1025"/>
      <c r="M5" s="1026"/>
      <c r="N5" s="1026"/>
      <c r="O5" s="1026"/>
      <c r="P5" s="3483"/>
      <c r="Q5" s="3484"/>
      <c r="R5" s="3489"/>
      <c r="S5" s="3490"/>
      <c r="T5" s="3489"/>
      <c r="U5" s="3490"/>
      <c r="V5" s="3493"/>
      <c r="W5" s="3493"/>
      <c r="X5" s="1489"/>
      <c r="Y5" s="3489"/>
      <c r="Z5" s="3490"/>
      <c r="AA5" s="3475"/>
      <c r="AB5" s="3475"/>
      <c r="AC5" s="3475"/>
    </row>
    <row r="6" spans="1:29" ht="15.75" thickBot="1">
      <c r="A6" s="366"/>
      <c r="B6" s="367"/>
      <c r="C6" s="3494" t="s">
        <v>2125</v>
      </c>
      <c r="D6" s="3495"/>
      <c r="E6" s="3501" t="s">
        <v>2125</v>
      </c>
      <c r="F6" s="3502"/>
      <c r="G6" s="3494" t="s">
        <v>2125</v>
      </c>
      <c r="H6" s="3495"/>
      <c r="I6" s="3494" t="s">
        <v>2125</v>
      </c>
      <c r="J6" s="3495"/>
      <c r="K6" s="567" t="s">
        <v>2126</v>
      </c>
      <c r="L6" s="1025"/>
      <c r="M6" s="1026"/>
      <c r="N6" s="1026"/>
      <c r="O6" s="1026"/>
      <c r="P6" s="3485"/>
      <c r="Q6" s="3486"/>
      <c r="R6" s="3489"/>
      <c r="S6" s="3490"/>
      <c r="T6" s="3491"/>
      <c r="U6" s="3492"/>
      <c r="V6" s="3493"/>
      <c r="W6" s="3493"/>
      <c r="X6" s="1489"/>
      <c r="Y6" s="3491"/>
      <c r="Z6" s="3492"/>
      <c r="AA6" s="3476"/>
      <c r="AB6" s="3476"/>
      <c r="AC6" s="3476"/>
    </row>
    <row r="7" spans="1:29" s="113" customFormat="1" ht="15.75" thickBot="1">
      <c r="A7" s="368" t="s">
        <v>2127</v>
      </c>
      <c r="B7" s="369"/>
      <c r="C7" s="370">
        <f>'数据-取费表'!B2</f>
        <v>44805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8" t="s">
        <v>2128</v>
      </c>
      <c r="Q7" s="3500"/>
      <c r="R7" s="710" t="s">
        <v>17</v>
      </c>
      <c r="S7" s="711">
        <f t="shared" ref="S7:S15" si="0">F7</f>
        <v>0</v>
      </c>
      <c r="T7" s="710" t="s">
        <v>17</v>
      </c>
      <c r="U7" s="711">
        <f t="shared" ref="U7:U15" si="1">H7</f>
        <v>0</v>
      </c>
      <c r="V7" s="710" t="s">
        <v>17</v>
      </c>
      <c r="W7" s="711">
        <f t="shared" ref="W7:W15" si="2">J7</f>
        <v>0</v>
      </c>
      <c r="X7" s="712"/>
      <c r="Y7" s="3498" t="s">
        <v>2128</v>
      </c>
      <c r="Z7" s="3499"/>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8" t="s">
        <v>2131</v>
      </c>
      <c r="Q8" s="3499"/>
      <c r="R8" s="710" t="s">
        <v>17</v>
      </c>
      <c r="S8" s="711">
        <f t="shared" si="0"/>
        <v>0</v>
      </c>
      <c r="T8" s="710" t="s">
        <v>17</v>
      </c>
      <c r="U8" s="711">
        <f t="shared" si="1"/>
        <v>0</v>
      </c>
      <c r="V8" s="710" t="s">
        <v>17</v>
      </c>
      <c r="W8" s="711">
        <f t="shared" si="2"/>
        <v>0</v>
      </c>
      <c r="X8" s="712"/>
      <c r="Y8" s="3498" t="s">
        <v>2131</v>
      </c>
      <c r="Z8" s="3499"/>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2"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2"/>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2"/>
      <c r="Q11" s="147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62"/>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62"/>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62"/>
      <c r="Q14" s="147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4" t="s">
        <v>2139</v>
      </c>
      <c r="Q15" s="1486" t="str">
        <f t="shared" si="6"/>
        <v>产业集聚程度</v>
      </c>
      <c r="R15" s="714" t="s">
        <v>17</v>
      </c>
      <c r="S15" s="715">
        <f t="shared" si="0"/>
        <v>100</v>
      </c>
      <c r="T15" s="714" t="s">
        <v>17</v>
      </c>
      <c r="U15" s="715">
        <f t="shared" si="1"/>
        <v>100</v>
      </c>
      <c r="V15" s="714" t="s">
        <v>17</v>
      </c>
      <c r="W15" s="715">
        <f t="shared" si="2"/>
        <v>100</v>
      </c>
      <c r="X15" s="1489"/>
      <c r="Y15" s="3464" t="s">
        <v>2139</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5"/>
      <c r="Q16" s="1486"/>
      <c r="R16" s="714"/>
      <c r="S16" s="715"/>
      <c r="T16" s="714"/>
      <c r="U16" s="715"/>
      <c r="V16" s="714"/>
      <c r="W16" s="715"/>
      <c r="X16" s="1489"/>
      <c r="Y16" s="3465"/>
      <c r="Z16" s="1490"/>
      <c r="AA16" s="1487">
        <v>1</v>
      </c>
      <c r="AB16" s="1487">
        <v>1</v>
      </c>
      <c r="AC16" s="1487">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5"/>
      <c r="Q17" s="1486" t="str">
        <f>B17</f>
        <v>交通便捷度</v>
      </c>
      <c r="R17" s="714" t="s">
        <v>17</v>
      </c>
      <c r="S17" s="715">
        <f>F17</f>
        <v>100</v>
      </c>
      <c r="T17" s="714" t="s">
        <v>17</v>
      </c>
      <c r="U17" s="715">
        <f>H17</f>
        <v>100</v>
      </c>
      <c r="V17" s="714" t="s">
        <v>17</v>
      </c>
      <c r="W17" s="715">
        <f>J17</f>
        <v>100</v>
      </c>
      <c r="X17" s="1489"/>
      <c r="Y17" s="346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65"/>
      <c r="Q18" s="1486"/>
      <c r="R18" s="714"/>
      <c r="S18" s="715"/>
      <c r="T18" s="714"/>
      <c r="U18" s="715"/>
      <c r="V18" s="714"/>
      <c r="W18" s="715"/>
      <c r="X18" s="1489"/>
      <c r="Y18" s="3465"/>
      <c r="Z18" s="1490"/>
      <c r="AA18" s="1487">
        <v>1</v>
      </c>
      <c r="AB18" s="1487">
        <v>1</v>
      </c>
      <c r="AC18" s="1487">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5"/>
      <c r="Q19" s="1486" t="str">
        <f>B19</f>
        <v>公共配套设施</v>
      </c>
      <c r="R19" s="714" t="s">
        <v>17</v>
      </c>
      <c r="S19" s="715">
        <f>F19</f>
        <v>100</v>
      </c>
      <c r="T19" s="714" t="s">
        <v>17</v>
      </c>
      <c r="U19" s="715">
        <f>H19</f>
        <v>100</v>
      </c>
      <c r="V19" s="714" t="s">
        <v>17</v>
      </c>
      <c r="W19" s="715">
        <f>J19</f>
        <v>100</v>
      </c>
      <c r="X19" s="1489"/>
      <c r="Y19" s="346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65"/>
      <c r="Q20" s="1486"/>
      <c r="R20" s="714"/>
      <c r="S20" s="715"/>
      <c r="T20" s="714"/>
      <c r="U20" s="715"/>
      <c r="V20" s="714"/>
      <c r="W20" s="715"/>
      <c r="X20" s="1489"/>
      <c r="Y20" s="3465"/>
      <c r="Z20" s="1490"/>
      <c r="AA20" s="1487">
        <v>1</v>
      </c>
      <c r="AB20" s="1487">
        <v>1</v>
      </c>
      <c r="AC20" s="1487">
        <v>1</v>
      </c>
    </row>
    <row r="21" spans="1:29" ht="28.5">
      <c r="A21" s="387"/>
      <c r="B21" s="1245"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5"/>
      <c r="Q21" s="1486" t="str">
        <f>B21</f>
        <v>基础设施水平</v>
      </c>
      <c r="R21" s="714" t="s">
        <v>17</v>
      </c>
      <c r="S21" s="715">
        <f>F21</f>
        <v>100</v>
      </c>
      <c r="T21" s="714" t="s">
        <v>17</v>
      </c>
      <c r="U21" s="715">
        <f>H21</f>
        <v>100</v>
      </c>
      <c r="V21" s="714" t="s">
        <v>17</v>
      </c>
      <c r="W21" s="715">
        <f>J21</f>
        <v>100</v>
      </c>
      <c r="X21" s="1489"/>
      <c r="Y21" s="346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5"/>
      <c r="M22" s="1026"/>
      <c r="N22" s="1026"/>
      <c r="O22" s="1034"/>
      <c r="P22" s="3465"/>
      <c r="Q22" s="1486"/>
      <c r="R22" s="714"/>
      <c r="S22" s="715"/>
      <c r="T22" s="714"/>
      <c r="U22" s="715"/>
      <c r="V22" s="714"/>
      <c r="W22" s="715"/>
      <c r="X22" s="1489"/>
      <c r="Y22" s="3465"/>
      <c r="Z22" s="1490"/>
      <c r="AA22" s="1487">
        <v>1</v>
      </c>
      <c r="AB22" s="1487">
        <v>1</v>
      </c>
      <c r="AC22" s="1487">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5"/>
      <c r="Q23" s="1486" t="str">
        <f>B23</f>
        <v>环境质量</v>
      </c>
      <c r="R23" s="714" t="s">
        <v>17</v>
      </c>
      <c r="S23" s="715">
        <f>F23</f>
        <v>100</v>
      </c>
      <c r="T23" s="714" t="s">
        <v>17</v>
      </c>
      <c r="U23" s="715">
        <f>H23</f>
        <v>100</v>
      </c>
      <c r="V23" s="714" t="s">
        <v>17</v>
      </c>
      <c r="W23" s="715">
        <f>J23</f>
        <v>100</v>
      </c>
      <c r="X23" s="1489"/>
      <c r="Y23" s="3465"/>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5"/>
      <c r="M24" s="1026"/>
      <c r="N24" s="1026"/>
      <c r="O24" s="1034"/>
      <c r="P24" s="3465"/>
      <c r="Q24" s="1486"/>
      <c r="R24" s="714"/>
      <c r="S24" s="715"/>
      <c r="T24" s="714"/>
      <c r="U24" s="715"/>
      <c r="V24" s="714"/>
      <c r="W24" s="715"/>
      <c r="X24" s="1489"/>
      <c r="Y24" s="3465"/>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5"/>
      <c r="Q25" s="1486">
        <f>B25</f>
        <v>111</v>
      </c>
      <c r="R25" s="714" t="s">
        <v>17</v>
      </c>
      <c r="S25" s="715">
        <f>F25</f>
        <v>100</v>
      </c>
      <c r="T25" s="714" t="s">
        <v>17</v>
      </c>
      <c r="U25" s="715">
        <f>H25</f>
        <v>100</v>
      </c>
      <c r="V25" s="714" t="s">
        <v>17</v>
      </c>
      <c r="W25" s="715">
        <f>J25</f>
        <v>100</v>
      </c>
      <c r="X25" s="1489"/>
      <c r="Y25" s="3465"/>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5"/>
      <c r="Q26" s="1486">
        <f t="shared" ref="Q26:Q40" si="11">B26</f>
        <v>111</v>
      </c>
      <c r="R26" s="714" t="s">
        <v>17</v>
      </c>
      <c r="S26" s="715">
        <f>F26</f>
        <v>100</v>
      </c>
      <c r="T26" s="714" t="s">
        <v>17</v>
      </c>
      <c r="U26" s="715">
        <f>H26</f>
        <v>100</v>
      </c>
      <c r="V26" s="714" t="s">
        <v>17</v>
      </c>
      <c r="W26" s="715">
        <f>J26</f>
        <v>100</v>
      </c>
      <c r="X26" s="1489"/>
      <c r="Y26" s="3465"/>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5"/>
      <c r="Q27" s="1477">
        <f t="shared" si="11"/>
        <v>111</v>
      </c>
      <c r="R27" s="710" t="s">
        <v>17</v>
      </c>
      <c r="S27" s="711">
        <f>F27</f>
        <v>100</v>
      </c>
      <c r="T27" s="710" t="s">
        <v>17</v>
      </c>
      <c r="U27" s="711">
        <f>H27</f>
        <v>100</v>
      </c>
      <c r="V27" s="710" t="s">
        <v>17</v>
      </c>
      <c r="W27" s="711">
        <f>J27</f>
        <v>100</v>
      </c>
      <c r="X27" s="712"/>
      <c r="Y27" s="3465"/>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5"/>
      <c r="Q28" s="1486">
        <f t="shared" si="11"/>
        <v>111</v>
      </c>
      <c r="R28" s="714" t="s">
        <v>17</v>
      </c>
      <c r="S28" s="715">
        <f t="shared" ref="S28:S40" si="12">F28</f>
        <v>100</v>
      </c>
      <c r="T28" s="714" t="s">
        <v>17</v>
      </c>
      <c r="U28" s="715">
        <f t="shared" ref="U28:U40" si="13">H28</f>
        <v>100</v>
      </c>
      <c r="V28" s="714" t="s">
        <v>17</v>
      </c>
      <c r="W28" s="715">
        <f t="shared" ref="W28:W40" si="14">J28</f>
        <v>100</v>
      </c>
      <c r="X28" s="1489"/>
      <c r="Y28" s="3465"/>
      <c r="Z28" s="1490">
        <f t="shared" ref="Z28:Z40" si="15">Q28</f>
        <v>111</v>
      </c>
      <c r="AA28" s="1487">
        <f t="shared" si="3"/>
        <v>1</v>
      </c>
      <c r="AB28" s="1487">
        <f t="shared" si="4"/>
        <v>1</v>
      </c>
      <c r="AC28" s="1487">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20" t="s">
        <v>2144</v>
      </c>
      <c r="Q29" s="1486" t="str">
        <f t="shared" si="11"/>
        <v>建筑类型</v>
      </c>
      <c r="R29" s="714" t="s">
        <v>17</v>
      </c>
      <c r="S29" s="715">
        <f t="shared" si="12"/>
        <v>100</v>
      </c>
      <c r="T29" s="714" t="s">
        <v>17</v>
      </c>
      <c r="U29" s="715">
        <f t="shared" si="13"/>
        <v>100</v>
      </c>
      <c r="V29" s="714" t="s">
        <v>17</v>
      </c>
      <c r="W29" s="715">
        <f t="shared" si="14"/>
        <v>100</v>
      </c>
      <c r="X29" s="1489"/>
      <c r="Y29" s="3469" t="s">
        <v>2144</v>
      </c>
      <c r="Z29" s="1490" t="str">
        <f t="shared" si="15"/>
        <v>建筑类型</v>
      </c>
      <c r="AA29" s="1487">
        <f t="shared" si="3"/>
        <v>1</v>
      </c>
      <c r="AB29" s="1487">
        <f t="shared" si="4"/>
        <v>1</v>
      </c>
      <c r="AC29" s="1487">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487" t="e">
        <f t="shared" si="3"/>
        <v>#N/A</v>
      </c>
      <c r="AB30" s="1487" t="e">
        <f t="shared" si="4"/>
        <v>#N/A</v>
      </c>
      <c r="AC30" s="1487"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9"/>
      <c r="Q31" s="1486" t="str">
        <f t="shared" si="11"/>
        <v>建筑结构</v>
      </c>
      <c r="R31" s="714" t="s">
        <v>17</v>
      </c>
      <c r="S31" s="715">
        <f t="shared" si="12"/>
        <v>100</v>
      </c>
      <c r="T31" s="714" t="s">
        <v>17</v>
      </c>
      <c r="U31" s="715">
        <f t="shared" si="13"/>
        <v>100</v>
      </c>
      <c r="V31" s="714" t="s">
        <v>17</v>
      </c>
      <c r="W31" s="715">
        <f t="shared" si="14"/>
        <v>100</v>
      </c>
      <c r="X31" s="1489"/>
      <c r="Y31" s="3469"/>
      <c r="Z31" s="1490" t="str">
        <f t="shared" si="15"/>
        <v>建筑结构</v>
      </c>
      <c r="AA31" s="1487">
        <f t="shared" si="3"/>
        <v>1</v>
      </c>
      <c r="AB31" s="1487">
        <f t="shared" si="4"/>
        <v>1</v>
      </c>
      <c r="AC31" s="1487">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9"/>
      <c r="Q32" s="1486" t="str">
        <f t="shared" si="11"/>
        <v>公共部分装修</v>
      </c>
      <c r="R32" s="714" t="s">
        <v>17</v>
      </c>
      <c r="S32" s="715">
        <f t="shared" si="12"/>
        <v>100</v>
      </c>
      <c r="T32" s="714" t="s">
        <v>17</v>
      </c>
      <c r="U32" s="715">
        <f t="shared" si="13"/>
        <v>100</v>
      </c>
      <c r="V32" s="714" t="s">
        <v>17</v>
      </c>
      <c r="W32" s="715">
        <f t="shared" si="14"/>
        <v>100</v>
      </c>
      <c r="X32" s="1489"/>
      <c r="Y32" s="3469"/>
      <c r="Z32" s="1490" t="str">
        <f t="shared" si="15"/>
        <v>公共部分装修</v>
      </c>
      <c r="AA32" s="1487">
        <f t="shared" si="3"/>
        <v>1</v>
      </c>
      <c r="AB32" s="1487">
        <f t="shared" si="4"/>
        <v>1</v>
      </c>
      <c r="AC32" s="1487">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9"/>
      <c r="Q33" s="1486" t="str">
        <f t="shared" si="11"/>
        <v>成新度</v>
      </c>
      <c r="R33" s="714" t="s">
        <v>17</v>
      </c>
      <c r="S33" s="715" t="e">
        <f t="shared" si="12"/>
        <v>#N/A</v>
      </c>
      <c r="T33" s="714" t="s">
        <v>17</v>
      </c>
      <c r="U33" s="715" t="e">
        <f t="shared" si="13"/>
        <v>#N/A</v>
      </c>
      <c r="V33" s="714" t="s">
        <v>17</v>
      </c>
      <c r="W33" s="715" t="e">
        <f t="shared" si="14"/>
        <v>#N/A</v>
      </c>
      <c r="X33" s="1489"/>
      <c r="Y33" s="3469"/>
      <c r="Z33" s="1490" t="str">
        <f t="shared" si="15"/>
        <v>成新度</v>
      </c>
      <c r="AA33" s="1487" t="e">
        <f t="shared" si="3"/>
        <v>#N/A</v>
      </c>
      <c r="AB33" s="1487" t="e">
        <f t="shared" si="4"/>
        <v>#N/A</v>
      </c>
      <c r="AC33" s="1487"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9"/>
      <c r="Q34" s="1477"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9" t="s">
        <v>2144</v>
      </c>
      <c r="Q35" s="1486" t="str">
        <f t="shared" si="11"/>
        <v>市政基础设施</v>
      </c>
      <c r="R35" s="714" t="s">
        <v>17</v>
      </c>
      <c r="S35" s="715">
        <f t="shared" si="12"/>
        <v>100</v>
      </c>
      <c r="T35" s="714" t="s">
        <v>17</v>
      </c>
      <c r="U35" s="715">
        <f t="shared" si="13"/>
        <v>100</v>
      </c>
      <c r="V35" s="714" t="s">
        <v>17</v>
      </c>
      <c r="W35" s="715">
        <f t="shared" si="14"/>
        <v>100</v>
      </c>
      <c r="X35" s="1489"/>
      <c r="Y35" s="3469" t="s">
        <v>2144</v>
      </c>
      <c r="Z35" s="1490" t="str">
        <f t="shared" si="15"/>
        <v>市政基础设施</v>
      </c>
      <c r="AA35" s="1487">
        <f t="shared" si="3"/>
        <v>1</v>
      </c>
      <c r="AB35" s="1487">
        <f t="shared" si="4"/>
        <v>1</v>
      </c>
      <c r="AC35" s="1487">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9"/>
      <c r="Q36" s="1486" t="str">
        <f t="shared" si="11"/>
        <v>内部装修</v>
      </c>
      <c r="R36" s="714" t="s">
        <v>17</v>
      </c>
      <c r="S36" s="715">
        <f t="shared" si="12"/>
        <v>100</v>
      </c>
      <c r="T36" s="714" t="s">
        <v>17</v>
      </c>
      <c r="U36" s="715">
        <f t="shared" si="13"/>
        <v>100</v>
      </c>
      <c r="V36" s="714" t="s">
        <v>17</v>
      </c>
      <c r="W36" s="715">
        <f t="shared" si="14"/>
        <v>100</v>
      </c>
      <c r="X36" s="1489"/>
      <c r="Y36" s="3469"/>
      <c r="Z36" s="1490" t="str">
        <f t="shared" si="15"/>
        <v>内部装修</v>
      </c>
      <c r="AA36" s="1487">
        <f t="shared" si="3"/>
        <v>1</v>
      </c>
      <c r="AB36" s="1487">
        <f t="shared" si="4"/>
        <v>1</v>
      </c>
      <c r="AC36" s="1487">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9"/>
      <c r="Q37" s="1486" t="str">
        <f t="shared" si="11"/>
        <v>内部装修状况</v>
      </c>
      <c r="R37" s="714" t="s">
        <v>17</v>
      </c>
      <c r="S37" s="715">
        <f t="shared" si="12"/>
        <v>100</v>
      </c>
      <c r="T37" s="714" t="s">
        <v>17</v>
      </c>
      <c r="U37" s="715">
        <f t="shared" si="13"/>
        <v>100</v>
      </c>
      <c r="V37" s="714" t="s">
        <v>17</v>
      </c>
      <c r="W37" s="715">
        <f t="shared" si="14"/>
        <v>100</v>
      </c>
      <c r="X37" s="1489"/>
      <c r="Y37" s="3469"/>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9"/>
      <c r="Q39" s="1486">
        <f t="shared" si="11"/>
        <v>111</v>
      </c>
      <c r="R39" s="714" t="s">
        <v>17</v>
      </c>
      <c r="S39" s="715">
        <f t="shared" si="12"/>
        <v>100</v>
      </c>
      <c r="T39" s="714" t="s">
        <v>17</v>
      </c>
      <c r="U39" s="715">
        <f t="shared" si="13"/>
        <v>100</v>
      </c>
      <c r="V39" s="714" t="s">
        <v>17</v>
      </c>
      <c r="W39" s="715">
        <f t="shared" si="14"/>
        <v>100</v>
      </c>
      <c r="X39" s="1489"/>
      <c r="Y39" s="3469"/>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0"/>
      <c r="Q40" s="1486">
        <f t="shared" si="11"/>
        <v>111</v>
      </c>
      <c r="R40" s="714" t="s">
        <v>17</v>
      </c>
      <c r="S40" s="715">
        <f t="shared" si="12"/>
        <v>100</v>
      </c>
      <c r="T40" s="714" t="s">
        <v>17</v>
      </c>
      <c r="U40" s="715">
        <f t="shared" si="13"/>
        <v>100</v>
      </c>
      <c r="V40" s="714" t="s">
        <v>17</v>
      </c>
      <c r="W40" s="715">
        <f t="shared" si="14"/>
        <v>100</v>
      </c>
      <c r="X40" s="1489"/>
      <c r="Y40" s="3470"/>
      <c r="Z40" s="1490">
        <f t="shared" si="15"/>
        <v>111</v>
      </c>
      <c r="AA40" s="1487">
        <f t="shared" si="3"/>
        <v>1</v>
      </c>
      <c r="AB40" s="1487">
        <f t="shared" si="4"/>
        <v>1</v>
      </c>
      <c r="AC40" s="1487">
        <f t="shared" si="5"/>
        <v>1</v>
      </c>
    </row>
    <row r="41" spans="1:29" ht="15">
      <c r="A41" s="438" t="s">
        <v>2156</v>
      </c>
      <c r="B41" s="439"/>
      <c r="C41" s="1268" t="s">
        <v>1</v>
      </c>
      <c r="D41" s="1269"/>
      <c r="E41" s="1270"/>
      <c r="F41" s="1271"/>
      <c r="G41" s="1272"/>
      <c r="H41" s="1273"/>
      <c r="I41" s="1270"/>
      <c r="J41" s="1273"/>
      <c r="K41" s="723"/>
      <c r="L41" s="1038"/>
      <c r="M41" s="1039"/>
      <c r="N41" s="1026"/>
      <c r="O41" s="1039"/>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2248</v>
      </c>
      <c r="B42" s="446"/>
      <c r="C42" s="1274" t="e">
        <f>R43</f>
        <v>#DIV/0!</v>
      </c>
      <c r="D42" s="2488" t="s">
        <v>2637</v>
      </c>
      <c r="E42" s="1275" t="e">
        <f>R42</f>
        <v>#DIV/0!</v>
      </c>
      <c r="F42" s="2489"/>
      <c r="G42" s="1274" t="e">
        <f>T42</f>
        <v>#DIV/0!</v>
      </c>
      <c r="H42" s="2489"/>
      <c r="I42" s="1275" t="e">
        <f>V42</f>
        <v>#DIV/0!</v>
      </c>
      <c r="J42" s="2489"/>
      <c r="K42" s="2491">
        <f>F42+H42+J42</f>
        <v>0</v>
      </c>
      <c r="L42" s="1038"/>
      <c r="M42" s="1039"/>
      <c r="N42" s="1026"/>
      <c r="O42" s="1039"/>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2249</v>
      </c>
      <c r="B43" s="450"/>
      <c r="C43" s="1277" t="e">
        <f>R43</f>
        <v>#DIV/0!</v>
      </c>
      <c r="D43" s="1277"/>
      <c r="E43" s="1277"/>
      <c r="F43" s="1277"/>
      <c r="G43" s="1277"/>
      <c r="H43" s="1277"/>
      <c r="I43" s="1277"/>
      <c r="J43" s="1277"/>
      <c r="K43" s="724"/>
      <c r="L43" s="1038"/>
      <c r="M43" s="1039"/>
      <c r="N43" s="1039"/>
      <c r="O43" s="1039"/>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46"/>
      <c r="F1" s="2015"/>
      <c r="G1" s="1347" t="s">
        <v>2222</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1906</v>
      </c>
      <c r="B2" s="1278"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79"/>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79"/>
      <c r="Q3" s="708"/>
      <c r="R3" s="708"/>
      <c r="S3" s="708"/>
      <c r="T3" s="708"/>
      <c r="U3" s="708"/>
      <c r="V3" s="708"/>
      <c r="W3" s="708"/>
      <c r="X3" s="708"/>
      <c r="Y3" s="708"/>
      <c r="Z3" s="708"/>
      <c r="AA3" s="708"/>
      <c r="AB3" s="725"/>
      <c r="AC3" s="722"/>
    </row>
    <row r="4" spans="1:29" ht="15">
      <c r="A4" s="361" t="s">
        <v>2224</v>
      </c>
      <c r="B4" s="362"/>
      <c r="C4" s="3477" t="s">
        <v>2225</v>
      </c>
      <c r="D4" s="3478"/>
      <c r="E4" s="3479" t="s">
        <v>2226</v>
      </c>
      <c r="F4" s="3480"/>
      <c r="G4" s="3477" t="s">
        <v>2227</v>
      </c>
      <c r="H4" s="3478"/>
      <c r="I4" s="3477" t="s">
        <v>2228</v>
      </c>
      <c r="J4" s="3478"/>
      <c r="K4" s="567" t="s">
        <v>2229</v>
      </c>
      <c r="L4" s="2893"/>
      <c r="M4" s="2894"/>
      <c r="N4" s="2894"/>
      <c r="O4" s="2894"/>
      <c r="P4" s="3481" t="s">
        <v>2230</v>
      </c>
      <c r="Q4" s="3482"/>
      <c r="R4" s="3487" t="s">
        <v>2226</v>
      </c>
      <c r="S4" s="3488"/>
      <c r="T4" s="3487" t="s">
        <v>2227</v>
      </c>
      <c r="U4" s="3488"/>
      <c r="V4" s="3493" t="s">
        <v>2228</v>
      </c>
      <c r="W4" s="3493"/>
      <c r="X4" s="1489"/>
      <c r="Y4" s="3487" t="s">
        <v>2230</v>
      </c>
      <c r="Z4" s="3488"/>
      <c r="AA4" s="3474" t="s">
        <v>2226</v>
      </c>
      <c r="AB4" s="3475" t="s">
        <v>2227</v>
      </c>
      <c r="AC4" s="3474" t="s">
        <v>2228</v>
      </c>
    </row>
    <row r="5" spans="1:29" ht="15">
      <c r="A5" s="364"/>
      <c r="B5" s="365"/>
      <c r="C5" s="3496" t="s">
        <v>2121</v>
      </c>
      <c r="D5" s="3497"/>
      <c r="E5" s="3503" t="s">
        <v>2122</v>
      </c>
      <c r="F5" s="3504"/>
      <c r="G5" s="3496" t="s">
        <v>2123</v>
      </c>
      <c r="H5" s="3497"/>
      <c r="I5" s="3496" t="s">
        <v>2124</v>
      </c>
      <c r="J5" s="3497"/>
      <c r="K5" s="567"/>
      <c r="L5" s="2893"/>
      <c r="M5" s="2894"/>
      <c r="N5" s="2894"/>
      <c r="O5" s="2894"/>
      <c r="P5" s="3483"/>
      <c r="Q5" s="3484"/>
      <c r="R5" s="3489"/>
      <c r="S5" s="3490"/>
      <c r="T5" s="3489"/>
      <c r="U5" s="3490"/>
      <c r="V5" s="3493"/>
      <c r="W5" s="3493"/>
      <c r="X5" s="1489"/>
      <c r="Y5" s="3489"/>
      <c r="Z5" s="3490"/>
      <c r="AA5" s="3475"/>
      <c r="AB5" s="3475"/>
      <c r="AC5" s="3475"/>
    </row>
    <row r="6" spans="1:29" ht="15.75" thickBot="1">
      <c r="A6" s="366"/>
      <c r="B6" s="367"/>
      <c r="C6" s="3494" t="s">
        <v>2125</v>
      </c>
      <c r="D6" s="3495"/>
      <c r="E6" s="3501" t="s">
        <v>2125</v>
      </c>
      <c r="F6" s="3502"/>
      <c r="G6" s="3494" t="s">
        <v>2125</v>
      </c>
      <c r="H6" s="3495"/>
      <c r="I6" s="3494" t="s">
        <v>2125</v>
      </c>
      <c r="J6" s="3495"/>
      <c r="K6" s="567" t="s">
        <v>2126</v>
      </c>
      <c r="L6" s="2893"/>
      <c r="M6" s="2894"/>
      <c r="N6" s="2894"/>
      <c r="O6" s="2894"/>
      <c r="P6" s="3485"/>
      <c r="Q6" s="3486"/>
      <c r="R6" s="3489"/>
      <c r="S6" s="3490"/>
      <c r="T6" s="3491"/>
      <c r="U6" s="3492"/>
      <c r="V6" s="3493"/>
      <c r="W6" s="3493"/>
      <c r="X6" s="1489"/>
      <c r="Y6" s="3491"/>
      <c r="Z6" s="3492"/>
      <c r="AA6" s="3476"/>
      <c r="AB6" s="3476"/>
      <c r="AC6" s="3476"/>
    </row>
    <row r="7" spans="1:29" s="113" customFormat="1" ht="15.75" thickBot="1">
      <c r="A7" s="368" t="s">
        <v>2127</v>
      </c>
      <c r="B7" s="369"/>
      <c r="C7" s="370">
        <f>'数据-取费表'!B2</f>
        <v>44805</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8" t="s">
        <v>2128</v>
      </c>
      <c r="Q7" s="3500"/>
      <c r="R7" s="710" t="s">
        <v>17</v>
      </c>
      <c r="S7" s="711">
        <f t="shared" ref="S7:S14" si="0">F7</f>
        <v>0</v>
      </c>
      <c r="T7" s="710" t="s">
        <v>17</v>
      </c>
      <c r="U7" s="711">
        <f t="shared" ref="U7:U14" si="1">H7</f>
        <v>0</v>
      </c>
      <c r="V7" s="710" t="s">
        <v>17</v>
      </c>
      <c r="W7" s="711">
        <f t="shared" ref="W7:W14" si="2">J7</f>
        <v>0</v>
      </c>
      <c r="X7" s="712"/>
      <c r="Y7" s="3498" t="s">
        <v>2128</v>
      </c>
      <c r="Z7" s="3499"/>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8" t="s">
        <v>2131</v>
      </c>
      <c r="Q8" s="3499"/>
      <c r="R8" s="710" t="s">
        <v>17</v>
      </c>
      <c r="S8" s="711">
        <f t="shared" si="0"/>
        <v>0</v>
      </c>
      <c r="T8" s="710" t="s">
        <v>17</v>
      </c>
      <c r="U8" s="711">
        <f t="shared" si="1"/>
        <v>0</v>
      </c>
      <c r="V8" s="710" t="s">
        <v>17</v>
      </c>
      <c r="W8" s="711">
        <f t="shared" si="2"/>
        <v>0</v>
      </c>
      <c r="X8" s="712"/>
      <c r="Y8" s="3498" t="s">
        <v>2131</v>
      </c>
      <c r="Z8" s="3499"/>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62" t="s">
        <v>2134</v>
      </c>
      <c r="Q9" s="1477" t="str">
        <f t="shared" ref="Q9:Q14" si="6">B9</f>
        <v>用途</v>
      </c>
      <c r="R9" s="710" t="s">
        <v>17</v>
      </c>
      <c r="S9" s="711">
        <f t="shared" si="0"/>
        <v>100</v>
      </c>
      <c r="T9" s="710" t="s">
        <v>17</v>
      </c>
      <c r="U9" s="711">
        <f t="shared" si="1"/>
        <v>100</v>
      </c>
      <c r="V9" s="710" t="s">
        <v>17</v>
      </c>
      <c r="W9" s="711">
        <f t="shared" si="2"/>
        <v>100</v>
      </c>
      <c r="X9" s="712"/>
      <c r="Y9" s="3334"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62"/>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62"/>
      <c r="Q11" s="1477">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62"/>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62"/>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4" t="s">
        <v>2139</v>
      </c>
      <c r="Q14" s="1486" t="str">
        <f t="shared" si="6"/>
        <v>交通便捷度</v>
      </c>
      <c r="R14" s="714" t="s">
        <v>17</v>
      </c>
      <c r="S14" s="715">
        <f t="shared" si="0"/>
        <v>100</v>
      </c>
      <c r="T14" s="714" t="s">
        <v>17</v>
      </c>
      <c r="U14" s="715">
        <f t="shared" si="1"/>
        <v>100</v>
      </c>
      <c r="V14" s="714" t="s">
        <v>17</v>
      </c>
      <c r="W14" s="715">
        <f t="shared" si="2"/>
        <v>100</v>
      </c>
      <c r="X14" s="1489"/>
      <c r="Y14" s="3464" t="s">
        <v>2139</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65"/>
      <c r="Q15" s="1486"/>
      <c r="R15" s="714"/>
      <c r="S15" s="715"/>
      <c r="T15" s="714"/>
      <c r="U15" s="715"/>
      <c r="V15" s="714"/>
      <c r="W15" s="715"/>
      <c r="X15" s="1489"/>
      <c r="Y15" s="3465"/>
      <c r="Z15" s="1490"/>
      <c r="AA15" s="1487">
        <v>1</v>
      </c>
      <c r="AB15" s="1487">
        <v>1</v>
      </c>
      <c r="AC15" s="1487">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5"/>
      <c r="Q16" s="1486" t="str">
        <f>B16</f>
        <v>公共配套设施</v>
      </c>
      <c r="R16" s="714" t="s">
        <v>17</v>
      </c>
      <c r="S16" s="715">
        <f>F16</f>
        <v>100</v>
      </c>
      <c r="T16" s="714" t="s">
        <v>17</v>
      </c>
      <c r="U16" s="715">
        <f>H16</f>
        <v>100</v>
      </c>
      <c r="V16" s="714" t="s">
        <v>17</v>
      </c>
      <c r="W16" s="715">
        <f>J16</f>
        <v>100</v>
      </c>
      <c r="X16" s="1489"/>
      <c r="Y16" s="3465"/>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65"/>
      <c r="Q17" s="1486"/>
      <c r="R17" s="714"/>
      <c r="S17" s="715"/>
      <c r="T17" s="714"/>
      <c r="U17" s="715"/>
      <c r="V17" s="714"/>
      <c r="W17" s="715"/>
      <c r="X17" s="1489"/>
      <c r="Y17" s="3465"/>
      <c r="Z17" s="1490"/>
      <c r="AA17" s="1487">
        <v>1</v>
      </c>
      <c r="AB17" s="1487">
        <v>1</v>
      </c>
      <c r="AC17" s="1487">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5"/>
      <c r="Q18" s="1486" t="str">
        <f>B18</f>
        <v>基础设施水平</v>
      </c>
      <c r="R18" s="714" t="s">
        <v>17</v>
      </c>
      <c r="S18" s="715">
        <f>F18</f>
        <v>100</v>
      </c>
      <c r="T18" s="714" t="s">
        <v>17</v>
      </c>
      <c r="U18" s="715">
        <f>H18</f>
        <v>100</v>
      </c>
      <c r="V18" s="714" t="s">
        <v>17</v>
      </c>
      <c r="W18" s="715">
        <f>J18</f>
        <v>100</v>
      </c>
      <c r="X18" s="1489"/>
      <c r="Y18" s="3465"/>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465"/>
      <c r="Q19" s="1486"/>
      <c r="R19" s="714"/>
      <c r="S19" s="715"/>
      <c r="T19" s="714"/>
      <c r="U19" s="715"/>
      <c r="V19" s="714"/>
      <c r="W19" s="715"/>
      <c r="X19" s="1489"/>
      <c r="Y19" s="3465"/>
      <c r="Z19" s="1490"/>
      <c r="AA19" s="1487">
        <v>1</v>
      </c>
      <c r="AB19" s="1487">
        <v>1</v>
      </c>
      <c r="AC19" s="1487">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5"/>
      <c r="Q20" s="1486" t="str">
        <f>B20</f>
        <v>自然及人文环境</v>
      </c>
      <c r="R20" s="714" t="s">
        <v>17</v>
      </c>
      <c r="S20" s="715">
        <f>F20</f>
        <v>100</v>
      </c>
      <c r="T20" s="714" t="s">
        <v>17</v>
      </c>
      <c r="U20" s="715">
        <f>H20</f>
        <v>100</v>
      </c>
      <c r="V20" s="714" t="s">
        <v>17</v>
      </c>
      <c r="W20" s="715">
        <f>J20</f>
        <v>100</v>
      </c>
      <c r="X20" s="1489"/>
      <c r="Y20" s="3465"/>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65"/>
      <c r="Q21" s="1486"/>
      <c r="R21" s="714"/>
      <c r="S21" s="715"/>
      <c r="T21" s="714"/>
      <c r="U21" s="715"/>
      <c r="V21" s="714"/>
      <c r="W21" s="715"/>
      <c r="X21" s="1489"/>
      <c r="Y21" s="3465"/>
      <c r="Z21" s="1490"/>
      <c r="AA21" s="1487">
        <v>1</v>
      </c>
      <c r="AB21" s="1487">
        <v>1</v>
      </c>
      <c r="AC21" s="1487">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5"/>
      <c r="Q22" s="1486" t="str">
        <f>B22</f>
        <v>楼层</v>
      </c>
      <c r="R22" s="714" t="s">
        <v>17</v>
      </c>
      <c r="S22" s="715">
        <f>F22</f>
        <v>100</v>
      </c>
      <c r="T22" s="714" t="s">
        <v>17</v>
      </c>
      <c r="U22" s="715">
        <f>H22</f>
        <v>100</v>
      </c>
      <c r="V22" s="714" t="s">
        <v>17</v>
      </c>
      <c r="W22" s="715">
        <f>J22</f>
        <v>100</v>
      </c>
      <c r="X22" s="1489"/>
      <c r="Y22" s="3465"/>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5"/>
      <c r="Q23" s="1486">
        <f>B23</f>
        <v>111</v>
      </c>
      <c r="R23" s="714" t="s">
        <v>17</v>
      </c>
      <c r="S23" s="715">
        <f>F23</f>
        <v>100</v>
      </c>
      <c r="T23" s="714" t="s">
        <v>17</v>
      </c>
      <c r="U23" s="715">
        <f>H23</f>
        <v>100</v>
      </c>
      <c r="V23" s="714" t="s">
        <v>17</v>
      </c>
      <c r="W23" s="715">
        <f>J23</f>
        <v>100</v>
      </c>
      <c r="X23" s="1489"/>
      <c r="Y23" s="3465"/>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5"/>
      <c r="Q24" s="1486">
        <f t="shared" ref="Q24:Q36" si="11">B24</f>
        <v>111</v>
      </c>
      <c r="R24" s="714" t="s">
        <v>17</v>
      </c>
      <c r="S24" s="715">
        <f>F24</f>
        <v>100</v>
      </c>
      <c r="T24" s="714" t="s">
        <v>17</v>
      </c>
      <c r="U24" s="715">
        <f>H24</f>
        <v>100</v>
      </c>
      <c r="V24" s="714" t="s">
        <v>17</v>
      </c>
      <c r="W24" s="715">
        <f>J24</f>
        <v>100</v>
      </c>
      <c r="X24" s="1489"/>
      <c r="Y24" s="3465"/>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5"/>
      <c r="Q25" s="1477">
        <f t="shared" si="11"/>
        <v>111</v>
      </c>
      <c r="R25" s="710" t="s">
        <v>17</v>
      </c>
      <c r="S25" s="711">
        <f>F25</f>
        <v>100</v>
      </c>
      <c r="T25" s="710" t="s">
        <v>17</v>
      </c>
      <c r="U25" s="711">
        <f>H25</f>
        <v>100</v>
      </c>
      <c r="V25" s="710" t="s">
        <v>17</v>
      </c>
      <c r="W25" s="711">
        <f>J25</f>
        <v>100</v>
      </c>
      <c r="X25" s="712"/>
      <c r="Y25" s="3465"/>
      <c r="Z25" s="55">
        <f>Q25</f>
        <v>111</v>
      </c>
      <c r="AA25" s="1487">
        <f>D25/F25</f>
        <v>1</v>
      </c>
      <c r="AB25" s="1487">
        <f>D25/H25</f>
        <v>1</v>
      </c>
      <c r="AC25" s="1487">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20" t="s">
        <v>2144</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69" t="s">
        <v>2144</v>
      </c>
      <c r="Z26" s="1490" t="str">
        <f t="shared" ref="Z26:Z36" si="15">Q26</f>
        <v>配套类型</v>
      </c>
      <c r="AA26" s="1487">
        <f t="shared" si="3"/>
        <v>1</v>
      </c>
      <c r="AB26" s="1487">
        <f t="shared" si="4"/>
        <v>1</v>
      </c>
      <c r="AC26" s="1487">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487">
        <f t="shared" si="3"/>
        <v>1</v>
      </c>
      <c r="AB27" s="1487">
        <f t="shared" si="4"/>
        <v>1</v>
      </c>
      <c r="AC27" s="1487">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9"/>
      <c r="Q28" s="1486" t="str">
        <f t="shared" si="11"/>
        <v>公共部分装修</v>
      </c>
      <c r="R28" s="714" t="s">
        <v>17</v>
      </c>
      <c r="S28" s="715">
        <f t="shared" si="12"/>
        <v>100</v>
      </c>
      <c r="T28" s="714" t="s">
        <v>17</v>
      </c>
      <c r="U28" s="715">
        <f t="shared" si="13"/>
        <v>100</v>
      </c>
      <c r="V28" s="714" t="s">
        <v>17</v>
      </c>
      <c r="W28" s="715">
        <f t="shared" si="14"/>
        <v>100</v>
      </c>
      <c r="X28" s="1489"/>
      <c r="Y28" s="3469"/>
      <c r="Z28" s="1490" t="str">
        <f t="shared" si="15"/>
        <v>公共部分装修</v>
      </c>
      <c r="AA28" s="1487">
        <f t="shared" si="3"/>
        <v>1</v>
      </c>
      <c r="AB28" s="1487">
        <f t="shared" si="4"/>
        <v>1</v>
      </c>
      <c r="AC28" s="1487">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9"/>
      <c r="Q29" s="1486" t="str">
        <f t="shared" si="11"/>
        <v>成新率</v>
      </c>
      <c r="R29" s="714" t="s">
        <v>17</v>
      </c>
      <c r="S29" s="715" t="e">
        <f t="shared" si="12"/>
        <v>#N/A</v>
      </c>
      <c r="T29" s="714" t="s">
        <v>17</v>
      </c>
      <c r="U29" s="715" t="e">
        <f t="shared" si="13"/>
        <v>#N/A</v>
      </c>
      <c r="V29" s="714" t="s">
        <v>17</v>
      </c>
      <c r="W29" s="715" t="e">
        <f t="shared" si="14"/>
        <v>#N/A</v>
      </c>
      <c r="X29" s="1489"/>
      <c r="Y29" s="3469"/>
      <c r="Z29" s="1490" t="str">
        <f t="shared" si="15"/>
        <v>成新率</v>
      </c>
      <c r="AA29" s="1487" t="e">
        <f t="shared" si="3"/>
        <v>#N/A</v>
      </c>
      <c r="AB29" s="1487" t="e">
        <f t="shared" si="4"/>
        <v>#N/A</v>
      </c>
      <c r="AC29" s="1487"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9"/>
      <c r="Q30" s="1486" t="str">
        <f t="shared" si="11"/>
        <v>物业等级</v>
      </c>
      <c r="R30" s="714" t="s">
        <v>17</v>
      </c>
      <c r="S30" s="715">
        <f t="shared" si="12"/>
        <v>100</v>
      </c>
      <c r="T30" s="714" t="s">
        <v>17</v>
      </c>
      <c r="U30" s="715">
        <f t="shared" si="13"/>
        <v>100</v>
      </c>
      <c r="V30" s="714" t="s">
        <v>17</v>
      </c>
      <c r="W30" s="715">
        <f t="shared" si="14"/>
        <v>100</v>
      </c>
      <c r="X30" s="1489"/>
      <c r="Y30" s="3469"/>
      <c r="Z30" s="1490" t="str">
        <f t="shared" si="15"/>
        <v>物业等级</v>
      </c>
      <c r="AA30" s="1487">
        <f t="shared" si="3"/>
        <v>1</v>
      </c>
      <c r="AB30" s="1487">
        <f t="shared" si="4"/>
        <v>1</v>
      </c>
      <c r="AC30" s="1487">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9"/>
      <c r="Q31" s="1477"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9" t="s">
        <v>2144</v>
      </c>
      <c r="Q32" s="1486" t="str">
        <f t="shared" si="11"/>
        <v>车位类型</v>
      </c>
      <c r="R32" s="714" t="s">
        <v>17</v>
      </c>
      <c r="S32" s="715">
        <f t="shared" si="12"/>
        <v>100</v>
      </c>
      <c r="T32" s="714" t="s">
        <v>17</v>
      </c>
      <c r="U32" s="715">
        <f t="shared" si="13"/>
        <v>100</v>
      </c>
      <c r="V32" s="714" t="s">
        <v>17</v>
      </c>
      <c r="W32" s="715">
        <f t="shared" si="14"/>
        <v>100</v>
      </c>
      <c r="X32" s="1489"/>
      <c r="Y32" s="3469" t="s">
        <v>2144</v>
      </c>
      <c r="Z32" s="1490" t="str">
        <f t="shared" si="15"/>
        <v>车位类型</v>
      </c>
      <c r="AA32" s="1487">
        <f t="shared" si="3"/>
        <v>1</v>
      </c>
      <c r="AB32" s="1487">
        <f t="shared" si="4"/>
        <v>1</v>
      </c>
      <c r="AC32" s="1487">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9"/>
      <c r="Q33" s="1486" t="str">
        <f t="shared" si="11"/>
        <v>是否直接入户</v>
      </c>
      <c r="R33" s="714" t="s">
        <v>17</v>
      </c>
      <c r="S33" s="715">
        <f t="shared" si="12"/>
        <v>100</v>
      </c>
      <c r="T33" s="714" t="s">
        <v>17</v>
      </c>
      <c r="U33" s="715">
        <f t="shared" si="13"/>
        <v>100</v>
      </c>
      <c r="V33" s="714" t="s">
        <v>17</v>
      </c>
      <c r="W33" s="715">
        <f t="shared" si="14"/>
        <v>100</v>
      </c>
      <c r="X33" s="1489"/>
      <c r="Y33" s="3469"/>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9"/>
      <c r="Q34" s="1486">
        <f t="shared" si="11"/>
        <v>111</v>
      </c>
      <c r="R34" s="714" t="s">
        <v>17</v>
      </c>
      <c r="S34" s="715">
        <f t="shared" si="12"/>
        <v>100</v>
      </c>
      <c r="T34" s="714" t="s">
        <v>17</v>
      </c>
      <c r="U34" s="715">
        <f t="shared" si="13"/>
        <v>100</v>
      </c>
      <c r="V34" s="714" t="s">
        <v>17</v>
      </c>
      <c r="W34" s="715">
        <f t="shared" si="14"/>
        <v>100</v>
      </c>
      <c r="X34" s="1489"/>
      <c r="Y34" s="3469"/>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9"/>
      <c r="Q36" s="1486">
        <f t="shared" si="11"/>
        <v>111</v>
      </c>
      <c r="R36" s="714" t="s">
        <v>17</v>
      </c>
      <c r="S36" s="715">
        <f t="shared" si="12"/>
        <v>100</v>
      </c>
      <c r="T36" s="714" t="s">
        <v>17</v>
      </c>
      <c r="U36" s="715">
        <f t="shared" si="13"/>
        <v>100</v>
      </c>
      <c r="V36" s="714" t="s">
        <v>17</v>
      </c>
      <c r="W36" s="715">
        <f t="shared" si="14"/>
        <v>100</v>
      </c>
      <c r="X36" s="1489"/>
      <c r="Y36" s="3469"/>
      <c r="Z36" s="1490">
        <f t="shared" si="15"/>
        <v>111</v>
      </c>
      <c r="AA36" s="1487">
        <f t="shared" si="3"/>
        <v>1</v>
      </c>
      <c r="AB36" s="1487">
        <f t="shared" si="4"/>
        <v>1</v>
      </c>
      <c r="AC36" s="1487">
        <f t="shared" si="5"/>
        <v>1</v>
      </c>
    </row>
    <row r="37" spans="1:29" ht="15">
      <c r="A37" s="438" t="s">
        <v>2299</v>
      </c>
      <c r="B37" s="2109" t="s">
        <v>2300</v>
      </c>
      <c r="C37" s="1268" t="s">
        <v>1</v>
      </c>
      <c r="D37" s="1269"/>
      <c r="E37" s="1270"/>
      <c r="F37" s="1271"/>
      <c r="G37" s="1272"/>
      <c r="H37" s="1273"/>
      <c r="I37" s="1270"/>
      <c r="J37" s="1273"/>
      <c r="K37" s="576"/>
      <c r="L37" s="2902"/>
      <c r="M37" s="2903"/>
      <c r="N37" s="2894"/>
      <c r="O37" s="2903"/>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2301</v>
      </c>
      <c r="B38" s="446" t="str">
        <f>B37</f>
        <v>元/车位</v>
      </c>
      <c r="C38" s="1274" t="e">
        <f>R39</f>
        <v>#DIV/0!</v>
      </c>
      <c r="D38" s="2488" t="s">
        <v>2637</v>
      </c>
      <c r="E38" s="1275" t="e">
        <f>R38</f>
        <v>#DIV/0!</v>
      </c>
      <c r="F38" s="2489"/>
      <c r="G38" s="1274" t="e">
        <f>T38</f>
        <v>#DIV/0!</v>
      </c>
      <c r="H38" s="2489"/>
      <c r="I38" s="1275" t="e">
        <f>V38</f>
        <v>#DIV/0!</v>
      </c>
      <c r="J38" s="2489"/>
      <c r="K38" s="2491">
        <f>F38+H38+J38</f>
        <v>0</v>
      </c>
      <c r="L38" s="2902"/>
      <c r="M38" s="2903"/>
      <c r="N38" s="2903"/>
      <c r="O38" s="2903"/>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2302</v>
      </c>
      <c r="B39" s="450"/>
      <c r="C39" s="1277" t="e">
        <f>R39</f>
        <v>#DIV/0!</v>
      </c>
      <c r="D39" s="1277"/>
      <c r="E39" s="1277"/>
      <c r="F39" s="1277"/>
      <c r="G39" s="1277"/>
      <c r="H39" s="1277"/>
      <c r="I39" s="1277"/>
      <c r="J39" s="1277"/>
      <c r="K39" s="577"/>
      <c r="L39" s="2902"/>
      <c r="M39" s="2903"/>
      <c r="N39" s="2903"/>
      <c r="O39" s="2903"/>
      <c r="P39" s="3459" t="str">
        <f>A39</f>
        <v>估价对象XX用房的比较价值（楼面单价，元/平方米）</v>
      </c>
      <c r="Q39" s="3460"/>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2306</v>
      </c>
      <c r="B47" s="1039"/>
      <c r="C47" s="1052"/>
      <c r="D47" s="1052"/>
      <c r="E47" s="1052"/>
      <c r="F47" s="1281"/>
      <c r="G47" s="1281"/>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7" t="s">
        <v>2225</v>
      </c>
      <c r="D4" s="3478"/>
      <c r="E4" s="3479" t="s">
        <v>2226</v>
      </c>
      <c r="F4" s="3480"/>
      <c r="G4" s="3477" t="s">
        <v>2227</v>
      </c>
      <c r="H4" s="3478"/>
      <c r="I4" s="3477" t="s">
        <v>2228</v>
      </c>
      <c r="J4" s="3478"/>
      <c r="K4" s="567" t="s">
        <v>2229</v>
      </c>
      <c r="L4" s="2893"/>
      <c r="M4" s="2894"/>
      <c r="N4" s="2894"/>
      <c r="O4" s="2894"/>
      <c r="P4" s="3481" t="s">
        <v>2230</v>
      </c>
      <c r="Q4" s="3482"/>
      <c r="R4" s="3487" t="s">
        <v>2226</v>
      </c>
      <c r="S4" s="3488"/>
      <c r="T4" s="3487" t="s">
        <v>2227</v>
      </c>
      <c r="U4" s="3488"/>
      <c r="V4" s="3493" t="s">
        <v>2228</v>
      </c>
      <c r="W4" s="3493"/>
      <c r="X4" s="1489"/>
      <c r="Y4" s="3487" t="s">
        <v>2230</v>
      </c>
      <c r="Z4" s="3488"/>
      <c r="AA4" s="3474" t="s">
        <v>2226</v>
      </c>
      <c r="AB4" s="3475" t="s">
        <v>2227</v>
      </c>
      <c r="AC4" s="3474" t="s">
        <v>2228</v>
      </c>
    </row>
    <row r="5" spans="1:29" ht="15">
      <c r="A5" s="364"/>
      <c r="B5" s="365"/>
      <c r="C5" s="3496" t="s">
        <v>2121</v>
      </c>
      <c r="D5" s="3497"/>
      <c r="E5" s="3503" t="s">
        <v>2122</v>
      </c>
      <c r="F5" s="3504"/>
      <c r="G5" s="3496" t="s">
        <v>2123</v>
      </c>
      <c r="H5" s="3497"/>
      <c r="I5" s="3496" t="s">
        <v>2124</v>
      </c>
      <c r="J5" s="3497"/>
      <c r="K5" s="567"/>
      <c r="L5" s="2893"/>
      <c r="M5" s="2894"/>
      <c r="N5" s="2894"/>
      <c r="O5" s="2894"/>
      <c r="P5" s="3483"/>
      <c r="Q5" s="3484"/>
      <c r="R5" s="3489"/>
      <c r="S5" s="3490"/>
      <c r="T5" s="3489"/>
      <c r="U5" s="3490"/>
      <c r="V5" s="3493"/>
      <c r="W5" s="3493"/>
      <c r="X5" s="1489"/>
      <c r="Y5" s="3489"/>
      <c r="Z5" s="3490"/>
      <c r="AA5" s="3475"/>
      <c r="AB5" s="3475"/>
      <c r="AC5" s="3475"/>
    </row>
    <row r="6" spans="1:29" ht="15.75" thickBot="1">
      <c r="A6" s="366"/>
      <c r="B6" s="367"/>
      <c r="C6" s="3494" t="s">
        <v>2125</v>
      </c>
      <c r="D6" s="3495"/>
      <c r="E6" s="3501" t="s">
        <v>2125</v>
      </c>
      <c r="F6" s="3502"/>
      <c r="G6" s="3494" t="s">
        <v>2125</v>
      </c>
      <c r="H6" s="3495"/>
      <c r="I6" s="3494" t="s">
        <v>2125</v>
      </c>
      <c r="J6" s="3495"/>
      <c r="K6" s="567" t="s">
        <v>2126</v>
      </c>
      <c r="L6" s="2893"/>
      <c r="M6" s="2894"/>
      <c r="N6" s="2894"/>
      <c r="O6" s="2894"/>
      <c r="P6" s="3485"/>
      <c r="Q6" s="3486"/>
      <c r="R6" s="3489"/>
      <c r="S6" s="3490"/>
      <c r="T6" s="3491"/>
      <c r="U6" s="3492"/>
      <c r="V6" s="3493"/>
      <c r="W6" s="3493"/>
      <c r="X6" s="1489"/>
      <c r="Y6" s="3491"/>
      <c r="Z6" s="3492"/>
      <c r="AA6" s="3476"/>
      <c r="AB6" s="3476"/>
      <c r="AC6" s="3476"/>
    </row>
    <row r="7" spans="1:29" s="113" customFormat="1" ht="15.75" thickBot="1">
      <c r="A7" s="368" t="s">
        <v>2127</v>
      </c>
      <c r="B7" s="369"/>
      <c r="C7" s="370">
        <f>'数据-取费表'!B2</f>
        <v>44805</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98" t="s">
        <v>2128</v>
      </c>
      <c r="Q7" s="3500"/>
      <c r="R7" s="710" t="s">
        <v>17</v>
      </c>
      <c r="S7" s="711">
        <f t="shared" ref="S7:S14" si="0">F7</f>
        <v>0</v>
      </c>
      <c r="T7" s="710" t="s">
        <v>17</v>
      </c>
      <c r="U7" s="711">
        <f t="shared" ref="U7:U14" si="1">H7</f>
        <v>0</v>
      </c>
      <c r="V7" s="710" t="s">
        <v>17</v>
      </c>
      <c r="W7" s="711">
        <f t="shared" ref="W7:W14" si="2">J7</f>
        <v>0</v>
      </c>
      <c r="X7" s="712"/>
      <c r="Y7" s="3498" t="s">
        <v>2128</v>
      </c>
      <c r="Z7" s="3499"/>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8" t="s">
        <v>2131</v>
      </c>
      <c r="Q8" s="3499"/>
      <c r="R8" s="710" t="s">
        <v>17</v>
      </c>
      <c r="S8" s="711">
        <f t="shared" si="0"/>
        <v>0</v>
      </c>
      <c r="T8" s="710" t="s">
        <v>17</v>
      </c>
      <c r="U8" s="711">
        <f t="shared" si="1"/>
        <v>0</v>
      </c>
      <c r="V8" s="710" t="s">
        <v>17</v>
      </c>
      <c r="W8" s="711">
        <f t="shared" si="2"/>
        <v>0</v>
      </c>
      <c r="X8" s="712"/>
      <c r="Y8" s="3498" t="s">
        <v>2131</v>
      </c>
      <c r="Z8" s="3499"/>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62" t="s">
        <v>2134</v>
      </c>
      <c r="Q9" s="1477" t="str">
        <f t="shared" ref="Q9:Q14" si="6">B9</f>
        <v>用途</v>
      </c>
      <c r="R9" s="710" t="s">
        <v>17</v>
      </c>
      <c r="S9" s="711">
        <f t="shared" si="0"/>
        <v>100</v>
      </c>
      <c r="T9" s="710" t="s">
        <v>17</v>
      </c>
      <c r="U9" s="711">
        <f t="shared" si="1"/>
        <v>100</v>
      </c>
      <c r="V9" s="710" t="s">
        <v>17</v>
      </c>
      <c r="W9" s="711">
        <f t="shared" si="2"/>
        <v>100</v>
      </c>
      <c r="X9" s="712"/>
      <c r="Y9" s="3334"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62"/>
      <c r="Q10" s="147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62"/>
      <c r="Q11" s="1477">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62"/>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62"/>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4" t="s">
        <v>2139</v>
      </c>
      <c r="Q14" s="1486" t="str">
        <f t="shared" si="6"/>
        <v>交通便捷度</v>
      </c>
      <c r="R14" s="714" t="s">
        <v>17</v>
      </c>
      <c r="S14" s="715">
        <f t="shared" si="0"/>
        <v>100</v>
      </c>
      <c r="T14" s="714" t="s">
        <v>17</v>
      </c>
      <c r="U14" s="715">
        <f t="shared" si="1"/>
        <v>100</v>
      </c>
      <c r="V14" s="714" t="s">
        <v>17</v>
      </c>
      <c r="W14" s="715">
        <f t="shared" si="2"/>
        <v>100</v>
      </c>
      <c r="X14" s="1489"/>
      <c r="Y14" s="3464" t="s">
        <v>2139</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65"/>
      <c r="Q15" s="1486"/>
      <c r="R15" s="714"/>
      <c r="S15" s="715"/>
      <c r="T15" s="714"/>
      <c r="U15" s="715"/>
      <c r="V15" s="714"/>
      <c r="W15" s="715"/>
      <c r="X15" s="1489"/>
      <c r="Y15" s="3465"/>
      <c r="Z15" s="1490"/>
      <c r="AA15" s="1487">
        <v>1</v>
      </c>
      <c r="AB15" s="1487">
        <v>1</v>
      </c>
      <c r="AC15" s="1487">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5"/>
      <c r="Q16" s="1486" t="str">
        <f>B16</f>
        <v>公共配套设施</v>
      </c>
      <c r="R16" s="714" t="s">
        <v>17</v>
      </c>
      <c r="S16" s="715">
        <f>F16</f>
        <v>100</v>
      </c>
      <c r="T16" s="714" t="s">
        <v>17</v>
      </c>
      <c r="U16" s="715">
        <f>H16</f>
        <v>100</v>
      </c>
      <c r="V16" s="714" t="s">
        <v>17</v>
      </c>
      <c r="W16" s="715">
        <f>J16</f>
        <v>100</v>
      </c>
      <c r="X16" s="1489"/>
      <c r="Y16" s="3465"/>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65"/>
      <c r="Q17" s="1486"/>
      <c r="R17" s="714"/>
      <c r="S17" s="715"/>
      <c r="T17" s="714"/>
      <c r="U17" s="715"/>
      <c r="V17" s="714"/>
      <c r="W17" s="715"/>
      <c r="X17" s="1489"/>
      <c r="Y17" s="3465"/>
      <c r="Z17" s="1490"/>
      <c r="AA17" s="1487">
        <v>1</v>
      </c>
      <c r="AB17" s="1487">
        <v>1</v>
      </c>
      <c r="AC17" s="1487">
        <v>1</v>
      </c>
    </row>
    <row r="18" spans="1:29" ht="28.5">
      <c r="A18" s="387"/>
      <c r="B18" s="1245"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5"/>
      <c r="Q18" s="1486" t="str">
        <f>B18</f>
        <v>基础设施水平</v>
      </c>
      <c r="R18" s="714" t="s">
        <v>17</v>
      </c>
      <c r="S18" s="715">
        <f>F18</f>
        <v>100</v>
      </c>
      <c r="T18" s="714" t="s">
        <v>17</v>
      </c>
      <c r="U18" s="715">
        <f>H18</f>
        <v>100</v>
      </c>
      <c r="V18" s="714" t="s">
        <v>17</v>
      </c>
      <c r="W18" s="715">
        <f>J18</f>
        <v>100</v>
      </c>
      <c r="X18" s="1489"/>
      <c r="Y18" s="3465"/>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465"/>
      <c r="Q19" s="1486"/>
      <c r="R19" s="714"/>
      <c r="S19" s="715"/>
      <c r="T19" s="714"/>
      <c r="U19" s="715"/>
      <c r="V19" s="714"/>
      <c r="W19" s="715"/>
      <c r="X19" s="1489"/>
      <c r="Y19" s="3465"/>
      <c r="Z19" s="1490"/>
      <c r="AA19" s="1487">
        <v>1</v>
      </c>
      <c r="AB19" s="1487">
        <v>1</v>
      </c>
      <c r="AC19" s="1487">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5"/>
      <c r="Q20" s="1486" t="str">
        <f>B20</f>
        <v>自然及人文环境</v>
      </c>
      <c r="R20" s="714" t="s">
        <v>17</v>
      </c>
      <c r="S20" s="715">
        <f>F20</f>
        <v>100</v>
      </c>
      <c r="T20" s="714" t="s">
        <v>17</v>
      </c>
      <c r="U20" s="715">
        <f>H20</f>
        <v>100</v>
      </c>
      <c r="V20" s="714" t="s">
        <v>17</v>
      </c>
      <c r="W20" s="715">
        <f>J20</f>
        <v>100</v>
      </c>
      <c r="X20" s="1489"/>
      <c r="Y20" s="3465"/>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65"/>
      <c r="Q21" s="1486"/>
      <c r="R21" s="714"/>
      <c r="S21" s="715"/>
      <c r="T21" s="714"/>
      <c r="U21" s="715"/>
      <c r="V21" s="714"/>
      <c r="W21" s="715"/>
      <c r="X21" s="1489"/>
      <c r="Y21" s="3465"/>
      <c r="Z21" s="1490"/>
      <c r="AA21" s="1487">
        <v>1</v>
      </c>
      <c r="AB21" s="1487">
        <v>1</v>
      </c>
      <c r="AC21" s="1487">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5"/>
      <c r="Q22" s="1486" t="str">
        <f>B22</f>
        <v>楼层</v>
      </c>
      <c r="R22" s="714" t="s">
        <v>17</v>
      </c>
      <c r="S22" s="715">
        <f>F22</f>
        <v>100</v>
      </c>
      <c r="T22" s="714" t="s">
        <v>17</v>
      </c>
      <c r="U22" s="715">
        <f>H22</f>
        <v>100</v>
      </c>
      <c r="V22" s="714" t="s">
        <v>17</v>
      </c>
      <c r="W22" s="715">
        <f>J22</f>
        <v>100</v>
      </c>
      <c r="X22" s="1489"/>
      <c r="Y22" s="3465"/>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5"/>
      <c r="Q23" s="1486">
        <f>B23</f>
        <v>111</v>
      </c>
      <c r="R23" s="714" t="s">
        <v>17</v>
      </c>
      <c r="S23" s="715">
        <f>F23</f>
        <v>100</v>
      </c>
      <c r="T23" s="714" t="s">
        <v>17</v>
      </c>
      <c r="U23" s="715">
        <f>H23</f>
        <v>100</v>
      </c>
      <c r="V23" s="714" t="s">
        <v>17</v>
      </c>
      <c r="W23" s="715">
        <f>J23</f>
        <v>100</v>
      </c>
      <c r="X23" s="1489"/>
      <c r="Y23" s="3465"/>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5"/>
      <c r="Q24" s="1486">
        <f t="shared" ref="Q24:Q34" si="11">B24</f>
        <v>111</v>
      </c>
      <c r="R24" s="714" t="s">
        <v>17</v>
      </c>
      <c r="S24" s="715">
        <f>F24</f>
        <v>100</v>
      </c>
      <c r="T24" s="714" t="s">
        <v>17</v>
      </c>
      <c r="U24" s="715">
        <f>H24</f>
        <v>100</v>
      </c>
      <c r="V24" s="714" t="s">
        <v>17</v>
      </c>
      <c r="W24" s="715">
        <f>J24</f>
        <v>100</v>
      </c>
      <c r="X24" s="1489"/>
      <c r="Y24" s="3465"/>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65"/>
      <c r="Q25" s="1477">
        <f t="shared" si="11"/>
        <v>111</v>
      </c>
      <c r="R25" s="710" t="s">
        <v>17</v>
      </c>
      <c r="S25" s="711">
        <f>F25</f>
        <v>100</v>
      </c>
      <c r="T25" s="710" t="s">
        <v>17</v>
      </c>
      <c r="U25" s="711">
        <f>H25</f>
        <v>100</v>
      </c>
      <c r="V25" s="710" t="s">
        <v>17</v>
      </c>
      <c r="W25" s="711">
        <f>J25</f>
        <v>100</v>
      </c>
      <c r="X25" s="712"/>
      <c r="Y25" s="3465"/>
      <c r="Z25" s="55">
        <f>Q25</f>
        <v>111</v>
      </c>
      <c r="AA25" s="1487">
        <f>D25/F25</f>
        <v>1</v>
      </c>
      <c r="AB25" s="1487">
        <f>D25/H25</f>
        <v>1</v>
      </c>
      <c r="AC25" s="1487">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20" t="s">
        <v>2144</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69" t="s">
        <v>2144</v>
      </c>
      <c r="Z26" s="1490" t="str">
        <f t="shared" ref="Z26:Z34" si="15">Q26</f>
        <v>公共部分装修</v>
      </c>
      <c r="AA26" s="1487">
        <f t="shared" si="3"/>
        <v>1</v>
      </c>
      <c r="AB26" s="1487">
        <f t="shared" si="4"/>
        <v>1</v>
      </c>
      <c r="AC26" s="1487">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487" t="e">
        <f t="shared" si="3"/>
        <v>#N/A</v>
      </c>
      <c r="AB27" s="1487" t="e">
        <f t="shared" si="4"/>
        <v>#N/A</v>
      </c>
      <c r="AC27" s="1487"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9"/>
      <c r="Q28" s="1486" t="str">
        <f t="shared" si="11"/>
        <v>物业等级</v>
      </c>
      <c r="R28" s="714" t="s">
        <v>17</v>
      </c>
      <c r="S28" s="715">
        <f t="shared" si="12"/>
        <v>100</v>
      </c>
      <c r="T28" s="714" t="s">
        <v>17</v>
      </c>
      <c r="U28" s="715">
        <f t="shared" si="13"/>
        <v>100</v>
      </c>
      <c r="V28" s="714" t="s">
        <v>17</v>
      </c>
      <c r="W28" s="715">
        <f t="shared" si="14"/>
        <v>100</v>
      </c>
      <c r="X28" s="1489"/>
      <c r="Y28" s="3469"/>
      <c r="Z28" s="1490" t="str">
        <f t="shared" si="15"/>
        <v>物业等级</v>
      </c>
      <c r="AA28" s="1487">
        <f t="shared" si="3"/>
        <v>1</v>
      </c>
      <c r="AB28" s="1487">
        <f t="shared" si="4"/>
        <v>1</v>
      </c>
      <c r="AC28" s="1487">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9"/>
      <c r="Q29" s="1486" t="str">
        <f t="shared" si="11"/>
        <v>有无电梯</v>
      </c>
      <c r="R29" s="714" t="s">
        <v>17</v>
      </c>
      <c r="S29" s="715">
        <f t="shared" si="12"/>
        <v>100</v>
      </c>
      <c r="T29" s="714" t="s">
        <v>17</v>
      </c>
      <c r="U29" s="715">
        <f t="shared" si="13"/>
        <v>100</v>
      </c>
      <c r="V29" s="714" t="s">
        <v>17</v>
      </c>
      <c r="W29" s="715">
        <f t="shared" si="14"/>
        <v>100</v>
      </c>
      <c r="X29" s="1489"/>
      <c r="Y29" s="3469"/>
      <c r="Z29" s="1490" t="str">
        <f t="shared" si="15"/>
        <v>有无电梯</v>
      </c>
      <c r="AA29" s="1487">
        <f t="shared" si="3"/>
        <v>1</v>
      </c>
      <c r="AB29" s="1487">
        <f t="shared" si="4"/>
        <v>1</v>
      </c>
      <c r="AC29" s="1487">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9"/>
      <c r="Q30" s="1486" t="str">
        <f t="shared" si="11"/>
        <v>建筑面积</v>
      </c>
      <c r="R30" s="714" t="s">
        <v>17</v>
      </c>
      <c r="S30" s="715" t="e">
        <f t="shared" si="12"/>
        <v>#N/A</v>
      </c>
      <c r="T30" s="714" t="s">
        <v>17</v>
      </c>
      <c r="U30" s="715" t="e">
        <f t="shared" si="13"/>
        <v>#N/A</v>
      </c>
      <c r="V30" s="714" t="s">
        <v>17</v>
      </c>
      <c r="W30" s="715" t="e">
        <f t="shared" si="14"/>
        <v>#N/A</v>
      </c>
      <c r="X30" s="1489"/>
      <c r="Y30" s="3469"/>
      <c r="Z30" s="1490" t="str">
        <f t="shared" si="15"/>
        <v>建筑面积</v>
      </c>
      <c r="AA30" s="1487" t="e">
        <f t="shared" si="3"/>
        <v>#N/A</v>
      </c>
      <c r="AB30" s="1487" t="e">
        <f t="shared" si="4"/>
        <v>#N/A</v>
      </c>
      <c r="AC30" s="1487"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9"/>
      <c r="Q31" s="1477"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9" t="s">
        <v>2144</v>
      </c>
      <c r="Q32" s="1486">
        <f t="shared" si="11"/>
        <v>111</v>
      </c>
      <c r="R32" s="714" t="s">
        <v>17</v>
      </c>
      <c r="S32" s="715">
        <f t="shared" si="12"/>
        <v>100</v>
      </c>
      <c r="T32" s="714" t="s">
        <v>17</v>
      </c>
      <c r="U32" s="715">
        <f t="shared" si="13"/>
        <v>100</v>
      </c>
      <c r="V32" s="714" t="s">
        <v>17</v>
      </c>
      <c r="W32" s="715">
        <f t="shared" si="14"/>
        <v>100</v>
      </c>
      <c r="X32" s="1489"/>
      <c r="Y32" s="3469" t="s">
        <v>2144</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9"/>
      <c r="Q33" s="1486">
        <f t="shared" si="11"/>
        <v>111</v>
      </c>
      <c r="R33" s="714" t="s">
        <v>17</v>
      </c>
      <c r="S33" s="715">
        <f t="shared" si="12"/>
        <v>100</v>
      </c>
      <c r="T33" s="714" t="s">
        <v>17</v>
      </c>
      <c r="U33" s="715">
        <f t="shared" si="13"/>
        <v>100</v>
      </c>
      <c r="V33" s="714" t="s">
        <v>17</v>
      </c>
      <c r="W33" s="715">
        <f t="shared" si="14"/>
        <v>100</v>
      </c>
      <c r="X33" s="1489"/>
      <c r="Y33" s="3469"/>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69"/>
      <c r="Q34" s="1486">
        <f t="shared" si="11"/>
        <v>111</v>
      </c>
      <c r="R34" s="714" t="s">
        <v>17</v>
      </c>
      <c r="S34" s="715">
        <f t="shared" si="12"/>
        <v>100</v>
      </c>
      <c r="T34" s="714" t="s">
        <v>17</v>
      </c>
      <c r="U34" s="715">
        <f t="shared" si="13"/>
        <v>100</v>
      </c>
      <c r="V34" s="714" t="s">
        <v>17</v>
      </c>
      <c r="W34" s="715">
        <f t="shared" si="14"/>
        <v>100</v>
      </c>
      <c r="X34" s="1489"/>
      <c r="Y34" s="3469"/>
      <c r="Z34" s="1490">
        <f t="shared" si="15"/>
        <v>111</v>
      </c>
      <c r="AA34" s="1487">
        <f t="shared" si="3"/>
        <v>1</v>
      </c>
      <c r="AB34" s="1487">
        <f t="shared" si="4"/>
        <v>1</v>
      </c>
      <c r="AC34" s="1487">
        <f t="shared" si="5"/>
        <v>1</v>
      </c>
    </row>
    <row r="35" spans="1:30" ht="15">
      <c r="A35" s="438" t="s">
        <v>2156</v>
      </c>
      <c r="B35" s="439"/>
      <c r="C35" s="1268" t="s">
        <v>1</v>
      </c>
      <c r="D35" s="1269"/>
      <c r="E35" s="1270"/>
      <c r="F35" s="1271"/>
      <c r="G35" s="1272"/>
      <c r="H35" s="1273"/>
      <c r="I35" s="1270"/>
      <c r="J35" s="1273"/>
      <c r="K35" s="723"/>
      <c r="L35" s="2902"/>
      <c r="M35" s="2903"/>
      <c r="N35" s="2894"/>
      <c r="O35" s="2903"/>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2248</v>
      </c>
      <c r="B36" s="446"/>
      <c r="C36" s="1274" t="e">
        <f>R37</f>
        <v>#DIV/0!</v>
      </c>
      <c r="D36" s="2488" t="s">
        <v>2637</v>
      </c>
      <c r="E36" s="1275" t="e">
        <f>R36</f>
        <v>#DIV/0!</v>
      </c>
      <c r="F36" s="2489"/>
      <c r="G36" s="1274" t="e">
        <f>T36</f>
        <v>#DIV/0!</v>
      </c>
      <c r="H36" s="2489"/>
      <c r="I36" s="1275" t="e">
        <f>V36</f>
        <v>#DIV/0!</v>
      </c>
      <c r="J36" s="2489"/>
      <c r="K36" s="2491">
        <f>F36+H36+J36</f>
        <v>0</v>
      </c>
      <c r="L36" s="2902"/>
      <c r="M36" s="2903"/>
      <c r="N36" s="2894"/>
      <c r="O36" s="2903"/>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2249</v>
      </c>
      <c r="B37" s="450"/>
      <c r="C37" s="1277" t="e">
        <f>R37</f>
        <v>#DIV/0!</v>
      </c>
      <c r="D37" s="1277"/>
      <c r="E37" s="1277"/>
      <c r="F37" s="1277"/>
      <c r="G37" s="1277"/>
      <c r="H37" s="1277"/>
      <c r="I37" s="1277"/>
      <c r="J37" s="1277"/>
      <c r="K37" s="724"/>
      <c r="L37" s="2902"/>
      <c r="M37" s="2903"/>
      <c r="N37" s="2903"/>
      <c r="O37" s="2903"/>
      <c r="P37" s="3459" t="str">
        <f>A37</f>
        <v>估价对象XX用房的比较价值（楼面单价，元/平方米）</v>
      </c>
      <c r="Q37" s="3460"/>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77" t="s">
        <v>2225</v>
      </c>
      <c r="D4" s="3478"/>
      <c r="E4" s="3479" t="s">
        <v>2226</v>
      </c>
      <c r="F4" s="3480"/>
      <c r="G4" s="3477" t="s">
        <v>2227</v>
      </c>
      <c r="H4" s="3478"/>
      <c r="I4" s="3477" t="s">
        <v>2228</v>
      </c>
      <c r="J4" s="3478"/>
      <c r="K4" s="567" t="s">
        <v>2229</v>
      </c>
      <c r="L4" s="2893"/>
      <c r="M4" s="2894"/>
      <c r="N4" s="2894"/>
      <c r="O4" s="2894"/>
      <c r="P4" s="3481" t="s">
        <v>2230</v>
      </c>
      <c r="Q4" s="3482"/>
      <c r="R4" s="3487" t="s">
        <v>2226</v>
      </c>
      <c r="S4" s="3488"/>
      <c r="T4" s="3487" t="s">
        <v>2227</v>
      </c>
      <c r="U4" s="3488"/>
      <c r="V4" s="3493" t="s">
        <v>2228</v>
      </c>
      <c r="W4" s="3493"/>
      <c r="X4" s="1489"/>
      <c r="Y4" s="3487" t="s">
        <v>2230</v>
      </c>
      <c r="Z4" s="3488"/>
      <c r="AA4" s="3474" t="s">
        <v>2226</v>
      </c>
      <c r="AB4" s="3475" t="s">
        <v>2227</v>
      </c>
      <c r="AC4" s="3474" t="s">
        <v>2228</v>
      </c>
    </row>
    <row r="5" spans="1:30" ht="15">
      <c r="A5" s="364"/>
      <c r="B5" s="365"/>
      <c r="C5" s="3496" t="s">
        <v>2121</v>
      </c>
      <c r="D5" s="3497"/>
      <c r="E5" s="3503" t="s">
        <v>2122</v>
      </c>
      <c r="F5" s="3504"/>
      <c r="G5" s="3496" t="s">
        <v>2123</v>
      </c>
      <c r="H5" s="3497"/>
      <c r="I5" s="3496" t="s">
        <v>2124</v>
      </c>
      <c r="J5" s="3497"/>
      <c r="K5" s="567"/>
      <c r="L5" s="2893"/>
      <c r="M5" s="2894"/>
      <c r="N5" s="2894"/>
      <c r="O5" s="2894"/>
      <c r="P5" s="3483"/>
      <c r="Q5" s="3484"/>
      <c r="R5" s="3489"/>
      <c r="S5" s="3490"/>
      <c r="T5" s="3489"/>
      <c r="U5" s="3490"/>
      <c r="V5" s="3493"/>
      <c r="W5" s="3493"/>
      <c r="X5" s="1489"/>
      <c r="Y5" s="3489"/>
      <c r="Z5" s="3490"/>
      <c r="AA5" s="3475"/>
      <c r="AB5" s="3475"/>
      <c r="AC5" s="3475"/>
    </row>
    <row r="6" spans="1:30" ht="15.75" thickBot="1">
      <c r="A6" s="366"/>
      <c r="B6" s="367"/>
      <c r="C6" s="3494" t="s">
        <v>2125</v>
      </c>
      <c r="D6" s="3495"/>
      <c r="E6" s="3501" t="s">
        <v>2125</v>
      </c>
      <c r="F6" s="3502"/>
      <c r="G6" s="3494" t="s">
        <v>2125</v>
      </c>
      <c r="H6" s="3495"/>
      <c r="I6" s="3494" t="s">
        <v>2125</v>
      </c>
      <c r="J6" s="3495"/>
      <c r="K6" s="567" t="s">
        <v>2126</v>
      </c>
      <c r="L6" s="2893"/>
      <c r="M6" s="2894"/>
      <c r="N6" s="2894"/>
      <c r="O6" s="2894"/>
      <c r="P6" s="3485"/>
      <c r="Q6" s="3486"/>
      <c r="R6" s="3489"/>
      <c r="S6" s="3490"/>
      <c r="T6" s="3491"/>
      <c r="U6" s="3492"/>
      <c r="V6" s="3493"/>
      <c r="W6" s="3493"/>
      <c r="X6" s="1489"/>
      <c r="Y6" s="3491"/>
      <c r="Z6" s="3492"/>
      <c r="AA6" s="3476"/>
      <c r="AB6" s="3476"/>
      <c r="AC6" s="3476"/>
    </row>
    <row r="7" spans="1:30" s="113" customFormat="1" ht="15.75" thickBot="1">
      <c r="A7" s="368" t="s">
        <v>2127</v>
      </c>
      <c r="B7" s="369"/>
      <c r="C7" s="370">
        <f>'数据-取费表'!B2</f>
        <v>44805</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98" t="s">
        <v>2128</v>
      </c>
      <c r="Q7" s="3500"/>
      <c r="R7" s="710" t="s">
        <v>17</v>
      </c>
      <c r="S7" s="711">
        <f t="shared" ref="S7:S15" si="0">F7</f>
        <v>0</v>
      </c>
      <c r="T7" s="710" t="s">
        <v>17</v>
      </c>
      <c r="U7" s="711">
        <f t="shared" ref="U7:U15" si="1">H7</f>
        <v>0</v>
      </c>
      <c r="V7" s="710" t="s">
        <v>17</v>
      </c>
      <c r="W7" s="711">
        <f t="shared" ref="W7:W15" si="2">J7</f>
        <v>0</v>
      </c>
      <c r="X7" s="712"/>
      <c r="Y7" s="3498" t="s">
        <v>2128</v>
      </c>
      <c r="Z7" s="3499"/>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8" t="s">
        <v>2131</v>
      </c>
      <c r="Q8" s="3499"/>
      <c r="R8" s="710" t="s">
        <v>17</v>
      </c>
      <c r="S8" s="711">
        <f t="shared" si="0"/>
        <v>0</v>
      </c>
      <c r="T8" s="710" t="s">
        <v>17</v>
      </c>
      <c r="U8" s="711">
        <f t="shared" si="1"/>
        <v>0</v>
      </c>
      <c r="V8" s="710" t="s">
        <v>17</v>
      </c>
      <c r="W8" s="711">
        <f t="shared" si="2"/>
        <v>0</v>
      </c>
      <c r="X8" s="712"/>
      <c r="Y8" s="3498" t="s">
        <v>2131</v>
      </c>
      <c r="Z8" s="3499"/>
      <c r="AA8" s="713" t="e">
        <f t="shared" ref="AA8:AA45" si="3">D8/F8</f>
        <v>#DIV/0!</v>
      </c>
      <c r="AB8" s="713" t="e">
        <f t="shared" ref="AB8:AB45" si="4">D8/H8</f>
        <v>#DIV/0!</v>
      </c>
      <c r="AC8" s="713" t="e">
        <f t="shared" ref="AC8:AC45" si="5">D8/J8</f>
        <v>#DIV/0!</v>
      </c>
    </row>
    <row r="9" spans="1:30" s="113" customFormat="1">
      <c r="A9" s="375" t="s">
        <v>2132</v>
      </c>
      <c r="B9" s="67" t="s">
        <v>2133</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62"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121</v>
      </c>
      <c r="G10" s="422"/>
      <c r="H10" s="132">
        <f>ROUND(100/'数据-取费表'!G16,0)</f>
        <v>121</v>
      </c>
      <c r="I10" s="422"/>
      <c r="J10" s="132">
        <f>ROUND(100/'数据-取费表'!G16,0)</f>
        <v>121</v>
      </c>
      <c r="K10" s="628"/>
      <c r="L10" s="2897"/>
      <c r="M10" s="2898"/>
      <c r="N10" s="2898"/>
      <c r="O10" s="2951"/>
      <c r="P10" s="3462"/>
      <c r="Q10" s="1477" t="str">
        <f t="shared" si="6"/>
        <v>土地使用年限（年）</v>
      </c>
      <c r="R10" s="710" t="s">
        <v>17</v>
      </c>
      <c r="S10" s="711">
        <f t="shared" si="0"/>
        <v>121</v>
      </c>
      <c r="T10" s="710" t="s">
        <v>17</v>
      </c>
      <c r="U10" s="711">
        <f t="shared" si="1"/>
        <v>121</v>
      </c>
      <c r="V10" s="710" t="s">
        <v>17</v>
      </c>
      <c r="W10" s="711">
        <f t="shared" si="2"/>
        <v>121</v>
      </c>
      <c r="X10" s="712"/>
      <c r="Y10" s="3334"/>
      <c r="Z10" s="55" t="str">
        <f t="shared" si="7"/>
        <v>土地使用年限（年）</v>
      </c>
      <c r="AA10" s="713">
        <f t="shared" si="3"/>
        <v>0.82644628099173556</v>
      </c>
      <c r="AB10" s="713">
        <f t="shared" si="4"/>
        <v>0.82644628099173556</v>
      </c>
      <c r="AC10" s="713">
        <f t="shared" si="5"/>
        <v>0.82644628099173556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62"/>
      <c r="Q11" s="147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62"/>
      <c r="Q12" s="1477"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62"/>
      <c r="Q13" s="1477">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62"/>
      <c r="Q14" s="1477">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4" t="s">
        <v>2139</v>
      </c>
      <c r="Q15" s="1486" t="str">
        <f t="shared" si="6"/>
        <v>居住社区成熟度</v>
      </c>
      <c r="R15" s="714" t="s">
        <v>17</v>
      </c>
      <c r="S15" s="715">
        <f t="shared" si="0"/>
        <v>100</v>
      </c>
      <c r="T15" s="714" t="s">
        <v>17</v>
      </c>
      <c r="U15" s="715">
        <f t="shared" si="1"/>
        <v>100</v>
      </c>
      <c r="V15" s="714" t="s">
        <v>17</v>
      </c>
      <c r="W15" s="715">
        <f t="shared" si="2"/>
        <v>100</v>
      </c>
      <c r="X15" s="1489"/>
      <c r="Y15" s="3464" t="s">
        <v>2139</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65"/>
      <c r="Q16" s="1486"/>
      <c r="R16" s="714"/>
      <c r="S16" s="715"/>
      <c r="T16" s="714"/>
      <c r="U16" s="715"/>
      <c r="V16" s="714"/>
      <c r="W16" s="715"/>
      <c r="X16" s="1489"/>
      <c r="Y16" s="3465"/>
      <c r="Z16" s="1490"/>
      <c r="AA16" s="1487">
        <v>1</v>
      </c>
      <c r="AB16" s="1487">
        <v>1</v>
      </c>
      <c r="AC16" s="1487">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5"/>
      <c r="Q17" s="1486" t="str">
        <f>B17</f>
        <v>商业繁华度</v>
      </c>
      <c r="R17" s="714" t="s">
        <v>17</v>
      </c>
      <c r="S17" s="715">
        <f>F17</f>
        <v>100</v>
      </c>
      <c r="T17" s="714" t="s">
        <v>17</v>
      </c>
      <c r="U17" s="715">
        <f>H17</f>
        <v>100</v>
      </c>
      <c r="V17" s="714" t="s">
        <v>17</v>
      </c>
      <c r="W17" s="715">
        <f>J17</f>
        <v>100</v>
      </c>
      <c r="X17" s="1489"/>
      <c r="Y17" s="3465"/>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465"/>
      <c r="Q18" s="1486"/>
      <c r="R18" s="714"/>
      <c r="S18" s="715"/>
      <c r="T18" s="714"/>
      <c r="U18" s="715"/>
      <c r="V18" s="714"/>
      <c r="W18" s="715"/>
      <c r="X18" s="1489"/>
      <c r="Y18" s="3465"/>
      <c r="Z18" s="1490"/>
      <c r="AA18" s="1487">
        <v>1</v>
      </c>
      <c r="AB18" s="1487">
        <v>1</v>
      </c>
      <c r="AC18" s="1487">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5"/>
      <c r="Q19" s="1486" t="str">
        <f>B19</f>
        <v>办公集聚程度</v>
      </c>
      <c r="R19" s="714" t="s">
        <v>17</v>
      </c>
      <c r="S19" s="715">
        <f>F19</f>
        <v>100</v>
      </c>
      <c r="T19" s="714" t="s">
        <v>17</v>
      </c>
      <c r="U19" s="715">
        <f>H19</f>
        <v>100</v>
      </c>
      <c r="V19" s="714" t="s">
        <v>17</v>
      </c>
      <c r="W19" s="715">
        <f>J19</f>
        <v>100</v>
      </c>
      <c r="X19" s="1489"/>
      <c r="Y19" s="3465"/>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65"/>
      <c r="Q20" s="1486"/>
      <c r="R20" s="714"/>
      <c r="S20" s="715"/>
      <c r="T20" s="714"/>
      <c r="U20" s="715"/>
      <c r="V20" s="714"/>
      <c r="W20" s="715"/>
      <c r="X20" s="1489"/>
      <c r="Y20" s="3465"/>
      <c r="Z20" s="1490"/>
      <c r="AA20" s="1487">
        <v>1</v>
      </c>
      <c r="AB20" s="1487">
        <v>1</v>
      </c>
      <c r="AC20" s="1487">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5"/>
      <c r="Q21" s="1486" t="str">
        <f>B21</f>
        <v>交通便捷度</v>
      </c>
      <c r="R21" s="714" t="s">
        <v>17</v>
      </c>
      <c r="S21" s="715">
        <f>F21</f>
        <v>100</v>
      </c>
      <c r="T21" s="714" t="s">
        <v>17</v>
      </c>
      <c r="U21" s="715">
        <f>H21</f>
        <v>100</v>
      </c>
      <c r="V21" s="714" t="s">
        <v>17</v>
      </c>
      <c r="W21" s="715">
        <f>J21</f>
        <v>100</v>
      </c>
      <c r="X21" s="1489"/>
      <c r="Y21" s="3465"/>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465"/>
      <c r="Q22" s="1486"/>
      <c r="R22" s="714"/>
      <c r="S22" s="715"/>
      <c r="T22" s="714"/>
      <c r="U22" s="715"/>
      <c r="V22" s="714"/>
      <c r="W22" s="715"/>
      <c r="X22" s="1489"/>
      <c r="Y22" s="3465"/>
      <c r="Z22" s="1490"/>
      <c r="AA22" s="1487">
        <v>1</v>
      </c>
      <c r="AB22" s="1487">
        <v>1</v>
      </c>
      <c r="AC22" s="1487">
        <v>1</v>
      </c>
    </row>
    <row r="23" spans="1:29" ht="15">
      <c r="A23" s="364"/>
      <c r="B23" s="410" t="s">
        <v>2327</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5"/>
      <c r="Q23" s="1486" t="str">
        <f t="shared" ref="Q23:Q37" si="8">B23</f>
        <v>区域土地利用方向</v>
      </c>
      <c r="R23" s="714" t="s">
        <v>17</v>
      </c>
      <c r="S23" s="715">
        <f>F23</f>
        <v>100</v>
      </c>
      <c r="T23" s="714" t="s">
        <v>17</v>
      </c>
      <c r="U23" s="715">
        <f>H23</f>
        <v>100</v>
      </c>
      <c r="V23" s="714" t="s">
        <v>17</v>
      </c>
      <c r="W23" s="715">
        <f>J23</f>
        <v>100</v>
      </c>
      <c r="X23" s="1489"/>
      <c r="Y23" s="3465"/>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2"/>
      <c r="P24" s="3465"/>
      <c r="Q24" s="1486"/>
      <c r="R24" s="714"/>
      <c r="S24" s="715"/>
      <c r="T24" s="714"/>
      <c r="U24" s="715"/>
      <c r="V24" s="714"/>
      <c r="W24" s="715"/>
      <c r="X24" s="1489"/>
      <c r="Y24" s="3465"/>
      <c r="Z24" s="1490"/>
      <c r="AA24" s="1487"/>
      <c r="AB24" s="1487"/>
      <c r="AC24" s="1487"/>
    </row>
    <row r="25" spans="1:29" ht="57">
      <c r="A25" s="364"/>
      <c r="B25" s="1245"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5"/>
      <c r="Q25" s="1486" t="str">
        <f t="shared" si="8"/>
        <v>自然及人文环境状况</v>
      </c>
      <c r="R25" s="714" t="s">
        <v>17</v>
      </c>
      <c r="S25" s="715">
        <f>F25</f>
        <v>100</v>
      </c>
      <c r="T25" s="714" t="s">
        <v>17</v>
      </c>
      <c r="U25" s="715">
        <f>H25</f>
        <v>100</v>
      </c>
      <c r="V25" s="714" t="s">
        <v>17</v>
      </c>
      <c r="W25" s="715">
        <f>J25</f>
        <v>100</v>
      </c>
      <c r="X25" s="1489"/>
      <c r="Y25" s="3465"/>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465"/>
      <c r="Q26" s="1486"/>
      <c r="R26" s="714"/>
      <c r="S26" s="715"/>
      <c r="T26" s="714"/>
      <c r="U26" s="715"/>
      <c r="V26" s="714"/>
      <c r="W26" s="715"/>
      <c r="X26" s="1489"/>
      <c r="Y26" s="3465"/>
      <c r="Z26" s="1490"/>
      <c r="AA26" s="1487">
        <v>1</v>
      </c>
      <c r="AB26" s="1487">
        <v>1</v>
      </c>
      <c r="AC26" s="1487">
        <v>1</v>
      </c>
    </row>
    <row r="27" spans="1:29" s="113" customFormat="1" ht="42.75">
      <c r="A27" s="605"/>
      <c r="B27" s="1245" t="s">
        <v>2233</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5"/>
      <c r="Q27" s="1477" t="str">
        <f t="shared" si="8"/>
        <v>公共配套设施</v>
      </c>
      <c r="R27" s="710" t="s">
        <v>17</v>
      </c>
      <c r="S27" s="711">
        <f>F27</f>
        <v>100</v>
      </c>
      <c r="T27" s="710" t="s">
        <v>17</v>
      </c>
      <c r="U27" s="711">
        <f>H27</f>
        <v>100</v>
      </c>
      <c r="V27" s="710" t="s">
        <v>17</v>
      </c>
      <c r="W27" s="711">
        <f>J27</f>
        <v>100</v>
      </c>
      <c r="X27" s="712"/>
      <c r="Y27" s="3465"/>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465"/>
      <c r="Q28" s="1477"/>
      <c r="R28" s="710"/>
      <c r="S28" s="711"/>
      <c r="T28" s="710"/>
      <c r="U28" s="711"/>
      <c r="V28" s="710"/>
      <c r="W28" s="711"/>
      <c r="X28" s="712"/>
      <c r="Y28" s="3465"/>
      <c r="Z28" s="55"/>
      <c r="AA28" s="1487">
        <v>1</v>
      </c>
      <c r="AB28" s="1487">
        <v>1</v>
      </c>
      <c r="AC28" s="1487">
        <v>1</v>
      </c>
    </row>
    <row r="29" spans="1:29" s="113" customFormat="1" ht="28.5">
      <c r="A29" s="605"/>
      <c r="B29" s="1245"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5"/>
      <c r="Q29" s="1477" t="str">
        <f t="shared" ref="Q29" si="9">B29</f>
        <v>基础设施水平</v>
      </c>
      <c r="R29" s="710" t="s">
        <v>17</v>
      </c>
      <c r="S29" s="711">
        <f>F29</f>
        <v>100</v>
      </c>
      <c r="T29" s="710" t="s">
        <v>17</v>
      </c>
      <c r="U29" s="711">
        <f>H29</f>
        <v>100</v>
      </c>
      <c r="V29" s="710" t="s">
        <v>17</v>
      </c>
      <c r="W29" s="711">
        <f>J29</f>
        <v>100</v>
      </c>
      <c r="X29" s="712"/>
      <c r="Y29" s="3465"/>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465"/>
      <c r="Q30" s="1477"/>
      <c r="R30" s="710"/>
      <c r="S30" s="711"/>
      <c r="T30" s="710"/>
      <c r="U30" s="711"/>
      <c r="V30" s="710"/>
      <c r="W30" s="711"/>
      <c r="X30" s="712"/>
      <c r="Y30" s="3465"/>
      <c r="Z30" s="55"/>
      <c r="AA30" s="1487">
        <v>1</v>
      </c>
      <c r="AB30" s="1487">
        <v>1</v>
      </c>
      <c r="AC30" s="1487">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5"/>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5"/>
      <c r="Z31" s="1490" t="str">
        <f t="shared" ref="Z31:Z45" si="13">Q31</f>
        <v>临街状况</v>
      </c>
      <c r="AA31" s="1487">
        <f t="shared" si="3"/>
        <v>1</v>
      </c>
      <c r="AB31" s="1487">
        <f t="shared" si="4"/>
        <v>1</v>
      </c>
      <c r="AC31" s="1487">
        <f t="shared" si="5"/>
        <v>1</v>
      </c>
    </row>
    <row r="32" spans="1:29" ht="27">
      <c r="A32" s="387"/>
      <c r="B32" s="1245"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5"/>
      <c r="Q32" s="1486" t="str">
        <f t="shared" si="8"/>
        <v>毗邻道路的类型与等级</v>
      </c>
      <c r="R32" s="714" t="s">
        <v>17</v>
      </c>
      <c r="S32" s="715">
        <f t="shared" si="10"/>
        <v>100</v>
      </c>
      <c r="T32" s="714" t="s">
        <v>17</v>
      </c>
      <c r="U32" s="715">
        <f t="shared" si="11"/>
        <v>100</v>
      </c>
      <c r="V32" s="714" t="s">
        <v>17</v>
      </c>
      <c r="W32" s="715">
        <f t="shared" si="12"/>
        <v>100</v>
      </c>
      <c r="X32" s="1489"/>
      <c r="Y32" s="3465"/>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65"/>
      <c r="Q33" s="1486"/>
      <c r="R33" s="714"/>
      <c r="S33" s="715"/>
      <c r="T33" s="714"/>
      <c r="U33" s="715"/>
      <c r="V33" s="714"/>
      <c r="W33" s="715"/>
      <c r="X33" s="1489"/>
      <c r="Y33" s="3465"/>
      <c r="Z33" s="1490"/>
      <c r="AA33" s="1487">
        <v>1</v>
      </c>
      <c r="AB33" s="1487">
        <v>1</v>
      </c>
      <c r="AC33" s="1487">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5"/>
      <c r="Q34" s="1486" t="str">
        <f t="shared" si="8"/>
        <v>土地级别</v>
      </c>
      <c r="R34" s="714" t="s">
        <v>17</v>
      </c>
      <c r="S34" s="715">
        <f t="shared" si="10"/>
        <v>100</v>
      </c>
      <c r="T34" s="714" t="s">
        <v>17</v>
      </c>
      <c r="U34" s="715">
        <f t="shared" si="11"/>
        <v>100</v>
      </c>
      <c r="V34" s="714" t="s">
        <v>17</v>
      </c>
      <c r="W34" s="715">
        <f t="shared" si="12"/>
        <v>100</v>
      </c>
      <c r="X34" s="1489"/>
      <c r="Y34" s="3465"/>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5"/>
      <c r="Q35" s="1486">
        <f t="shared" si="8"/>
        <v>111</v>
      </c>
      <c r="R35" s="714" t="s">
        <v>17</v>
      </c>
      <c r="S35" s="715">
        <f t="shared" si="10"/>
        <v>100</v>
      </c>
      <c r="T35" s="714" t="s">
        <v>17</v>
      </c>
      <c r="U35" s="715">
        <f t="shared" si="11"/>
        <v>100</v>
      </c>
      <c r="V35" s="714" t="s">
        <v>17</v>
      </c>
      <c r="W35" s="715">
        <f t="shared" si="12"/>
        <v>100</v>
      </c>
      <c r="X35" s="1489"/>
      <c r="Y35" s="3465"/>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20" t="s">
        <v>2144</v>
      </c>
      <c r="Q36" s="1486">
        <f t="shared" si="8"/>
        <v>111</v>
      </c>
      <c r="R36" s="714" t="s">
        <v>17</v>
      </c>
      <c r="S36" s="715">
        <f t="shared" si="10"/>
        <v>100</v>
      </c>
      <c r="T36" s="714" t="s">
        <v>17</v>
      </c>
      <c r="U36" s="715">
        <f t="shared" si="11"/>
        <v>100</v>
      </c>
      <c r="V36" s="714" t="s">
        <v>17</v>
      </c>
      <c r="W36" s="715">
        <f t="shared" si="12"/>
        <v>100</v>
      </c>
      <c r="X36" s="1489"/>
      <c r="Y36" s="3469" t="s">
        <v>2144</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9"/>
      <c r="Q37" s="1486">
        <f t="shared" si="8"/>
        <v>111</v>
      </c>
      <c r="R37" s="717" t="s">
        <v>17</v>
      </c>
      <c r="S37" s="718">
        <f t="shared" si="10"/>
        <v>100</v>
      </c>
      <c r="T37" s="717" t="s">
        <v>17</v>
      </c>
      <c r="U37" s="718">
        <f t="shared" si="11"/>
        <v>100</v>
      </c>
      <c r="V37" s="717" t="s">
        <v>17</v>
      </c>
      <c r="W37" s="718">
        <f t="shared" si="12"/>
        <v>100</v>
      </c>
      <c r="X37" s="719"/>
      <c r="Y37" s="3469"/>
      <c r="Z37" s="720">
        <f t="shared" si="13"/>
        <v>111</v>
      </c>
      <c r="AA37" s="1487">
        <f t="shared" si="3"/>
        <v>1</v>
      </c>
      <c r="AB37" s="1487">
        <f t="shared" si="4"/>
        <v>1</v>
      </c>
      <c r="AC37" s="1487">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9"/>
      <c r="Q38" s="1486" t="str">
        <f>B38</f>
        <v>宗地面积</v>
      </c>
      <c r="R38" s="714" t="s">
        <v>17</v>
      </c>
      <c r="S38" s="715" t="e">
        <f t="shared" si="10"/>
        <v>#N/A</v>
      </c>
      <c r="T38" s="714" t="s">
        <v>17</v>
      </c>
      <c r="U38" s="715" t="e">
        <f t="shared" si="11"/>
        <v>#N/A</v>
      </c>
      <c r="V38" s="714" t="s">
        <v>17</v>
      </c>
      <c r="W38" s="715" t="e">
        <f t="shared" si="12"/>
        <v>#N/A</v>
      </c>
      <c r="X38" s="1489"/>
      <c r="Y38" s="3469"/>
      <c r="Z38" s="1490" t="str">
        <f t="shared" si="13"/>
        <v>宗地面积</v>
      </c>
      <c r="AA38" s="1487" t="e">
        <f t="shared" si="3"/>
        <v>#N/A</v>
      </c>
      <c r="AB38" s="1487" t="e">
        <f t="shared" si="4"/>
        <v>#N/A</v>
      </c>
      <c r="AC38" s="1487"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69"/>
      <c r="Q39" s="1486" t="str">
        <f t="shared" ref="Q39:Q45" si="14">B39</f>
        <v>宗地形状</v>
      </c>
      <c r="R39" s="714" t="s">
        <v>17</v>
      </c>
      <c r="S39" s="715">
        <f t="shared" si="10"/>
        <v>100</v>
      </c>
      <c r="T39" s="714" t="s">
        <v>17</v>
      </c>
      <c r="U39" s="715">
        <f t="shared" si="11"/>
        <v>100</v>
      </c>
      <c r="V39" s="714" t="s">
        <v>17</v>
      </c>
      <c r="W39" s="715">
        <f t="shared" si="12"/>
        <v>100</v>
      </c>
      <c r="X39" s="1489"/>
      <c r="Y39" s="3469"/>
      <c r="Z39" s="1490" t="str">
        <f t="shared" si="13"/>
        <v>宗地形状</v>
      </c>
      <c r="AA39" s="1487">
        <f t="shared" si="3"/>
        <v>1</v>
      </c>
      <c r="AB39" s="1487">
        <f t="shared" si="4"/>
        <v>1</v>
      </c>
      <c r="AC39" s="1487">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69"/>
      <c r="Q40" s="1486" t="str">
        <f t="shared" si="14"/>
        <v>临街宽度及深度</v>
      </c>
      <c r="R40" s="714" t="s">
        <v>17</v>
      </c>
      <c r="S40" s="715">
        <f t="shared" si="10"/>
        <v>100</v>
      </c>
      <c r="T40" s="714" t="s">
        <v>17</v>
      </c>
      <c r="U40" s="715">
        <f t="shared" si="11"/>
        <v>100</v>
      </c>
      <c r="V40" s="714" t="s">
        <v>17</v>
      </c>
      <c r="W40" s="715">
        <f t="shared" si="12"/>
        <v>100</v>
      </c>
      <c r="X40" s="1489"/>
      <c r="Y40" s="3469"/>
      <c r="Z40" s="1490" t="str">
        <f t="shared" si="13"/>
        <v>临街宽度及深度</v>
      </c>
      <c r="AA40" s="1487">
        <f t="shared" si="3"/>
        <v>1</v>
      </c>
      <c r="AB40" s="1487">
        <f t="shared" si="4"/>
        <v>1</v>
      </c>
      <c r="AC40" s="1487">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69"/>
      <c r="Q41" s="1486"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69" t="s">
        <v>2144</v>
      </c>
      <c r="Q42" s="1486" t="str">
        <f t="shared" si="14"/>
        <v>工程地质条件</v>
      </c>
      <c r="R42" s="714" t="s">
        <v>17</v>
      </c>
      <c r="S42" s="715">
        <f t="shared" si="10"/>
        <v>100</v>
      </c>
      <c r="T42" s="714" t="s">
        <v>17</v>
      </c>
      <c r="U42" s="715">
        <f t="shared" si="11"/>
        <v>100</v>
      </c>
      <c r="V42" s="714" t="s">
        <v>17</v>
      </c>
      <c r="W42" s="715">
        <f t="shared" si="12"/>
        <v>100</v>
      </c>
      <c r="X42" s="1489"/>
      <c r="Y42" s="3469" t="s">
        <v>2144</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9"/>
      <c r="Q43" s="1486">
        <f t="shared" si="14"/>
        <v>111</v>
      </c>
      <c r="R43" s="714" t="s">
        <v>17</v>
      </c>
      <c r="S43" s="715">
        <f t="shared" si="10"/>
        <v>100</v>
      </c>
      <c r="T43" s="714" t="s">
        <v>17</v>
      </c>
      <c r="U43" s="715">
        <f t="shared" si="11"/>
        <v>100</v>
      </c>
      <c r="V43" s="714" t="s">
        <v>17</v>
      </c>
      <c r="W43" s="715">
        <f t="shared" si="12"/>
        <v>100</v>
      </c>
      <c r="X43" s="1489"/>
      <c r="Y43" s="3469"/>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9"/>
      <c r="Q44" s="1486">
        <f t="shared" si="14"/>
        <v>111</v>
      </c>
      <c r="R44" s="714" t="s">
        <v>17</v>
      </c>
      <c r="S44" s="715">
        <f t="shared" si="10"/>
        <v>100</v>
      </c>
      <c r="T44" s="714" t="s">
        <v>17</v>
      </c>
      <c r="U44" s="715">
        <f t="shared" si="11"/>
        <v>100</v>
      </c>
      <c r="V44" s="714" t="s">
        <v>17</v>
      </c>
      <c r="W44" s="715">
        <f t="shared" si="12"/>
        <v>100</v>
      </c>
      <c r="X44" s="1489"/>
      <c r="Y44" s="3469"/>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9"/>
      <c r="Q45" s="1486">
        <f t="shared" si="14"/>
        <v>111</v>
      </c>
      <c r="R45" s="717" t="s">
        <v>17</v>
      </c>
      <c r="S45" s="718">
        <f t="shared" si="10"/>
        <v>100</v>
      </c>
      <c r="T45" s="717" t="s">
        <v>17</v>
      </c>
      <c r="U45" s="718">
        <f t="shared" si="11"/>
        <v>100</v>
      </c>
      <c r="V45" s="717" t="s">
        <v>17</v>
      </c>
      <c r="W45" s="718">
        <f t="shared" si="12"/>
        <v>100</v>
      </c>
      <c r="X45" s="719"/>
      <c r="Y45" s="3469"/>
      <c r="Z45" s="720">
        <f t="shared" si="13"/>
        <v>111</v>
      </c>
      <c r="AA45" s="1487">
        <f t="shared" si="3"/>
        <v>1</v>
      </c>
      <c r="AB45" s="1487">
        <f t="shared" si="4"/>
        <v>1</v>
      </c>
      <c r="AC45" s="1487">
        <f t="shared" si="5"/>
        <v>1</v>
      </c>
    </row>
    <row r="46" spans="1:29" ht="15">
      <c r="A46" s="438" t="s">
        <v>2299</v>
      </c>
      <c r="B46" s="2118" t="s">
        <v>2335</v>
      </c>
      <c r="C46" s="638" t="s">
        <v>1</v>
      </c>
      <c r="D46" s="440"/>
      <c r="E46" s="441"/>
      <c r="F46" s="442"/>
      <c r="G46" s="443"/>
      <c r="H46" s="444"/>
      <c r="I46" s="441"/>
      <c r="J46" s="444"/>
      <c r="K46" s="723"/>
      <c r="L46" s="2902"/>
      <c r="M46" s="2903"/>
      <c r="N46" s="2894"/>
      <c r="O46" s="2903"/>
      <c r="P46" s="3462" t="str">
        <f>A46</f>
        <v>成交单价</v>
      </c>
      <c r="Q46" s="3462"/>
      <c r="R46" s="3493">
        <f>E46</f>
        <v>0</v>
      </c>
      <c r="S46" s="3493"/>
      <c r="T46" s="3493">
        <f>G46</f>
        <v>0</v>
      </c>
      <c r="U46" s="3493"/>
      <c r="V46" s="3493">
        <f>I46</f>
        <v>0</v>
      </c>
      <c r="W46" s="3493"/>
      <c r="X46" s="699"/>
      <c r="Y46" s="721"/>
      <c r="Z46" s="699"/>
      <c r="AA46" s="699"/>
      <c r="AB46" s="699"/>
      <c r="AC46" s="699"/>
    </row>
    <row r="47" spans="1:29" ht="15.75" thickBot="1">
      <c r="A47" s="445" t="s">
        <v>2248</v>
      </c>
      <c r="B47" s="639"/>
      <c r="C47" s="448" t="e">
        <f>R48</f>
        <v>#DIV/0!</v>
      </c>
      <c r="D47" s="2488" t="s">
        <v>2637</v>
      </c>
      <c r="E47" s="448" t="e">
        <f>R47</f>
        <v>#DIV/0!</v>
      </c>
      <c r="F47" s="2489"/>
      <c r="G47" s="447" t="e">
        <f>T47</f>
        <v>#DIV/0!</v>
      </c>
      <c r="H47" s="2489"/>
      <c r="I47" s="448" t="e">
        <f>V47</f>
        <v>#DIV/0!</v>
      </c>
      <c r="J47" s="2489"/>
      <c r="K47" s="2491">
        <f>F47+H47+J47</f>
        <v>0</v>
      </c>
      <c r="L47" s="2902"/>
      <c r="M47" s="2903"/>
      <c r="N47" s="2903"/>
      <c r="O47" s="2903"/>
      <c r="P47" s="3462" t="str">
        <f>A47</f>
        <v>比较价值（元/平方米）</v>
      </c>
      <c r="Q47" s="3462"/>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459" t="str">
        <f>A48</f>
        <v>估价对象XX用房的比较价值（楼面单价，元/平方米）</v>
      </c>
      <c r="Q48" s="3460"/>
      <c r="R48" s="3523" t="e">
        <f>ROUND(IF(D47="简单平均",AVERAGE(R47:W47),R47*F47+T47*H47+V47*J47),0)</f>
        <v>#DIV/0!</v>
      </c>
      <c r="S48" s="3523"/>
      <c r="T48" s="3523"/>
      <c r="U48" s="3523"/>
      <c r="V48" s="3523"/>
      <c r="W48" s="352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77" t="s">
        <v>2343</v>
      </c>
      <c r="H55" s="3524"/>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24865.040000000005</v>
      </c>
      <c r="F56" s="998" t="e">
        <f t="shared" ref="F56:F64" si="15">ROUND(B56*E56/10000,0)</f>
        <v>#DIV/0!</v>
      </c>
      <c r="G56" s="3473"/>
      <c r="H56" s="346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v>
      </c>
      <c r="D60" s="1057">
        <v>0.25</v>
      </c>
      <c r="E60" s="223">
        <f>'数据-汇总表'!E11</f>
        <v>0</v>
      </c>
      <c r="F60" s="998" t="e">
        <f t="shared" si="15"/>
        <v>#DIV/0!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v>
      </c>
      <c r="D64" s="1057">
        <v>0.25</v>
      </c>
      <c r="E64" s="223">
        <f>'数据-汇总表'!E15</f>
        <v>0</v>
      </c>
      <c r="F64" s="998" t="e">
        <f t="shared" si="15"/>
        <v>#DIV/0!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24865.040000000005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7" t="s">
        <v>2225</v>
      </c>
      <c r="D4" s="3478"/>
      <c r="E4" s="3479" t="s">
        <v>2226</v>
      </c>
      <c r="F4" s="3480"/>
      <c r="G4" s="3477" t="s">
        <v>2227</v>
      </c>
      <c r="H4" s="3478"/>
      <c r="I4" s="3477" t="s">
        <v>2228</v>
      </c>
      <c r="J4" s="3478"/>
      <c r="K4" s="567" t="s">
        <v>2229</v>
      </c>
      <c r="L4" s="2893"/>
      <c r="M4" s="2894"/>
      <c r="N4" s="2894"/>
      <c r="O4" s="2894"/>
      <c r="P4" s="3481" t="s">
        <v>2230</v>
      </c>
      <c r="Q4" s="3482"/>
      <c r="R4" s="3487" t="s">
        <v>2226</v>
      </c>
      <c r="S4" s="3488"/>
      <c r="T4" s="3487" t="s">
        <v>2227</v>
      </c>
      <c r="U4" s="3488"/>
      <c r="V4" s="3493" t="s">
        <v>2228</v>
      </c>
      <c r="W4" s="3493"/>
      <c r="X4" s="1489"/>
      <c r="Y4" s="3487" t="s">
        <v>2230</v>
      </c>
      <c r="Z4" s="3488"/>
      <c r="AA4" s="3474" t="s">
        <v>2226</v>
      </c>
      <c r="AB4" s="3475" t="s">
        <v>2227</v>
      </c>
      <c r="AC4" s="3474" t="s">
        <v>2228</v>
      </c>
    </row>
    <row r="5" spans="1:29" ht="15">
      <c r="A5" s="364"/>
      <c r="B5" s="365"/>
      <c r="C5" s="3496" t="s">
        <v>2121</v>
      </c>
      <c r="D5" s="3497"/>
      <c r="E5" s="3503" t="s">
        <v>2122</v>
      </c>
      <c r="F5" s="3504"/>
      <c r="G5" s="3496" t="s">
        <v>2123</v>
      </c>
      <c r="H5" s="3497"/>
      <c r="I5" s="3496" t="s">
        <v>2124</v>
      </c>
      <c r="J5" s="3497"/>
      <c r="K5" s="567"/>
      <c r="L5" s="2893"/>
      <c r="M5" s="2894"/>
      <c r="N5" s="2894"/>
      <c r="O5" s="2894"/>
      <c r="P5" s="3483"/>
      <c r="Q5" s="3484"/>
      <c r="R5" s="3489"/>
      <c r="S5" s="3490"/>
      <c r="T5" s="3489"/>
      <c r="U5" s="3490"/>
      <c r="V5" s="3493"/>
      <c r="W5" s="3493"/>
      <c r="X5" s="1489"/>
      <c r="Y5" s="3489"/>
      <c r="Z5" s="3490"/>
      <c r="AA5" s="3475"/>
      <c r="AB5" s="3475"/>
      <c r="AC5" s="3475"/>
    </row>
    <row r="6" spans="1:29" ht="15.75" thickBot="1">
      <c r="A6" s="366"/>
      <c r="B6" s="367"/>
      <c r="C6" s="3525" t="s">
        <v>2375</v>
      </c>
      <c r="D6" s="3526"/>
      <c r="E6" s="3527" t="s">
        <v>2375</v>
      </c>
      <c r="F6" s="3528"/>
      <c r="G6" s="3525" t="s">
        <v>2375</v>
      </c>
      <c r="H6" s="3526"/>
      <c r="I6" s="3525" t="s">
        <v>2375</v>
      </c>
      <c r="J6" s="3526"/>
      <c r="K6" s="567" t="s">
        <v>2126</v>
      </c>
      <c r="L6" s="2893"/>
      <c r="M6" s="2894"/>
      <c r="N6" s="2894"/>
      <c r="O6" s="2894"/>
      <c r="P6" s="3485"/>
      <c r="Q6" s="3486"/>
      <c r="R6" s="3489"/>
      <c r="S6" s="3490"/>
      <c r="T6" s="3491"/>
      <c r="U6" s="3492"/>
      <c r="V6" s="3493"/>
      <c r="W6" s="3493"/>
      <c r="X6" s="1489"/>
      <c r="Y6" s="3491"/>
      <c r="Z6" s="3492"/>
      <c r="AA6" s="3476"/>
      <c r="AB6" s="3476"/>
      <c r="AC6" s="3476"/>
    </row>
    <row r="7" spans="1:29" s="113" customFormat="1" ht="15.75" thickBot="1">
      <c r="A7" s="368" t="s">
        <v>2127</v>
      </c>
      <c r="B7" s="369"/>
      <c r="C7" s="370">
        <f>'数据-取费表'!B2</f>
        <v>44805</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98" t="s">
        <v>2128</v>
      </c>
      <c r="Q7" s="3500"/>
      <c r="R7" s="710" t="s">
        <v>17</v>
      </c>
      <c r="S7" s="711">
        <f t="shared" ref="S7:S15" si="0">F7</f>
        <v>0</v>
      </c>
      <c r="T7" s="710" t="s">
        <v>17</v>
      </c>
      <c r="U7" s="711">
        <f t="shared" ref="U7:U15" si="1">H7</f>
        <v>0</v>
      </c>
      <c r="V7" s="710" t="s">
        <v>17</v>
      </c>
      <c r="W7" s="711">
        <f t="shared" ref="W7:W15" si="2">J7</f>
        <v>0</v>
      </c>
      <c r="X7" s="712"/>
      <c r="Y7" s="3498" t="s">
        <v>2128</v>
      </c>
      <c r="Z7" s="3499"/>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8" t="s">
        <v>2131</v>
      </c>
      <c r="Q8" s="3499"/>
      <c r="R8" s="710" t="s">
        <v>17</v>
      </c>
      <c r="S8" s="711">
        <f t="shared" si="0"/>
        <v>0</v>
      </c>
      <c r="T8" s="710" t="s">
        <v>17</v>
      </c>
      <c r="U8" s="711">
        <f t="shared" si="1"/>
        <v>0</v>
      </c>
      <c r="V8" s="710" t="s">
        <v>17</v>
      </c>
      <c r="W8" s="711">
        <f t="shared" si="2"/>
        <v>0</v>
      </c>
      <c r="X8" s="712"/>
      <c r="Y8" s="3498" t="s">
        <v>2131</v>
      </c>
      <c r="Z8" s="3499"/>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62" t="s">
        <v>2134</v>
      </c>
      <c r="Q9" s="1477" t="str">
        <f t="shared" ref="Q9:Q15" si="6">B9</f>
        <v>用途</v>
      </c>
      <c r="R9" s="710" t="s">
        <v>17</v>
      </c>
      <c r="S9" s="711">
        <f t="shared" si="0"/>
        <v>100</v>
      </c>
      <c r="T9" s="710" t="s">
        <v>17</v>
      </c>
      <c r="U9" s="711">
        <f t="shared" si="1"/>
        <v>100</v>
      </c>
      <c r="V9" s="710" t="s">
        <v>17</v>
      </c>
      <c r="W9" s="711">
        <f t="shared" si="2"/>
        <v>100</v>
      </c>
      <c r="X9" s="712"/>
      <c r="Y9" s="3334"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121</v>
      </c>
      <c r="G10" s="391"/>
      <c r="H10" s="132">
        <f>ROUND(100/'数据-取费表'!G16,0)</f>
        <v>121</v>
      </c>
      <c r="I10" s="391"/>
      <c r="J10" s="132">
        <f>ROUND(100/'数据-取费表'!G16,0)</f>
        <v>121</v>
      </c>
      <c r="K10" s="628"/>
      <c r="L10" s="2897"/>
      <c r="M10" s="2898"/>
      <c r="N10" s="2898"/>
      <c r="O10" s="2951"/>
      <c r="P10" s="3462"/>
      <c r="Q10" s="1477" t="str">
        <f t="shared" si="6"/>
        <v>土地使用年限（年）</v>
      </c>
      <c r="R10" s="710" t="s">
        <v>17</v>
      </c>
      <c r="S10" s="711">
        <f t="shared" si="0"/>
        <v>121</v>
      </c>
      <c r="T10" s="710" t="s">
        <v>17</v>
      </c>
      <c r="U10" s="711">
        <f t="shared" si="1"/>
        <v>121</v>
      </c>
      <c r="V10" s="710" t="s">
        <v>17</v>
      </c>
      <c r="W10" s="711">
        <f t="shared" si="2"/>
        <v>121</v>
      </c>
      <c r="X10" s="712"/>
      <c r="Y10" s="3334"/>
      <c r="Z10" s="55" t="str">
        <f t="shared" si="7"/>
        <v>土地使用年限（年）</v>
      </c>
      <c r="AA10" s="713">
        <f t="shared" si="3"/>
        <v>0.82644628099173556</v>
      </c>
      <c r="AB10" s="713">
        <f t="shared" si="4"/>
        <v>0.82644628099173556</v>
      </c>
      <c r="AC10" s="713">
        <f t="shared" si="5"/>
        <v>0.82644628099173556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62"/>
      <c r="Q11" s="147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62"/>
      <c r="Q12" s="147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62"/>
      <c r="Q13" s="147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62"/>
      <c r="Q14" s="147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4" t="s">
        <v>2139</v>
      </c>
      <c r="Q15" s="1486" t="str">
        <f t="shared" si="6"/>
        <v>产业集聚程度</v>
      </c>
      <c r="R15" s="714" t="s">
        <v>17</v>
      </c>
      <c r="S15" s="715">
        <f t="shared" si="0"/>
        <v>100</v>
      </c>
      <c r="T15" s="714" t="s">
        <v>17</v>
      </c>
      <c r="U15" s="715">
        <f t="shared" si="1"/>
        <v>100</v>
      </c>
      <c r="V15" s="714" t="s">
        <v>17</v>
      </c>
      <c r="W15" s="715">
        <f t="shared" si="2"/>
        <v>100</v>
      </c>
      <c r="X15" s="1489"/>
      <c r="Y15" s="3464" t="s">
        <v>2139</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65"/>
      <c r="Q16" s="1486"/>
      <c r="R16" s="714"/>
      <c r="S16" s="715"/>
      <c r="T16" s="714"/>
      <c r="U16" s="715"/>
      <c r="V16" s="714"/>
      <c r="W16" s="715"/>
      <c r="X16" s="1489"/>
      <c r="Y16" s="3465"/>
      <c r="Z16" s="1490"/>
      <c r="AA16" s="1487">
        <v>1</v>
      </c>
      <c r="AB16" s="1487">
        <v>1</v>
      </c>
      <c r="AC16" s="1487">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5"/>
      <c r="Q17" s="1486" t="str">
        <f>B17</f>
        <v>交通便捷度</v>
      </c>
      <c r="R17" s="714" t="s">
        <v>17</v>
      </c>
      <c r="S17" s="715">
        <f>F17</f>
        <v>100</v>
      </c>
      <c r="T17" s="714" t="s">
        <v>17</v>
      </c>
      <c r="U17" s="715">
        <f>H17</f>
        <v>100</v>
      </c>
      <c r="V17" s="714" t="s">
        <v>17</v>
      </c>
      <c r="W17" s="715">
        <f>J17</f>
        <v>100</v>
      </c>
      <c r="X17" s="1489"/>
      <c r="Y17" s="3465"/>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65"/>
      <c r="Q18" s="1486"/>
      <c r="R18" s="714"/>
      <c r="S18" s="715"/>
      <c r="T18" s="714"/>
      <c r="U18" s="715"/>
      <c r="V18" s="714"/>
      <c r="W18" s="715"/>
      <c r="X18" s="1489"/>
      <c r="Y18" s="3465"/>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5"/>
      <c r="Q19" s="1486" t="str">
        <f t="shared" ref="Q19:Q33" si="8">B19</f>
        <v>区域土地利用方向</v>
      </c>
      <c r="R19" s="714" t="s">
        <v>17</v>
      </c>
      <c r="S19" s="715">
        <f>F19</f>
        <v>100</v>
      </c>
      <c r="T19" s="714" t="s">
        <v>17</v>
      </c>
      <c r="U19" s="715">
        <f>H19</f>
        <v>100</v>
      </c>
      <c r="V19" s="714" t="s">
        <v>17</v>
      </c>
      <c r="W19" s="715">
        <f>J19</f>
        <v>100</v>
      </c>
      <c r="X19" s="1489"/>
      <c r="Y19" s="3465"/>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65"/>
      <c r="Q20" s="1486"/>
      <c r="R20" s="714"/>
      <c r="S20" s="715"/>
      <c r="T20" s="714"/>
      <c r="U20" s="715"/>
      <c r="V20" s="714"/>
      <c r="W20" s="715"/>
      <c r="X20" s="1489"/>
      <c r="Y20" s="3465"/>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5"/>
      <c r="Q21" s="1486" t="str">
        <f t="shared" si="8"/>
        <v>环境状况</v>
      </c>
      <c r="R21" s="714" t="s">
        <v>17</v>
      </c>
      <c r="S21" s="715">
        <f>F21</f>
        <v>100</v>
      </c>
      <c r="T21" s="714" t="s">
        <v>17</v>
      </c>
      <c r="U21" s="715">
        <f>H21</f>
        <v>100</v>
      </c>
      <c r="V21" s="714" t="s">
        <v>17</v>
      </c>
      <c r="W21" s="715">
        <f>J21</f>
        <v>100</v>
      </c>
      <c r="X21" s="1489"/>
      <c r="Y21" s="3465"/>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65"/>
      <c r="Q22" s="1486"/>
      <c r="R22" s="714"/>
      <c r="S22" s="715"/>
      <c r="T22" s="714"/>
      <c r="U22" s="715"/>
      <c r="V22" s="714"/>
      <c r="W22" s="715"/>
      <c r="X22" s="1489"/>
      <c r="Y22" s="3465"/>
      <c r="Z22" s="1490"/>
      <c r="AA22" s="1487">
        <v>1</v>
      </c>
      <c r="AB22" s="1487">
        <v>1</v>
      </c>
      <c r="AC22" s="1487">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5"/>
      <c r="Q23" s="1477" t="str">
        <f t="shared" si="8"/>
        <v>公共配套设施</v>
      </c>
      <c r="R23" s="710" t="s">
        <v>17</v>
      </c>
      <c r="S23" s="711">
        <f>F23</f>
        <v>100</v>
      </c>
      <c r="T23" s="710" t="s">
        <v>17</v>
      </c>
      <c r="U23" s="711">
        <f>H23</f>
        <v>100</v>
      </c>
      <c r="V23" s="710" t="s">
        <v>17</v>
      </c>
      <c r="W23" s="711">
        <f>J23</f>
        <v>100</v>
      </c>
      <c r="X23" s="712"/>
      <c r="Y23" s="3465"/>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65"/>
      <c r="Q24" s="1477"/>
      <c r="R24" s="710"/>
      <c r="S24" s="711"/>
      <c r="T24" s="710"/>
      <c r="U24" s="711"/>
      <c r="V24" s="710"/>
      <c r="W24" s="711"/>
      <c r="X24" s="712"/>
      <c r="Y24" s="3465"/>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5"/>
      <c r="Q25" s="1477" t="str">
        <f t="shared" ref="Q25" si="9">B25</f>
        <v>基础设施水平</v>
      </c>
      <c r="R25" s="710" t="s">
        <v>17</v>
      </c>
      <c r="S25" s="711">
        <f>F25</f>
        <v>100</v>
      </c>
      <c r="T25" s="710" t="s">
        <v>17</v>
      </c>
      <c r="U25" s="711">
        <f>H25</f>
        <v>100</v>
      </c>
      <c r="V25" s="710" t="s">
        <v>17</v>
      </c>
      <c r="W25" s="711">
        <f>J25</f>
        <v>100</v>
      </c>
      <c r="X25" s="712"/>
      <c r="Y25" s="3465"/>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65"/>
      <c r="Q26" s="1477"/>
      <c r="R26" s="710"/>
      <c r="S26" s="711"/>
      <c r="T26" s="710"/>
      <c r="U26" s="711"/>
      <c r="V26" s="710"/>
      <c r="W26" s="711"/>
      <c r="X26" s="712"/>
      <c r="Y26" s="3465"/>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5"/>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5"/>
      <c r="Z27" s="1490" t="str">
        <f t="shared" ref="Z27:Z40" si="13">Q27</f>
        <v>临街状况</v>
      </c>
      <c r="AA27" s="1487">
        <f t="shared" si="3"/>
        <v>1</v>
      </c>
      <c r="AB27" s="1487">
        <f t="shared" si="4"/>
        <v>1</v>
      </c>
      <c r="AC27" s="1487">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5"/>
      <c r="Q28" s="1486" t="str">
        <f t="shared" si="8"/>
        <v>毗邻道路的类型与等级</v>
      </c>
      <c r="R28" s="714" t="s">
        <v>17</v>
      </c>
      <c r="S28" s="715">
        <f t="shared" si="10"/>
        <v>100</v>
      </c>
      <c r="T28" s="714" t="s">
        <v>17</v>
      </c>
      <c r="U28" s="715">
        <f t="shared" si="11"/>
        <v>100</v>
      </c>
      <c r="V28" s="714" t="s">
        <v>17</v>
      </c>
      <c r="W28" s="715">
        <f t="shared" si="12"/>
        <v>100</v>
      </c>
      <c r="X28" s="1489"/>
      <c r="Y28" s="3465"/>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65"/>
      <c r="Q29" s="1486"/>
      <c r="R29" s="714"/>
      <c r="S29" s="715"/>
      <c r="T29" s="714"/>
      <c r="U29" s="715"/>
      <c r="V29" s="714"/>
      <c r="W29" s="715"/>
      <c r="X29" s="1489"/>
      <c r="Y29" s="3465"/>
      <c r="Z29" s="1490"/>
      <c r="AA29" s="1487">
        <v>1</v>
      </c>
      <c r="AB29" s="1487">
        <v>1</v>
      </c>
      <c r="AC29" s="1487">
        <v>1</v>
      </c>
    </row>
    <row r="30" spans="1:29" ht="15">
      <c r="A30" s="387"/>
      <c r="B30" s="610" t="s">
        <v>2329</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5"/>
      <c r="Q30" s="1486" t="str">
        <f t="shared" si="8"/>
        <v>土地级别</v>
      </c>
      <c r="R30" s="714" t="s">
        <v>17</v>
      </c>
      <c r="S30" s="715">
        <f t="shared" si="10"/>
        <v>100</v>
      </c>
      <c r="T30" s="714" t="s">
        <v>17</v>
      </c>
      <c r="U30" s="715">
        <f t="shared" si="11"/>
        <v>100</v>
      </c>
      <c r="V30" s="714" t="s">
        <v>17</v>
      </c>
      <c r="W30" s="715">
        <f t="shared" si="12"/>
        <v>100</v>
      </c>
      <c r="X30" s="1489"/>
      <c r="Y30" s="3465"/>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5"/>
      <c r="Q31" s="1486">
        <f t="shared" si="8"/>
        <v>111</v>
      </c>
      <c r="R31" s="714" t="s">
        <v>17</v>
      </c>
      <c r="S31" s="715">
        <f t="shared" si="10"/>
        <v>100</v>
      </c>
      <c r="T31" s="714" t="s">
        <v>17</v>
      </c>
      <c r="U31" s="715">
        <f t="shared" si="11"/>
        <v>100</v>
      </c>
      <c r="V31" s="714" t="s">
        <v>17</v>
      </c>
      <c r="W31" s="715">
        <f t="shared" si="12"/>
        <v>100</v>
      </c>
      <c r="X31" s="1489"/>
      <c r="Y31" s="3465"/>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20" t="s">
        <v>2144</v>
      </c>
      <c r="Q32" s="1486">
        <f t="shared" si="8"/>
        <v>111</v>
      </c>
      <c r="R32" s="714" t="s">
        <v>17</v>
      </c>
      <c r="S32" s="715">
        <f t="shared" si="10"/>
        <v>100</v>
      </c>
      <c r="T32" s="714" t="s">
        <v>17</v>
      </c>
      <c r="U32" s="715">
        <f t="shared" si="11"/>
        <v>100</v>
      </c>
      <c r="V32" s="714" t="s">
        <v>17</v>
      </c>
      <c r="W32" s="715">
        <f t="shared" si="12"/>
        <v>100</v>
      </c>
      <c r="X32" s="1489"/>
      <c r="Y32" s="3469" t="s">
        <v>2144</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9"/>
      <c r="Q33" s="1486">
        <f t="shared" si="8"/>
        <v>111</v>
      </c>
      <c r="R33" s="717" t="s">
        <v>17</v>
      </c>
      <c r="S33" s="718">
        <f t="shared" si="10"/>
        <v>100</v>
      </c>
      <c r="T33" s="717" t="s">
        <v>17</v>
      </c>
      <c r="U33" s="718">
        <f t="shared" si="11"/>
        <v>100</v>
      </c>
      <c r="V33" s="717" t="s">
        <v>17</v>
      </c>
      <c r="W33" s="718">
        <f t="shared" si="12"/>
        <v>100</v>
      </c>
      <c r="X33" s="719"/>
      <c r="Y33" s="3469"/>
      <c r="Z33" s="720">
        <f t="shared" si="13"/>
        <v>111</v>
      </c>
      <c r="AA33" s="1487">
        <f t="shared" si="3"/>
        <v>1</v>
      </c>
      <c r="AB33" s="1487">
        <f t="shared" si="4"/>
        <v>1</v>
      </c>
      <c r="AC33" s="1487">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9"/>
      <c r="Q34" s="1486" t="str">
        <f>B34</f>
        <v>宗地面积</v>
      </c>
      <c r="R34" s="714" t="s">
        <v>17</v>
      </c>
      <c r="S34" s="715" t="e">
        <f t="shared" si="10"/>
        <v>#N/A</v>
      </c>
      <c r="T34" s="714" t="s">
        <v>17</v>
      </c>
      <c r="U34" s="715" t="e">
        <f t="shared" si="11"/>
        <v>#N/A</v>
      </c>
      <c r="V34" s="714" t="s">
        <v>17</v>
      </c>
      <c r="W34" s="715" t="e">
        <f t="shared" si="12"/>
        <v>#N/A</v>
      </c>
      <c r="X34" s="1489"/>
      <c r="Y34" s="3469"/>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69"/>
      <c r="Q35" s="1486" t="str">
        <f t="shared" ref="Q35:Q40" si="14">B35</f>
        <v>宗地形状</v>
      </c>
      <c r="R35" s="714" t="s">
        <v>17</v>
      </c>
      <c r="S35" s="715">
        <f t="shared" si="10"/>
        <v>100</v>
      </c>
      <c r="T35" s="714" t="s">
        <v>17</v>
      </c>
      <c r="U35" s="715">
        <f t="shared" si="11"/>
        <v>100</v>
      </c>
      <c r="V35" s="714" t="s">
        <v>17</v>
      </c>
      <c r="W35" s="715">
        <f t="shared" si="12"/>
        <v>100</v>
      </c>
      <c r="X35" s="1489"/>
      <c r="Y35" s="3469"/>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69"/>
      <c r="Q36" s="1486"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69" t="s">
        <v>2144</v>
      </c>
      <c r="Q37" s="1486" t="str">
        <f t="shared" si="14"/>
        <v>工程地质条件</v>
      </c>
      <c r="R37" s="714" t="s">
        <v>17</v>
      </c>
      <c r="S37" s="715">
        <f t="shared" si="10"/>
        <v>100</v>
      </c>
      <c r="T37" s="714" t="s">
        <v>17</v>
      </c>
      <c r="U37" s="715">
        <f t="shared" si="11"/>
        <v>100</v>
      </c>
      <c r="V37" s="714" t="s">
        <v>17</v>
      </c>
      <c r="W37" s="715">
        <f t="shared" si="12"/>
        <v>100</v>
      </c>
      <c r="X37" s="1489"/>
      <c r="Y37" s="3469" t="s">
        <v>2144</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9"/>
      <c r="Q38" s="1486">
        <f t="shared" si="14"/>
        <v>111</v>
      </c>
      <c r="R38" s="714" t="s">
        <v>17</v>
      </c>
      <c r="S38" s="715">
        <f t="shared" si="10"/>
        <v>100</v>
      </c>
      <c r="T38" s="714" t="s">
        <v>17</v>
      </c>
      <c r="U38" s="715">
        <f t="shared" si="11"/>
        <v>100</v>
      </c>
      <c r="V38" s="714" t="s">
        <v>17</v>
      </c>
      <c r="W38" s="715">
        <f t="shared" si="12"/>
        <v>100</v>
      </c>
      <c r="X38" s="1489"/>
      <c r="Y38" s="3469"/>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9"/>
      <c r="Q39" s="1486">
        <f t="shared" si="14"/>
        <v>111</v>
      </c>
      <c r="R39" s="714" t="s">
        <v>17</v>
      </c>
      <c r="S39" s="715">
        <f t="shared" si="10"/>
        <v>100</v>
      </c>
      <c r="T39" s="714" t="s">
        <v>17</v>
      </c>
      <c r="U39" s="715">
        <f t="shared" si="11"/>
        <v>100</v>
      </c>
      <c r="V39" s="714" t="s">
        <v>17</v>
      </c>
      <c r="W39" s="715">
        <f t="shared" si="12"/>
        <v>100</v>
      </c>
      <c r="X39" s="1489"/>
      <c r="Y39" s="3469"/>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9"/>
      <c r="Q40" s="1486">
        <f t="shared" si="14"/>
        <v>111</v>
      </c>
      <c r="R40" s="717" t="s">
        <v>17</v>
      </c>
      <c r="S40" s="718">
        <f t="shared" si="10"/>
        <v>100</v>
      </c>
      <c r="T40" s="717" t="s">
        <v>17</v>
      </c>
      <c r="U40" s="718">
        <f t="shared" si="11"/>
        <v>100</v>
      </c>
      <c r="V40" s="717" t="s">
        <v>17</v>
      </c>
      <c r="W40" s="718">
        <f t="shared" si="12"/>
        <v>100</v>
      </c>
      <c r="X40" s="719"/>
      <c r="Y40" s="3469"/>
      <c r="Z40" s="720">
        <f t="shared" si="13"/>
        <v>111</v>
      </c>
      <c r="AA40" s="1487">
        <f t="shared" si="3"/>
        <v>1</v>
      </c>
      <c r="AB40" s="1487">
        <f t="shared" si="4"/>
        <v>1</v>
      </c>
      <c r="AC40" s="1487">
        <f t="shared" si="5"/>
        <v>1</v>
      </c>
    </row>
    <row r="41" spans="1:31" ht="15">
      <c r="A41" s="438" t="s">
        <v>2299</v>
      </c>
      <c r="B41" s="2118" t="s">
        <v>2378</v>
      </c>
      <c r="C41" s="638" t="s">
        <v>1</v>
      </c>
      <c r="D41" s="440"/>
      <c r="E41" s="441"/>
      <c r="F41" s="442"/>
      <c r="G41" s="443"/>
      <c r="H41" s="444"/>
      <c r="I41" s="441"/>
      <c r="J41" s="444"/>
      <c r="K41" s="723"/>
      <c r="L41" s="2902"/>
      <c r="M41" s="2894"/>
      <c r="N41" s="2894"/>
      <c r="O41" s="2903"/>
      <c r="P41" s="3462" t="str">
        <f>A41</f>
        <v>成交单价</v>
      </c>
      <c r="Q41" s="3462"/>
      <c r="R41" s="3493">
        <f>E41</f>
        <v>0</v>
      </c>
      <c r="S41" s="3493"/>
      <c r="T41" s="3493">
        <f>G41</f>
        <v>0</v>
      </c>
      <c r="U41" s="3493"/>
      <c r="V41" s="3493">
        <f>I41</f>
        <v>0</v>
      </c>
      <c r="W41" s="3493"/>
      <c r="X41" s="699"/>
      <c r="Y41" s="721"/>
      <c r="Z41" s="699"/>
      <c r="AA41" s="699"/>
      <c r="AB41" s="699"/>
      <c r="AC41" s="699"/>
    </row>
    <row r="42" spans="1:31" ht="15.75" thickBot="1">
      <c r="A42" s="445" t="s">
        <v>2248</v>
      </c>
      <c r="B42" s="639"/>
      <c r="C42" s="448" t="e">
        <f>R43</f>
        <v>#DIV/0!</v>
      </c>
      <c r="D42" s="2488" t="s">
        <v>2637</v>
      </c>
      <c r="E42" s="448" t="e">
        <f>R42</f>
        <v>#DIV/0!</v>
      </c>
      <c r="F42" s="2489"/>
      <c r="G42" s="447" t="e">
        <f>T42</f>
        <v>#DIV/0!</v>
      </c>
      <c r="H42" s="2489"/>
      <c r="I42" s="448" t="e">
        <f>V42</f>
        <v>#DIV/0!</v>
      </c>
      <c r="J42" s="2489"/>
      <c r="K42" s="2491">
        <f>F42+H42+J42</f>
        <v>0</v>
      </c>
      <c r="L42" s="2902"/>
      <c r="M42" s="2894"/>
      <c r="N42" s="2894"/>
      <c r="O42" s="2903"/>
      <c r="P42" s="3462" t="str">
        <f>A42</f>
        <v>比较价值（元/平方米）</v>
      </c>
      <c r="Q42" s="3462"/>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459" t="str">
        <f>A43</f>
        <v>估价对象XX用房的比较价值（楼面单价，元/平方米）</v>
      </c>
      <c r="Q43" s="3460"/>
      <c r="R43" s="3523" t="e">
        <f>ROUND(IF(D42="简单平均",AVERAGE(R42:W42),R42*F42+T42*H42+V42*J42),0)</f>
        <v>#DIV/0!</v>
      </c>
      <c r="S43" s="3523"/>
      <c r="T43" s="3523"/>
      <c r="U43" s="3523"/>
      <c r="V43" s="3523"/>
      <c r="W43" s="352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77" t="s">
        <v>2343</v>
      </c>
      <c r="H50" s="3524"/>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24865.040000000005</v>
      </c>
      <c r="F51" s="647" t="e">
        <f t="shared" ref="F51:F60" si="15">ROUND(B51*E51/10000,0)</f>
        <v>#DIV/0!</v>
      </c>
      <c r="G51" s="3473"/>
      <c r="H51" s="346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1899.7</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2"/>
      <c r="L1" s="2132" t="s">
        <v>2384</v>
      </c>
      <c r="M1" s="975">
        <f>SUMPRODUCT((区片价!B5:B9=I2)*(区片价!C3:F3=E2)*(区片价!C5:F9))</f>
        <v>0</v>
      </c>
      <c r="N1" s="978">
        <f>SUMPRODUCT((因素修正幅度!B5:B9=I2)*(因素修正幅度!C3:F3=E2)*(因素修正幅度!C5:F9))</f>
        <v>0</v>
      </c>
      <c r="O1" s="2133"/>
      <c r="P1" s="2133"/>
      <c r="Q1" s="1232"/>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2"/>
      <c r="L2" s="2140" t="s">
        <v>2395</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9.61</v>
      </c>
      <c r="H3" s="175" t="s">
        <v>2400</v>
      </c>
      <c r="I3" s="862"/>
      <c r="J3" s="2139" t="s">
        <v>2401</v>
      </c>
      <c r="K3" s="1232"/>
      <c r="L3" s="2140" t="s">
        <v>2402</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2"/>
      <c r="B4" s="3533"/>
      <c r="C4" s="3533"/>
      <c r="D4" s="3534"/>
      <c r="E4" s="3534"/>
      <c r="F4" s="3534"/>
      <c r="G4" s="3534"/>
      <c r="H4" s="3534"/>
      <c r="I4" s="3534"/>
      <c r="J4" s="3535"/>
      <c r="K4" s="1232"/>
      <c r="L4" s="2140" t="s">
        <v>2403</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6"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9.61</v>
      </c>
      <c r="AA7" s="1330"/>
      <c r="AB7" s="1330"/>
      <c r="AC7" s="1331"/>
      <c r="AD7" s="1332"/>
      <c r="AE7" s="1332"/>
      <c r="AF7" s="1332"/>
      <c r="AG7" s="1332"/>
      <c r="AH7" s="1332"/>
      <c r="AI7" s="1332"/>
      <c r="AJ7" s="1333"/>
    </row>
    <row r="8" spans="1:36" ht="15">
      <c r="A8" s="3537"/>
      <c r="B8" s="175" t="s">
        <v>2415</v>
      </c>
      <c r="C8" s="2164"/>
      <c r="D8" s="841" t="s">
        <v>139</v>
      </c>
      <c r="E8" s="842" t="e">
        <f>ROUND(C11/E7,4)</f>
        <v>#DIV/0!</v>
      </c>
      <c r="F8" s="2165" t="s">
        <v>2416</v>
      </c>
      <c r="G8" s="2166"/>
      <c r="H8" s="2166"/>
      <c r="I8" s="2166"/>
      <c r="J8" s="2167"/>
      <c r="K8" s="1232"/>
      <c r="L8" s="2140" t="s">
        <v>2417</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29" t="s">
        <v>2418</v>
      </c>
      <c r="X8" s="3530"/>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37"/>
      <c r="B9" s="175" t="s">
        <v>2431</v>
      </c>
      <c r="C9" s="843">
        <f>SUMIF(修正!C71:C138,C8,修正!E71:E138)</f>
        <v>0</v>
      </c>
      <c r="D9" s="176" t="s">
        <v>140</v>
      </c>
      <c r="E9" s="176" t="e">
        <f>ROUND(C11/E7,4)</f>
        <v>#DIV/0!</v>
      </c>
      <c r="F9" s="2165" t="s">
        <v>2432</v>
      </c>
      <c r="G9" s="2166"/>
      <c r="H9" s="2166"/>
      <c r="I9" s="2166"/>
      <c r="J9" s="2167"/>
      <c r="K9" s="1232"/>
      <c r="L9" s="2140" t="s">
        <v>2433</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31"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37"/>
      <c r="B10" s="175" t="s">
        <v>2436</v>
      </c>
      <c r="C10" s="176">
        <f>SUMIF(修正!C71:C138,C8,修正!F71:F138)</f>
        <v>0</v>
      </c>
      <c r="D10" s="176" t="s">
        <v>141</v>
      </c>
      <c r="E10" s="176" t="e">
        <f>ROUND(C11/E7,4)</f>
        <v>#DIV/0!</v>
      </c>
      <c r="F10" s="2165" t="s">
        <v>2437</v>
      </c>
      <c r="G10" s="2166"/>
      <c r="H10" s="2166"/>
      <c r="I10" s="2166"/>
      <c r="J10" s="2167"/>
      <c r="K10" s="1232"/>
      <c r="L10" s="2140" t="s">
        <v>2438</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3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37"/>
      <c r="B11" s="2168" t="s">
        <v>2439</v>
      </c>
      <c r="C11" s="844">
        <f>C10/4</f>
        <v>0</v>
      </c>
      <c r="D11" s="844" t="s">
        <v>142</v>
      </c>
      <c r="E11" s="844" t="e">
        <f>ROUND(C11/E7,4)</f>
        <v>#DIV/0!</v>
      </c>
      <c r="F11" s="2169" t="s">
        <v>2440</v>
      </c>
      <c r="G11" s="2170"/>
      <c r="H11" s="2170"/>
      <c r="I11" s="2170"/>
      <c r="J11" s="2171"/>
      <c r="K11" s="1232"/>
      <c r="L11" s="2140" t="s">
        <v>2441</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31" t="s">
        <v>2442</v>
      </c>
      <c r="X11" s="1338" t="s">
        <v>2443</v>
      </c>
      <c r="Y11" s="1339">
        <f>$G$3</f>
        <v>9.61</v>
      </c>
      <c r="Z11" s="1339">
        <f t="shared" ref="Z11:AJ11" si="3">$G$3</f>
        <v>9.61</v>
      </c>
      <c r="AA11" s="1339">
        <f t="shared" si="3"/>
        <v>9.61</v>
      </c>
      <c r="AB11" s="1339">
        <f t="shared" si="3"/>
        <v>9.61</v>
      </c>
      <c r="AC11" s="1339">
        <f t="shared" si="3"/>
        <v>9.61</v>
      </c>
      <c r="AD11" s="1339">
        <f t="shared" si="3"/>
        <v>9.61</v>
      </c>
      <c r="AE11" s="1339">
        <f t="shared" si="3"/>
        <v>9.61</v>
      </c>
      <c r="AF11" s="1339">
        <f t="shared" si="3"/>
        <v>9.61</v>
      </c>
      <c r="AG11" s="1339">
        <f t="shared" si="3"/>
        <v>9.61</v>
      </c>
      <c r="AH11" s="1339">
        <f t="shared" si="3"/>
        <v>9.61</v>
      </c>
      <c r="AI11" s="1339">
        <f t="shared" si="3"/>
        <v>9.61</v>
      </c>
      <c r="AJ11" s="1339">
        <f t="shared" si="3"/>
        <v>9.61</v>
      </c>
    </row>
    <row r="12" spans="1:36" ht="25.5" thickBot="1">
      <c r="A12" s="3536" t="s">
        <v>2444</v>
      </c>
      <c r="B12" s="2172" t="s">
        <v>2445</v>
      </c>
      <c r="C12" s="840">
        <f>ROUND(C15*D15*E15*F15*G15*H15*I15*J15,4)</f>
        <v>1</v>
      </c>
      <c r="D12" s="2173" t="s">
        <v>2446</v>
      </c>
      <c r="E12" s="2174"/>
      <c r="F12" s="2174"/>
      <c r="G12" s="2175"/>
      <c r="H12" s="2175"/>
      <c r="I12" s="2175"/>
      <c r="J12" s="2176"/>
      <c r="K12" s="1232"/>
      <c r="L12" s="2177" t="s">
        <v>2447</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31"/>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38"/>
      <c r="B13" s="2178" t="s">
        <v>2449</v>
      </c>
      <c r="C13" s="2179" t="s">
        <v>2450</v>
      </c>
      <c r="D13" s="1484" t="s">
        <v>2451</v>
      </c>
      <c r="E13" s="1484" t="s">
        <v>2452</v>
      </c>
      <c r="F13" s="30" t="s">
        <v>2453</v>
      </c>
      <c r="G13" s="2180" t="s">
        <v>2454</v>
      </c>
      <c r="H13" s="2180" t="s">
        <v>2454</v>
      </c>
      <c r="I13" s="2180" t="s">
        <v>2454</v>
      </c>
      <c r="J13" s="2181" t="s">
        <v>2454</v>
      </c>
      <c r="K13" s="1232"/>
      <c r="L13" s="1232"/>
      <c r="M13" s="1232"/>
      <c r="N13" s="1232"/>
      <c r="O13" s="1232"/>
      <c r="P13" s="1232"/>
      <c r="Q13" s="1232"/>
      <c r="R13" s="1326">
        <v>12</v>
      </c>
      <c r="S13" s="1327"/>
      <c r="T13" s="1326" t="e">
        <f t="shared" si="0"/>
        <v>#DIV/0!</v>
      </c>
      <c r="U13" s="1327"/>
      <c r="V13" s="1326" t="e">
        <f t="shared" si="1"/>
        <v>#DIV/0!</v>
      </c>
      <c r="W13" s="3531"/>
      <c r="X13" s="1340"/>
      <c r="Y13" s="1337">
        <f>(-0.163*(Y12^2)-0.59*Y12+7617)*(10^(-4))/Y11</f>
        <v>7.9261186264308017E-2</v>
      </c>
      <c r="Z13" s="1337">
        <f t="shared" ref="Z13:AJ13" si="5">(-0.163*(Z12^2)-0.59*Z12+7617)*(10^(-4))/Z11</f>
        <v>7.9261186264308017E-2</v>
      </c>
      <c r="AA13" s="1337">
        <f t="shared" si="5"/>
        <v>7.9261186264308017E-2</v>
      </c>
      <c r="AB13" s="1337">
        <f t="shared" si="5"/>
        <v>7.9261186264308017E-2</v>
      </c>
      <c r="AC13" s="1337">
        <f t="shared" si="5"/>
        <v>7.9261186264308017E-2</v>
      </c>
      <c r="AD13" s="1337">
        <f t="shared" si="5"/>
        <v>7.9261186264308017E-2</v>
      </c>
      <c r="AE13" s="1337">
        <f t="shared" si="5"/>
        <v>7.9261186264308017E-2</v>
      </c>
      <c r="AF13" s="1337">
        <f t="shared" si="5"/>
        <v>7.9261186264308017E-2</v>
      </c>
      <c r="AG13" s="1337">
        <f t="shared" si="5"/>
        <v>7.9261186264308017E-2</v>
      </c>
      <c r="AH13" s="1337">
        <f t="shared" si="5"/>
        <v>7.9261186264308017E-2</v>
      </c>
      <c r="AI13" s="1337">
        <f t="shared" si="5"/>
        <v>7.9261186264308017E-2</v>
      </c>
      <c r="AJ13" s="1337">
        <f t="shared" si="5"/>
        <v>7.9261186264308017E-2</v>
      </c>
    </row>
    <row r="14" spans="1:36" ht="15">
      <c r="A14" s="3538"/>
      <c r="B14" s="2182"/>
      <c r="C14" s="2183"/>
      <c r="D14" s="2184"/>
      <c r="E14" s="2184"/>
      <c r="F14" s="2185"/>
      <c r="G14" s="2186" t="s">
        <v>2455</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39"/>
      <c r="B15" s="2190" t="s">
        <v>2456</v>
      </c>
      <c r="C15" s="193">
        <f>IF(C14="有",1.1,1)</f>
        <v>1</v>
      </c>
      <c r="D15" s="193">
        <f>IF(D14="有",1.1,1)</f>
        <v>1</v>
      </c>
      <c r="E15" s="193">
        <f>IF(E14="有",1.1,1)</f>
        <v>1</v>
      </c>
      <c r="F15" s="193">
        <f>IF(F14="500米范围内",1.2,IF(F14="500-1000米",1.1,1))</f>
        <v>1</v>
      </c>
      <c r="G15" s="864">
        <v>1</v>
      </c>
      <c r="H15" s="864">
        <v>1</v>
      </c>
      <c r="I15" s="864">
        <v>1</v>
      </c>
      <c r="J15" s="865">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6" t="s">
        <v>2461</v>
      </c>
      <c r="B16" s="2159" t="s">
        <v>2462</v>
      </c>
      <c r="C16" s="2321" t="e">
        <f>ROUND(IF(F17="与级别开发程度一致",0,(G17-E17)/C17),0)</f>
        <v>#DIV/0!</v>
      </c>
      <c r="D16" s="3552" t="s">
        <v>2466</v>
      </c>
      <c r="E16" s="3553"/>
      <c r="F16" s="3552" t="s">
        <v>2463</v>
      </c>
      <c r="G16" s="3553"/>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0"/>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44805</v>
      </c>
      <c r="H19" s="2202"/>
      <c r="I19" s="848" t="str">
        <f>IF(H19="季度增幅（自定义）",SUMIF(N21:N24,E2,O21:O24),"")</f>
        <v/>
      </c>
      <c r="J19" s="2199"/>
      <c r="K19" s="1239"/>
      <c r="L19" s="2203" t="s">
        <v>2472</v>
      </c>
      <c r="M19" s="1448">
        <f>ROUND(SUMIF(地价!B2:F2,E2,地价!B37:F37),0)</f>
        <v>0</v>
      </c>
      <c r="N19" s="2204" t="s">
        <v>2473</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39"/>
      <c r="L20" s="2209" t="s">
        <v>2477</v>
      </c>
      <c r="M20" s="1449">
        <f>ROUND(SUMPRODUCT((地价!A4:A37=YEAR(G19)&amp;"-"&amp;ROUNDUP(MONTH(G19)/3,0))*(地价!B2:F2=E2)*(地价!B4:F37)),0)</f>
        <v>0</v>
      </c>
      <c r="N20" s="2210" t="s">
        <v>2478</v>
      </c>
      <c r="O20" s="2211" t="s">
        <v>2479</v>
      </c>
      <c r="P20" s="2212" t="s">
        <v>2480</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39"/>
      <c r="L21" s="2968"/>
      <c r="M21" s="2968"/>
      <c r="N21" s="2217" t="s">
        <v>2482</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2483</v>
      </c>
      <c r="B22" s="2218" t="s">
        <v>2484</v>
      </c>
      <c r="C22" s="1486" t="s">
        <v>2485</v>
      </c>
      <c r="D22" s="1486">
        <f>IF(E22=G22,F22,IF(G3&lt;=10,ROUND(F22+(H22-F22)*(G3-E22)/(G22-E22),4),"——"))</f>
        <v>0</v>
      </c>
      <c r="E22" s="837">
        <f>ROUNDDOWN(G3,1)</f>
        <v>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9.6999999999999993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39"/>
      <c r="L22" s="2968"/>
      <c r="M22" s="2968"/>
      <c r="N22" s="2217" t="s">
        <v>2486</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2489</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39"/>
      <c r="L24" s="2968"/>
      <c r="M24" s="2968"/>
      <c r="N24" s="2227" t="s">
        <v>2491</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2492</v>
      </c>
      <c r="C25" s="851"/>
      <c r="D25" s="2162"/>
      <c r="E25" s="2162"/>
      <c r="F25" s="2229"/>
      <c r="G25" s="2162"/>
      <c r="H25" s="2162"/>
      <c r="I25" s="2162"/>
      <c r="J25" s="2163"/>
      <c r="K25" s="1232"/>
      <c r="L25" s="2133"/>
      <c r="M25" s="2133"/>
      <c r="N25" s="2963" t="s">
        <v>2493</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2"/>
      <c r="L26" s="2966" t="s">
        <v>2392</v>
      </c>
      <c r="M26" s="2160" t="s">
        <v>2457</v>
      </c>
      <c r="N26" s="2160" t="s">
        <v>2458</v>
      </c>
      <c r="O26" s="2160" t="s">
        <v>2459</v>
      </c>
      <c r="P26" s="2967" t="s">
        <v>2460</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2495</v>
      </c>
      <c r="C27" s="852" t="e">
        <f>E30+SUM(I33:I39)</f>
        <v>#DIV/0!</v>
      </c>
      <c r="D27" s="2235"/>
      <c r="E27" s="2236"/>
      <c r="F27" s="2237"/>
      <c r="G27" s="2236"/>
      <c r="H27" s="2236"/>
      <c r="I27" s="2236"/>
      <c r="J27" s="2238"/>
      <c r="K27" s="1232"/>
      <c r="L27" s="2193" t="s">
        <v>2464</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2"/>
      <c r="L28" s="2194" t="s">
        <v>2467</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2504</v>
      </c>
      <c r="C31" s="2258" t="s">
        <v>2505</v>
      </c>
      <c r="D31" s="2175"/>
      <c r="E31" s="2258"/>
      <c r="F31" s="2258"/>
      <c r="G31" s="2173" t="s">
        <v>2506</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9"/>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4"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0"/>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0"/>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0"/>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50"/>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1"/>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1"/>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2513</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2515</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2"/>
      <c r="L39" s="2270" t="s">
        <v>2460</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2620</v>
      </c>
      <c r="C41" s="348" t="e">
        <f>ROUND(POWER(1+E41,H41-G41)*(POWER(1+E41,G41)-1)/(POWER(1+E41,H41)-1),4)</f>
        <v>#DIV/0!</v>
      </c>
      <c r="D41" s="176" t="s">
        <v>2467</v>
      </c>
      <c r="E41" s="2319">
        <f>G20</f>
        <v>0</v>
      </c>
      <c r="F41" s="176" t="s">
        <v>2476</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2517</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2518</v>
      </c>
      <c r="B46" s="2276">
        <f>1+E48</f>
        <v>1</v>
      </c>
      <c r="C46" s="2277"/>
      <c r="D46" s="753"/>
      <c r="E46" s="754"/>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2519</v>
      </c>
      <c r="B47" s="1485" t="s">
        <v>2520</v>
      </c>
      <c r="C47" s="1485" t="s">
        <v>2521</v>
      </c>
      <c r="D47" s="1485" t="s">
        <v>2522</v>
      </c>
      <c r="E47" s="758" t="s">
        <v>2523</v>
      </c>
      <c r="F47" s="2280" t="s">
        <v>2524</v>
      </c>
      <c r="G47" s="1485" t="s">
        <v>574</v>
      </c>
      <c r="H47" s="2281" t="s">
        <v>2525</v>
      </c>
      <c r="I47" s="1485" t="s">
        <v>2526</v>
      </c>
      <c r="J47" s="560" t="s">
        <v>2176</v>
      </c>
      <c r="K47" s="560" t="s">
        <v>2177</v>
      </c>
      <c r="L47" s="560" t="s">
        <v>2178</v>
      </c>
      <c r="M47" s="560" t="s">
        <v>2179</v>
      </c>
      <c r="N47" s="560" t="s">
        <v>2180</v>
      </c>
      <c r="AA47" s="1233"/>
      <c r="AB47" s="1233"/>
      <c r="AC47" s="1233"/>
      <c r="AD47" s="1233"/>
      <c r="AE47" s="1233"/>
      <c r="AF47" s="1233"/>
      <c r="AG47" s="1233"/>
      <c r="AH47" s="1233"/>
      <c r="AI47" s="1233"/>
      <c r="AJ47" s="1233"/>
      <c r="AK47" s="1233"/>
    </row>
    <row r="48" spans="1:37" s="1232" customFormat="1" ht="38.25">
      <c r="A48" s="2279" t="s">
        <v>2527</v>
      </c>
      <c r="B48" s="2282" t="str">
        <f>估价对象房地状况!C4</f>
        <v>估价对象位于XX商圈，周边商业氛围成熟，人流量大，商业繁华度好</v>
      </c>
      <c r="C48" s="2184"/>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2528</v>
      </c>
      <c r="B49" s="2283" t="str">
        <f>估价对象房地状况!C18</f>
        <v>估价对象周边道路状况、公共交通通达情况、停车便捷程度，综合评价交通便捷度较好</v>
      </c>
      <c r="C49" s="2184"/>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2529</v>
      </c>
      <c r="B50" s="2283">
        <f>估价对象房地状况!C19</f>
        <v>0</v>
      </c>
      <c r="C50" s="2184"/>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2530</v>
      </c>
      <c r="B51" s="2284" t="s">
        <v>2531</v>
      </c>
      <c r="C51" s="2184"/>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2532</v>
      </c>
      <c r="B52" s="2283">
        <f>估价对象房地状况!C24</f>
        <v>0</v>
      </c>
      <c r="C52" s="2184"/>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2533</v>
      </c>
      <c r="B53" s="2285" t="s">
        <v>2534</v>
      </c>
      <c r="C53" s="2184"/>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2535</v>
      </c>
      <c r="B54" s="1446" t="str">
        <f>估价对象房地状况!C21</f>
        <v>估价对象所在区域公共配套设施齐备情况</v>
      </c>
      <c r="C54" s="2184"/>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2536</v>
      </c>
      <c r="B55" s="2283" t="str">
        <f>估价对象房地状况!C22</f>
        <v>估价对象所在区域基础设施水平</v>
      </c>
      <c r="C55" s="2184"/>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2537</v>
      </c>
      <c r="B56" s="2288" t="str">
        <f>估价对象房地状况!C20</f>
        <v>区域自然环境：；人文环境；综合评价环境状况一般</v>
      </c>
      <c r="C56" s="2184"/>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2538</v>
      </c>
      <c r="B57" s="2276">
        <f>1+E59</f>
        <v>1</v>
      </c>
      <c r="C57" s="753"/>
      <c r="D57" s="753"/>
      <c r="E57" s="754"/>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2519</v>
      </c>
      <c r="B58" s="1485"/>
      <c r="C58" s="1485" t="s">
        <v>2521</v>
      </c>
      <c r="D58" s="1485" t="s">
        <v>2522</v>
      </c>
      <c r="E58" s="758" t="s">
        <v>2523</v>
      </c>
      <c r="F58" s="2280" t="s">
        <v>2539</v>
      </c>
      <c r="G58" s="1485" t="s">
        <v>574</v>
      </c>
      <c r="H58" s="2281" t="s">
        <v>2525</v>
      </c>
      <c r="I58" s="1485" t="s">
        <v>2526</v>
      </c>
      <c r="J58" s="560" t="s">
        <v>2176</v>
      </c>
      <c r="K58" s="560" t="s">
        <v>2177</v>
      </c>
      <c r="L58" s="560" t="s">
        <v>2178</v>
      </c>
      <c r="M58" s="560" t="s">
        <v>2179</v>
      </c>
      <c r="N58" s="560" t="s">
        <v>2180</v>
      </c>
      <c r="AA58" s="1233"/>
      <c r="AB58" s="1233"/>
      <c r="AC58" s="1233"/>
      <c r="AD58" s="1233"/>
      <c r="AE58" s="1233"/>
      <c r="AF58" s="1233"/>
      <c r="AG58" s="1233"/>
      <c r="AH58" s="1233"/>
      <c r="AI58" s="1233"/>
      <c r="AJ58" s="1233"/>
      <c r="AK58" s="1233"/>
    </row>
    <row r="59" spans="1:37" s="1232" customFormat="1" ht="38.25">
      <c r="A59" s="2279" t="s">
        <v>2540</v>
      </c>
      <c r="B59" s="2282" t="str">
        <f>估价对象房地状况!C17</f>
        <v>估价对象位于XX商圈，周边办公楼项目较多，入驻率高，办公集聚程度较好</v>
      </c>
      <c r="C59" s="2184"/>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2528</v>
      </c>
      <c r="B60" s="2283" t="str">
        <f>估价对象房地状况!C18</f>
        <v>估价对象周边道路状况、公共交通通达情况、停车便捷程度，综合评价交通便捷度较好</v>
      </c>
      <c r="C60" s="2184"/>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2529</v>
      </c>
      <c r="B61" s="2283">
        <f>估价对象房地状况!C19</f>
        <v>0</v>
      </c>
      <c r="C61" s="2184"/>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2530</v>
      </c>
      <c r="B62" s="2284" t="s">
        <v>2531</v>
      </c>
      <c r="C62" s="2184"/>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2532</v>
      </c>
      <c r="B63" s="2283">
        <f>估价对象房地状况!C24</f>
        <v>0</v>
      </c>
      <c r="C63" s="2184"/>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2533</v>
      </c>
      <c r="B64" s="2285" t="s">
        <v>2534</v>
      </c>
      <c r="C64" s="2184"/>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2535</v>
      </c>
      <c r="B65" s="1446" t="str">
        <f>估价对象房地状况!C21</f>
        <v>估价对象所在区域公共配套设施齐备情况</v>
      </c>
      <c r="C65" s="2184"/>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2536</v>
      </c>
      <c r="B66" s="1446" t="str">
        <f>估价对象房地状况!C22</f>
        <v>估价对象所在区域基础设施水平</v>
      </c>
      <c r="C66" s="2184"/>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2537</v>
      </c>
      <c r="B67" s="2289" t="str">
        <f>估价对象房地状况!C20</f>
        <v>区域自然环境：；人文环境；综合评价环境状况一般</v>
      </c>
      <c r="C67" s="2184"/>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2541</v>
      </c>
      <c r="B68" s="2276">
        <f>1+E70</f>
        <v>1</v>
      </c>
      <c r="C68" s="753"/>
      <c r="D68" s="753"/>
      <c r="E68" s="754"/>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2519</v>
      </c>
      <c r="B69" s="1485"/>
      <c r="C69" s="1485" t="s">
        <v>2521</v>
      </c>
      <c r="D69" s="1485" t="s">
        <v>2522</v>
      </c>
      <c r="E69" s="758" t="s">
        <v>2523</v>
      </c>
      <c r="F69" s="2280" t="s">
        <v>2539</v>
      </c>
      <c r="G69" s="1485" t="s">
        <v>574</v>
      </c>
      <c r="H69" s="2281" t="s">
        <v>2525</v>
      </c>
      <c r="I69" s="1485" t="s">
        <v>2526</v>
      </c>
      <c r="J69" s="560" t="s">
        <v>2176</v>
      </c>
      <c r="K69" s="560" t="s">
        <v>2177</v>
      </c>
      <c r="L69" s="560" t="s">
        <v>2178</v>
      </c>
      <c r="M69" s="560" t="s">
        <v>2179</v>
      </c>
      <c r="N69" s="560" t="s">
        <v>2180</v>
      </c>
      <c r="AA69" s="1233"/>
      <c r="AB69" s="1233"/>
      <c r="AC69" s="1233"/>
      <c r="AD69" s="1233"/>
      <c r="AE69" s="1233"/>
      <c r="AF69" s="1233"/>
      <c r="AG69" s="1233"/>
      <c r="AH69" s="1233"/>
      <c r="AI69" s="1233"/>
      <c r="AJ69" s="1233"/>
      <c r="AK69" s="1233"/>
    </row>
    <row r="70" spans="1:37" s="1232" customFormat="1" ht="51">
      <c r="A70" s="2279" t="s">
        <v>2542</v>
      </c>
      <c r="B70" s="2282" t="str">
        <f>估价对象房地状况!C15</f>
        <v>估价对象周边居住用地比例、居住小区规模和社区发展完善程度，综合评价居住社区成熟度一般</v>
      </c>
      <c r="C70" s="2184"/>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2528</v>
      </c>
      <c r="B71" s="2283" t="str">
        <f>估价对象房地状况!C18</f>
        <v>估价对象周边道路状况、公共交通通达情况、停车便捷程度，综合评价交通便捷度较好</v>
      </c>
      <c r="C71" s="2184"/>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2529</v>
      </c>
      <c r="B72" s="2283">
        <f>估价对象房地状况!C19</f>
        <v>0</v>
      </c>
      <c r="C72" s="2184"/>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2543</v>
      </c>
      <c r="B73" s="2283">
        <f>估价对象房地状况!C24</f>
        <v>0</v>
      </c>
      <c r="C73" s="2184"/>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2535</v>
      </c>
      <c r="B74" s="1446" t="str">
        <f>估价对象房地状况!C21</f>
        <v>估价对象所在区域公共配套设施齐备情况</v>
      </c>
      <c r="C74" s="2184"/>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2536</v>
      </c>
      <c r="B75" s="1446" t="str">
        <f>估价对象房地状况!C22</f>
        <v>估价对象所在区域基础设施水平</v>
      </c>
      <c r="C75" s="2184"/>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2533</v>
      </c>
      <c r="B76" s="2285" t="s">
        <v>2534</v>
      </c>
      <c r="C76" s="2184"/>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2537</v>
      </c>
      <c r="B77" s="2282" t="str">
        <f>估价对象房地状况!C20</f>
        <v>区域自然环境：；人文环境；综合评价环境状况一般</v>
      </c>
      <c r="C77" s="2184"/>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4"/>
      <c r="AA77" s="2200"/>
      <c r="AG77" s="1234"/>
      <c r="AK77" s="2200"/>
    </row>
    <row r="78" spans="1:37" ht="24.75" thickBot="1">
      <c r="A78" s="2287" t="s">
        <v>2544</v>
      </c>
      <c r="B78" s="2291"/>
      <c r="C78" s="2184"/>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4"/>
      <c r="AA78" s="2200"/>
      <c r="AG78" s="1234"/>
      <c r="AK78" s="2200"/>
    </row>
    <row r="79" spans="1:37" ht="15">
      <c r="A79" s="2275" t="s">
        <v>2545</v>
      </c>
      <c r="B79" s="2276">
        <f>1+E81</f>
        <v>1</v>
      </c>
      <c r="C79" s="753"/>
      <c r="D79" s="753"/>
      <c r="E79" s="754"/>
      <c r="F79" s="2278"/>
      <c r="G79" s="6"/>
      <c r="H79" s="6"/>
      <c r="I79" s="6"/>
      <c r="J79" s="7"/>
      <c r="K79" s="7"/>
      <c r="L79" s="7"/>
      <c r="M79" s="7"/>
      <c r="N79" s="7"/>
      <c r="Z79" s="2134"/>
      <c r="AA79" s="2200"/>
      <c r="AG79" s="1234"/>
      <c r="AK79" s="2200"/>
    </row>
    <row r="80" spans="1:37" ht="24.75">
      <c r="A80" s="2279" t="s">
        <v>2519</v>
      </c>
      <c r="B80" s="1485"/>
      <c r="C80" s="1485" t="s">
        <v>2521</v>
      </c>
      <c r="D80" s="1485" t="s">
        <v>2522</v>
      </c>
      <c r="E80" s="758" t="s">
        <v>2523</v>
      </c>
      <c r="F80" s="2280" t="s">
        <v>2539</v>
      </c>
      <c r="G80" s="1485" t="s">
        <v>574</v>
      </c>
      <c r="H80" s="2281" t="s">
        <v>2525</v>
      </c>
      <c r="I80" s="1485" t="s">
        <v>2526</v>
      </c>
      <c r="J80" s="560" t="s">
        <v>2176</v>
      </c>
      <c r="K80" s="560" t="s">
        <v>2177</v>
      </c>
      <c r="L80" s="560" t="s">
        <v>2178</v>
      </c>
      <c r="M80" s="560" t="s">
        <v>2179</v>
      </c>
      <c r="N80" s="560" t="s">
        <v>2180</v>
      </c>
      <c r="Z80" s="2134"/>
      <c r="AA80" s="2200"/>
      <c r="AG80" s="1234"/>
      <c r="AK80" s="2200"/>
    </row>
    <row r="81" spans="1:37" ht="38.25">
      <c r="A81" s="2279" t="s">
        <v>2546</v>
      </c>
      <c r="B81" s="2283" t="str">
        <f>估价对象房地状况!G15</f>
        <v>估价对象位于XX开发区，园区建设成熟度XX，产业集聚程度XX</v>
      </c>
      <c r="C81" s="2184"/>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2528</v>
      </c>
      <c r="B82" s="2283" t="str">
        <f>估价对象房地状况!G16</f>
        <v>估价对象周边道路状况、公共交通通达情况、停车便捷程度，综合评价交通便捷度较好</v>
      </c>
      <c r="C82" s="2184"/>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4"/>
      <c r="AA82" s="2200"/>
      <c r="AG82" s="1234"/>
      <c r="AK82" s="2200"/>
    </row>
    <row r="83" spans="1:37" ht="24">
      <c r="A83" s="2279" t="s">
        <v>2529</v>
      </c>
      <c r="B83" s="2283">
        <f>估价对象房地状况!G17</f>
        <v>0</v>
      </c>
      <c r="C83" s="2184"/>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4"/>
      <c r="AA83" s="2200"/>
      <c r="AG83" s="1234"/>
      <c r="AK83" s="2200"/>
    </row>
    <row r="84" spans="1:37" ht="14.25">
      <c r="A84" s="2279" t="s">
        <v>2543</v>
      </c>
      <c r="B84" s="2283">
        <f>估价对象房地状况!G22</f>
        <v>0</v>
      </c>
      <c r="C84" s="2184"/>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4"/>
      <c r="AA84" s="2200"/>
      <c r="AG84" s="1234"/>
      <c r="AK84" s="2200"/>
    </row>
    <row r="85" spans="1:37" ht="25.5">
      <c r="A85" s="2279" t="s">
        <v>2535</v>
      </c>
      <c r="B85" s="1446" t="str">
        <f>估价对象房地状况!G19</f>
        <v>估价对象所在区域公共配套设施齐备情况</v>
      </c>
      <c r="C85" s="2184"/>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4"/>
      <c r="AA85" s="2200"/>
      <c r="AG85" s="1234"/>
      <c r="AK85" s="2200"/>
    </row>
    <row r="86" spans="1:37" ht="25.5">
      <c r="A86" s="2279" t="s">
        <v>2536</v>
      </c>
      <c r="B86" s="1446" t="str">
        <f>估价对象房地状况!G20</f>
        <v>估价对象所在区域基础设施水平</v>
      </c>
      <c r="C86" s="2184"/>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4"/>
      <c r="AA86" s="2200"/>
      <c r="AG86" s="1234"/>
      <c r="AK86" s="2200"/>
    </row>
    <row r="87" spans="1:37" ht="24">
      <c r="A87" s="2279" t="s">
        <v>2533</v>
      </c>
      <c r="B87" s="2285" t="s">
        <v>2547</v>
      </c>
      <c r="C87" s="2184"/>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4"/>
      <c r="AA87" s="2200"/>
      <c r="AG87" s="1234"/>
      <c r="AK87" s="2200"/>
    </row>
    <row r="88" spans="1:37" ht="39" thickBot="1">
      <c r="A88" s="2287" t="s">
        <v>2548</v>
      </c>
      <c r="B88" s="2292" t="str">
        <f>估价对象房地状况!G18</f>
        <v>该园区内是否有污染型企业，绿化情况，卫生条件，整体环境状况判断</v>
      </c>
      <c r="C88" s="2184"/>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4"/>
      <c r="AA88" s="2200"/>
      <c r="AG88" s="1234"/>
      <c r="AK88" s="2200"/>
    </row>
    <row r="90" spans="1:37">
      <c r="A90" s="3541" t="s">
        <v>2549</v>
      </c>
      <c r="B90" s="3541"/>
      <c r="C90" s="3541"/>
      <c r="D90" s="3541"/>
      <c r="E90" s="3541"/>
      <c r="F90" s="3541"/>
      <c r="G90" s="3541"/>
      <c r="H90" s="3541"/>
      <c r="I90" s="3541"/>
      <c r="J90" s="3541"/>
      <c r="K90" s="2293"/>
      <c r="L90" s="2293"/>
      <c r="M90" s="2293"/>
      <c r="N90" s="2293"/>
    </row>
    <row r="91" spans="1:37">
      <c r="A91" s="3543" t="s">
        <v>2550</v>
      </c>
      <c r="B91" s="3543" t="s">
        <v>2551</v>
      </c>
      <c r="C91" s="2247" t="s">
        <v>2552</v>
      </c>
      <c r="D91" s="2248"/>
      <c r="E91" s="2248"/>
      <c r="F91" s="2248"/>
      <c r="G91" s="2248"/>
      <c r="H91" s="2248"/>
      <c r="I91" s="2248"/>
      <c r="J91" s="2294"/>
      <c r="K91" s="2295"/>
      <c r="L91" s="2295"/>
      <c r="M91" s="2295"/>
      <c r="N91" s="2295"/>
    </row>
    <row r="92" spans="1:37">
      <c r="A92" s="3543"/>
      <c r="B92" s="3543"/>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4"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5"/>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4" t="s">
        <v>2554</v>
      </c>
      <c r="B101" s="2300" t="s">
        <v>2555</v>
      </c>
      <c r="C101" s="2301">
        <f>$G$3</f>
        <v>9.61</v>
      </c>
      <c r="D101" s="2301">
        <f t="shared" ref="D101:N101" si="31">$G$3</f>
        <v>9.61</v>
      </c>
      <c r="E101" s="2301">
        <f t="shared" si="31"/>
        <v>9.61</v>
      </c>
      <c r="F101" s="2301">
        <f t="shared" si="31"/>
        <v>9.61</v>
      </c>
      <c r="G101" s="2301">
        <f t="shared" si="31"/>
        <v>9.61</v>
      </c>
      <c r="H101" s="2301">
        <f t="shared" si="31"/>
        <v>9.61</v>
      </c>
      <c r="I101" s="2301">
        <f t="shared" si="31"/>
        <v>9.61</v>
      </c>
      <c r="J101" s="2301">
        <f t="shared" si="31"/>
        <v>9.61</v>
      </c>
      <c r="K101" s="2301">
        <f t="shared" si="31"/>
        <v>9.61</v>
      </c>
      <c r="L101" s="2301">
        <f t="shared" si="31"/>
        <v>9.61</v>
      </c>
      <c r="M101" s="2301">
        <f t="shared" si="31"/>
        <v>9.61</v>
      </c>
      <c r="N101" s="2301">
        <f t="shared" si="31"/>
        <v>9.61</v>
      </c>
    </row>
    <row r="102" spans="1:14">
      <c r="A102" s="3545"/>
      <c r="B102" s="2296">
        <v>1</v>
      </c>
      <c r="C102" s="2297">
        <f>1.9362/C101</f>
        <v>0.20147762747138398</v>
      </c>
      <c r="D102" s="2297">
        <f>1.9362/D101</f>
        <v>0.20147762747138398</v>
      </c>
      <c r="E102" s="2297">
        <f>1.8629/E101</f>
        <v>0.19385015608740896</v>
      </c>
      <c r="F102" s="2297">
        <f>1.8629/F101</f>
        <v>0.19385015608740896</v>
      </c>
      <c r="G102" s="2297">
        <f>1.8629/G101</f>
        <v>0.19385015608740896</v>
      </c>
      <c r="H102" s="2297">
        <f>1.8629/H101</f>
        <v>0.19385015608740896</v>
      </c>
      <c r="I102" s="2297">
        <f>1.8629/I101</f>
        <v>0.19385015608740896</v>
      </c>
      <c r="J102" s="2297">
        <f>1.942/J101</f>
        <v>0.20208116545265351</v>
      </c>
      <c r="K102" s="2297">
        <f>1.942/K101</f>
        <v>0.20208116545265351</v>
      </c>
      <c r="L102" s="2297">
        <f>1.942/L101</f>
        <v>0.20208116545265351</v>
      </c>
      <c r="M102" s="2297">
        <f>1.942/M101</f>
        <v>0.20208116545265351</v>
      </c>
      <c r="N102" s="2297">
        <f>1.942/N101</f>
        <v>0.20208116545265351</v>
      </c>
    </row>
    <row r="103" spans="1:14">
      <c r="A103" s="3545"/>
      <c r="B103" s="2296">
        <v>2</v>
      </c>
      <c r="C103" s="2297">
        <f>1.4198/C101</f>
        <v>0.14774193548387096</v>
      </c>
      <c r="D103" s="2297">
        <f>1.4198/D101</f>
        <v>0.14774193548387096</v>
      </c>
      <c r="E103" s="2297">
        <f>1.3372/E101</f>
        <v>0.13914672216441207</v>
      </c>
      <c r="F103" s="2297">
        <f>1.3372/F101</f>
        <v>0.13914672216441207</v>
      </c>
      <c r="G103" s="2297">
        <f>1.3372/G101</f>
        <v>0.13914672216441207</v>
      </c>
      <c r="H103" s="2297">
        <f>1.3372/H101</f>
        <v>0.13914672216441207</v>
      </c>
      <c r="I103" s="2297">
        <f>1.3372/I101</f>
        <v>0.13914672216441207</v>
      </c>
      <c r="J103" s="2297">
        <f>1.2799/J101</f>
        <v>0.13318418314255984</v>
      </c>
      <c r="K103" s="2297">
        <f>1.2799/K101</f>
        <v>0.13318418314255984</v>
      </c>
      <c r="L103" s="2297">
        <f>1.2799/L101</f>
        <v>0.13318418314255984</v>
      </c>
      <c r="M103" s="2297">
        <f>1.2799/M101</f>
        <v>0.13318418314255984</v>
      </c>
      <c r="N103" s="2297">
        <f>1.2799/N101</f>
        <v>0.13318418314255984</v>
      </c>
    </row>
    <row r="104" spans="1:14">
      <c r="A104" s="3545"/>
      <c r="B104" s="2296">
        <v>3</v>
      </c>
      <c r="C104" s="2297">
        <f>1.1594/C101</f>
        <v>0.12064516129032259</v>
      </c>
      <c r="D104" s="2297">
        <f>1.1594/D101</f>
        <v>0.12064516129032259</v>
      </c>
      <c r="E104" s="2297">
        <f>1.0788/E101</f>
        <v>0.11225806451612903</v>
      </c>
      <c r="F104" s="2297">
        <f>1.0788/F101</f>
        <v>0.11225806451612903</v>
      </c>
      <c r="G104" s="2297">
        <f>1.0788/G101</f>
        <v>0.11225806451612903</v>
      </c>
      <c r="H104" s="2297">
        <f>1.0788/H101</f>
        <v>0.11225806451612903</v>
      </c>
      <c r="I104" s="2297">
        <f>1.0788/I101</f>
        <v>0.11225806451612903</v>
      </c>
      <c r="J104" s="2297">
        <f>1.0072/J101</f>
        <v>0.10480749219562957</v>
      </c>
      <c r="K104" s="2297">
        <f>1.0072/K101</f>
        <v>0.10480749219562957</v>
      </c>
      <c r="L104" s="2297">
        <f>1.0072/L101</f>
        <v>0.10480749219562957</v>
      </c>
      <c r="M104" s="2297">
        <f>1.0072/M101</f>
        <v>0.10480749219562957</v>
      </c>
      <c r="N104" s="2297">
        <f>1.0072/N101</f>
        <v>0.10480749219562957</v>
      </c>
    </row>
    <row r="105" spans="1:14">
      <c r="A105" s="3545"/>
      <c r="B105" s="2296">
        <v>4</v>
      </c>
      <c r="C105" s="2297">
        <f>0.9622/C101</f>
        <v>0.10012486992715922</v>
      </c>
      <c r="D105" s="2297">
        <f>0.9622/D101</f>
        <v>0.10012486992715922</v>
      </c>
      <c r="E105" s="2297">
        <f>0.8656/E101</f>
        <v>9.0072840790842879E-2</v>
      </c>
      <c r="F105" s="2297">
        <f>0.8656/F101</f>
        <v>9.0072840790842879E-2</v>
      </c>
      <c r="G105" s="2297">
        <f>0.8656/G101</f>
        <v>9.0072840790842879E-2</v>
      </c>
      <c r="H105" s="2297">
        <f>0.8656/H101</f>
        <v>9.0072840790842879E-2</v>
      </c>
      <c r="I105" s="2297">
        <f>0.8656/I101</f>
        <v>9.0072840790842879E-2</v>
      </c>
      <c r="J105" s="2297">
        <f>0.7525/J101</f>
        <v>7.8303850156087401E-2</v>
      </c>
      <c r="K105" s="2297">
        <f>0.7525/K101</f>
        <v>7.8303850156087401E-2</v>
      </c>
      <c r="L105" s="2297">
        <f>0.7525/L101</f>
        <v>7.8303850156087401E-2</v>
      </c>
      <c r="M105" s="2297">
        <f>0.7525/M101</f>
        <v>7.8303850156087401E-2</v>
      </c>
      <c r="N105" s="2297">
        <f>0.7525/N101</f>
        <v>7.8303850156087401E-2</v>
      </c>
    </row>
    <row r="106" spans="1:14">
      <c r="A106" s="3545"/>
      <c r="B106" s="2296">
        <v>5</v>
      </c>
      <c r="C106" s="2297">
        <f>0.8417/C101</f>
        <v>8.7585848074921965E-2</v>
      </c>
      <c r="D106" s="2297">
        <f>0.8417/D101</f>
        <v>8.7585848074921965E-2</v>
      </c>
      <c r="E106" s="2297">
        <f>0.7371/E101</f>
        <v>7.6701352757544222E-2</v>
      </c>
      <c r="F106" s="2297">
        <f>0.7371/F101</f>
        <v>7.6701352757544222E-2</v>
      </c>
      <c r="G106" s="2297">
        <f>0.7371/G101</f>
        <v>7.6701352757544222E-2</v>
      </c>
      <c r="H106" s="2297">
        <f>0.7371/H101</f>
        <v>7.6701352757544222E-2</v>
      </c>
      <c r="I106" s="2297">
        <f>0.7371/I101</f>
        <v>7.6701352757544222E-2</v>
      </c>
      <c r="J106" s="2297">
        <f>0.5659/J101</f>
        <v>5.8886576482830383E-2</v>
      </c>
      <c r="K106" s="2297">
        <f>0.5659/K101</f>
        <v>5.8886576482830383E-2</v>
      </c>
      <c r="L106" s="2297">
        <f>0.5659/L101</f>
        <v>5.8886576482830383E-2</v>
      </c>
      <c r="M106" s="2297">
        <f>0.5659/M101</f>
        <v>5.8886576482830383E-2</v>
      </c>
      <c r="N106" s="2297">
        <f>0.5659/N101</f>
        <v>5.8886576482830383E-2</v>
      </c>
    </row>
    <row r="107" spans="1:14">
      <c r="A107" s="3545"/>
      <c r="B107" s="2296">
        <v>6</v>
      </c>
      <c r="C107" s="2297">
        <f>0.7608/C101</f>
        <v>7.916753381893861E-2</v>
      </c>
      <c r="D107" s="2297">
        <f>0.7608/D101</f>
        <v>7.916753381893861E-2</v>
      </c>
      <c r="E107" s="2297">
        <f>0.6482/E101</f>
        <v>6.7450572320499488E-2</v>
      </c>
      <c r="F107" s="2297">
        <f>0.6482/F101</f>
        <v>6.7450572320499488E-2</v>
      </c>
      <c r="G107" s="2297">
        <f>0.6482/G101</f>
        <v>6.7450572320499488E-2</v>
      </c>
      <c r="H107" s="2297">
        <f>0.6482/H101</f>
        <v>6.7450572320499488E-2</v>
      </c>
      <c r="I107" s="2297">
        <f>0.6482/I101</f>
        <v>6.7450572320499488E-2</v>
      </c>
      <c r="J107" s="2297">
        <f>0.4525/J101</f>
        <v>4.7086368366285124E-2</v>
      </c>
      <c r="K107" s="2297">
        <f>0.4525/K101</f>
        <v>4.7086368366285124E-2</v>
      </c>
      <c r="L107" s="2297">
        <f>0.4525/L101</f>
        <v>4.7086368366285124E-2</v>
      </c>
      <c r="M107" s="2297">
        <f>0.4525/M101</f>
        <v>4.7086368366285124E-2</v>
      </c>
      <c r="N107" s="2297">
        <f>0.4525/N101</f>
        <v>4.7086368366285124E-2</v>
      </c>
    </row>
    <row r="108" spans="1:14">
      <c r="A108" s="3545"/>
      <c r="B108" s="3547"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6"/>
      <c r="B109" s="3548"/>
      <c r="C109" s="2299">
        <f>(-0.163*(C108^2)-0.59*C108+7617)*(10^(-4))/C101</f>
        <v>7.9261186264308017E-2</v>
      </c>
      <c r="D109" s="2299">
        <f>(-0.163*(D108^2)-0.59*D108+7617)*(10^(-4))/D101</f>
        <v>7.9261186264308017E-2</v>
      </c>
      <c r="E109" s="2299">
        <f>(-0.161*(E108^2)-7.509*E108+6533)*(10^(-4))/E101</f>
        <v>6.7981269510926118E-2</v>
      </c>
      <c r="F109" s="2299">
        <f>(-0.161*(F108^2)-7.509*F108+6533)*(10^(-4))/F101</f>
        <v>6.7981269510926118E-2</v>
      </c>
      <c r="G109" s="2299">
        <f>(-0.161*(G108^2)-7.509*G108+6533)*(10^(-4))/G101</f>
        <v>6.7981269510926118E-2</v>
      </c>
      <c r="H109" s="2299">
        <f>(-0.161*(H108^2)-7.509*H108+6533)*(10^(-4))/H101</f>
        <v>6.7981269510926118E-2</v>
      </c>
      <c r="I109" s="2299">
        <f>(-0.161*(I108^2)-7.509*I108+6533)*(10^(-4))/I101</f>
        <v>6.7981269510926118E-2</v>
      </c>
      <c r="J109" s="2299">
        <f>(-0.214*(J108^2)-21.991*J108+4665)*(10^(-4))/J101</f>
        <v>4.8543184183142567E-2</v>
      </c>
      <c r="K109" s="2299">
        <f>(-0.214*(K108^2)-21.991*K108+4665)*(10^(-4))/K101</f>
        <v>4.8543184183142567E-2</v>
      </c>
      <c r="L109" s="2299">
        <f>(-0.214*(L108^2)-21.991*L108+4665)*(10^(-4))/L101</f>
        <v>4.8543184183142567E-2</v>
      </c>
      <c r="M109" s="2299">
        <f>(-0.214*(M108^2)-21.991*M108+4665)*(10^(-4))/M101</f>
        <v>4.8543184183142567E-2</v>
      </c>
      <c r="N109" s="2299">
        <f>(-0.214*(N108^2)-21.991*N108+4665)*(10^(-4))/N101</f>
        <v>4.8543184183142567E-2</v>
      </c>
    </row>
    <row r="110" spans="1:14">
      <c r="A110" s="3542" t="s">
        <v>2557</v>
      </c>
      <c r="B110" s="3542"/>
      <c r="C110" s="3542"/>
      <c r="D110" s="3542"/>
      <c r="E110" s="3542"/>
      <c r="F110" s="3542"/>
      <c r="G110" s="3542"/>
      <c r="H110" s="3542"/>
      <c r="I110" s="3542"/>
      <c r="J110" s="3542"/>
      <c r="K110" s="2302"/>
      <c r="L110" s="2302"/>
      <c r="M110" s="2302"/>
      <c r="N110" s="2302"/>
    </row>
    <row r="112" spans="1:14" ht="13.5" thickBot="1"/>
    <row r="113" spans="1:13" ht="25.5" thickBot="1">
      <c r="A113" s="824" t="s">
        <v>2558</v>
      </c>
      <c r="B113" s="1177">
        <f>G3</f>
        <v>9.61</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0.84319999999999995</v>
      </c>
      <c r="C115" s="831">
        <f>B115</f>
        <v>0.84319999999999995</v>
      </c>
      <c r="D115" s="831">
        <f>ROUND(0.8331-0.0109*B113,4)</f>
        <v>0.72840000000000005</v>
      </c>
      <c r="E115" s="831">
        <f>D115</f>
        <v>0.72840000000000005</v>
      </c>
      <c r="F115" s="831">
        <f>E115</f>
        <v>0.72840000000000005</v>
      </c>
      <c r="G115" s="831">
        <f>F115</f>
        <v>0.72840000000000005</v>
      </c>
      <c r="H115" s="831">
        <f>G115</f>
        <v>0.72840000000000005</v>
      </c>
      <c r="I115" s="831">
        <f>ROUND(0.689-0.0155*B113,4)</f>
        <v>0.54</v>
      </c>
      <c r="J115" s="831">
        <f t="shared" ref="J115:M118" si="33">I115</f>
        <v>0.54</v>
      </c>
      <c r="K115" s="831">
        <f t="shared" si="33"/>
        <v>0.54</v>
      </c>
      <c r="L115" s="831">
        <f t="shared" si="33"/>
        <v>0.54</v>
      </c>
      <c r="M115" s="832">
        <f t="shared" si="33"/>
        <v>0.54</v>
      </c>
    </row>
    <row r="116" spans="1:13">
      <c r="A116" s="830" t="s">
        <v>2458</v>
      </c>
      <c r="B116" s="831">
        <f>ROUND(0.949-0.012*B113,4)</f>
        <v>0.8337</v>
      </c>
      <c r="C116" s="831">
        <f>B116</f>
        <v>0.8337</v>
      </c>
      <c r="D116" s="831">
        <f>ROUND(0.8567-0.013*B113,4)</f>
        <v>0.73180000000000001</v>
      </c>
      <c r="E116" s="831">
        <f t="shared" ref="E116:H117" si="34">D116</f>
        <v>0.73180000000000001</v>
      </c>
      <c r="F116" s="831">
        <f t="shared" si="34"/>
        <v>0.73180000000000001</v>
      </c>
      <c r="G116" s="831">
        <f t="shared" si="34"/>
        <v>0.73180000000000001</v>
      </c>
      <c r="H116" s="831">
        <f t="shared" si="34"/>
        <v>0.73180000000000001</v>
      </c>
      <c r="I116" s="831">
        <f>ROUND(0.7694-0.014*B113,4)</f>
        <v>0.63490000000000002</v>
      </c>
      <c r="J116" s="831">
        <f t="shared" si="33"/>
        <v>0.63490000000000002</v>
      </c>
      <c r="K116" s="831">
        <f t="shared" si="33"/>
        <v>0.63490000000000002</v>
      </c>
      <c r="L116" s="831">
        <f t="shared" si="33"/>
        <v>0.63490000000000002</v>
      </c>
      <c r="M116" s="832">
        <f t="shared" si="33"/>
        <v>0.63490000000000002</v>
      </c>
    </row>
    <row r="117" spans="1:13">
      <c r="A117" s="830" t="s">
        <v>2459</v>
      </c>
      <c r="B117" s="831">
        <f>ROUND(0.8808-0.006*B113,4)</f>
        <v>0.82310000000000005</v>
      </c>
      <c r="C117" s="831">
        <f>B117</f>
        <v>0.82310000000000005</v>
      </c>
      <c r="D117" s="831">
        <f>ROUND(0.8748-0.008*B113,4)</f>
        <v>0.79790000000000005</v>
      </c>
      <c r="E117" s="831">
        <f t="shared" si="34"/>
        <v>0.79790000000000005</v>
      </c>
      <c r="F117" s="831">
        <f t="shared" si="34"/>
        <v>0.79790000000000005</v>
      </c>
      <c r="G117" s="831">
        <f t="shared" si="34"/>
        <v>0.79790000000000005</v>
      </c>
      <c r="H117" s="831">
        <f t="shared" si="34"/>
        <v>0.79790000000000005</v>
      </c>
      <c r="I117" s="831">
        <f>ROUND(0.7412-0.0095*B113,4)</f>
        <v>0.64990000000000003</v>
      </c>
      <c r="J117" s="831">
        <f t="shared" si="33"/>
        <v>0.64990000000000003</v>
      </c>
      <c r="K117" s="831">
        <f t="shared" si="33"/>
        <v>0.64990000000000003</v>
      </c>
      <c r="L117" s="831">
        <f t="shared" si="33"/>
        <v>0.64990000000000003</v>
      </c>
      <c r="M117" s="832">
        <f t="shared" si="33"/>
        <v>0.64990000000000003</v>
      </c>
    </row>
    <row r="118" spans="1:13" ht="13.5" thickBot="1">
      <c r="A118" s="670" t="s">
        <v>2460</v>
      </c>
      <c r="B118" s="833">
        <f>ROUND(0.7275-0.01*B113,4)</f>
        <v>0.63139999999999996</v>
      </c>
      <c r="C118" s="833">
        <f>B118</f>
        <v>0.63139999999999996</v>
      </c>
      <c r="D118" s="833">
        <f>ROUND(0.7043-0.012*B113,4)</f>
        <v>0.58899999999999997</v>
      </c>
      <c r="E118" s="833">
        <f>D118</f>
        <v>0.58899999999999997</v>
      </c>
      <c r="F118" s="833">
        <f>E118</f>
        <v>0.58899999999999997</v>
      </c>
      <c r="G118" s="833">
        <f>ROUND(0.6299-0.0122*B113,4)</f>
        <v>0.51270000000000004</v>
      </c>
      <c r="H118" s="833">
        <f>G118</f>
        <v>0.51270000000000004</v>
      </c>
      <c r="I118" s="833">
        <f>ROUND(0.5667-0.0136*B113,4)</f>
        <v>0.436</v>
      </c>
      <c r="J118" s="833">
        <f t="shared" si="33"/>
        <v>0.436</v>
      </c>
      <c r="K118" s="833">
        <f t="shared" si="33"/>
        <v>0.436</v>
      </c>
      <c r="L118" s="833">
        <f t="shared" si="33"/>
        <v>0.436</v>
      </c>
      <c r="M118" s="834">
        <f t="shared" si="33"/>
        <v>0.436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2949</v>
      </c>
      <c r="B19" s="3209" t="s">
        <v>2950</v>
      </c>
      <c r="C19" s="3210" t="s">
        <v>2951</v>
      </c>
      <c r="D19" s="3211"/>
      <c r="E19" s="3205" t="s">
        <v>2952</v>
      </c>
      <c r="F19" s="803"/>
      <c r="G19" s="803"/>
    </row>
    <row r="20" spans="1:13" s="808" customFormat="1" ht="19.5" customHeight="1">
      <c r="A20" s="3564" t="s">
        <v>2953</v>
      </c>
      <c r="B20" s="3559" t="s">
        <v>2954</v>
      </c>
      <c r="C20" s="3212" t="s">
        <v>2955</v>
      </c>
      <c r="D20" s="3213"/>
      <c r="E20" s="3214">
        <v>1</v>
      </c>
      <c r="F20" s="3215" t="s">
        <v>2956</v>
      </c>
      <c r="G20" s="807"/>
      <c r="H20" s="801"/>
      <c r="I20" s="801"/>
    </row>
    <row r="21" spans="1:13" s="808" customFormat="1" ht="19.5" customHeight="1">
      <c r="A21" s="3565"/>
      <c r="B21" s="3558"/>
      <c r="C21" s="805" t="s">
        <v>2957</v>
      </c>
      <c r="D21" s="806"/>
      <c r="E21" s="3216">
        <v>1</v>
      </c>
      <c r="F21" s="3215" t="s">
        <v>2958</v>
      </c>
      <c r="G21" s="807"/>
      <c r="H21" s="801"/>
      <c r="I21" s="801"/>
    </row>
    <row r="22" spans="1:13" s="808" customFormat="1" ht="19.5" customHeight="1">
      <c r="A22" s="3565"/>
      <c r="B22" s="3558"/>
      <c r="C22" s="805" t="s">
        <v>2959</v>
      </c>
      <c r="D22" s="806"/>
      <c r="E22" s="3216">
        <v>0.9</v>
      </c>
      <c r="F22" s="3215" t="s">
        <v>2960</v>
      </c>
      <c r="G22" s="807"/>
      <c r="H22" s="801"/>
      <c r="I22" s="801"/>
    </row>
    <row r="23" spans="1:13" s="808" customFormat="1" ht="19.5" customHeight="1">
      <c r="A23" s="3565"/>
      <c r="B23" s="3558"/>
      <c r="C23" s="805" t="s">
        <v>2961</v>
      </c>
      <c r="D23" s="806"/>
      <c r="E23" s="3216">
        <v>0.9</v>
      </c>
      <c r="F23" s="3215" t="s">
        <v>2962</v>
      </c>
      <c r="G23" s="807"/>
      <c r="H23" s="801"/>
      <c r="I23" s="801"/>
    </row>
    <row r="24" spans="1:13" s="808" customFormat="1" ht="19.5" customHeight="1">
      <c r="A24" s="3565"/>
      <c r="B24" s="3558"/>
      <c r="C24" s="805" t="s">
        <v>2963</v>
      </c>
      <c r="D24" s="806"/>
      <c r="E24" s="3216">
        <v>0.8</v>
      </c>
      <c r="F24" s="3215" t="s">
        <v>2964</v>
      </c>
      <c r="G24" s="807"/>
      <c r="H24" s="801"/>
      <c r="I24" s="801"/>
    </row>
    <row r="25" spans="1:13" s="808" customFormat="1" ht="19.5" customHeight="1" thickBot="1">
      <c r="A25" s="3566"/>
      <c r="B25" s="3560"/>
      <c r="C25" s="3217" t="s">
        <v>2965</v>
      </c>
      <c r="D25" s="3218"/>
      <c r="E25" s="3219">
        <v>0.8</v>
      </c>
      <c r="F25" s="3215" t="s">
        <v>2966</v>
      </c>
      <c r="G25" s="807"/>
      <c r="H25" s="801"/>
      <c r="I25" s="801"/>
    </row>
    <row r="26" spans="1:13" s="808" customFormat="1" ht="19.5" customHeight="1" thickBot="1">
      <c r="A26" s="3220" t="s">
        <v>2967</v>
      </c>
      <c r="B26" s="3221" t="s">
        <v>2954</v>
      </c>
      <c r="C26" s="3222" t="s">
        <v>2968</v>
      </c>
      <c r="D26" s="3223"/>
      <c r="E26" s="3224">
        <v>1</v>
      </c>
      <c r="F26" s="3215" t="s">
        <v>2969</v>
      </c>
      <c r="G26" s="807"/>
      <c r="H26" s="801"/>
      <c r="I26" s="801"/>
    </row>
    <row r="27" spans="1:13" s="808" customFormat="1" ht="19.5" customHeight="1">
      <c r="A27" s="3561" t="s">
        <v>2970</v>
      </c>
      <c r="B27" s="3559" t="s">
        <v>2970</v>
      </c>
      <c r="C27" s="3212" t="s">
        <v>2971</v>
      </c>
      <c r="D27" s="3213"/>
      <c r="E27" s="3214">
        <v>1</v>
      </c>
      <c r="F27" s="3215" t="s">
        <v>2972</v>
      </c>
      <c r="G27" s="807"/>
      <c r="H27" s="801"/>
      <c r="I27" s="801"/>
    </row>
    <row r="28" spans="1:13" s="808" customFormat="1" ht="19.5" customHeight="1">
      <c r="A28" s="3562"/>
      <c r="B28" s="3558"/>
      <c r="C28" s="805" t="s">
        <v>2973</v>
      </c>
      <c r="D28" s="806"/>
      <c r="E28" s="3216">
        <v>1</v>
      </c>
      <c r="F28" s="3215" t="s">
        <v>2974</v>
      </c>
      <c r="G28" s="807"/>
      <c r="H28" s="801"/>
      <c r="I28" s="801"/>
    </row>
    <row r="29" spans="1:13" s="808" customFormat="1" ht="19.5" customHeight="1">
      <c r="A29" s="3562"/>
      <c r="B29" s="3558"/>
      <c r="C29" s="805" t="s">
        <v>2975</v>
      </c>
      <c r="D29" s="806"/>
      <c r="E29" s="3216">
        <v>0.8</v>
      </c>
      <c r="F29" s="3215" t="s">
        <v>2976</v>
      </c>
      <c r="G29" s="807"/>
      <c r="H29" s="801"/>
      <c r="I29" s="801"/>
    </row>
    <row r="30" spans="1:13" s="808" customFormat="1" ht="19.5" customHeight="1">
      <c r="A30" s="3562"/>
      <c r="B30" s="3558"/>
      <c r="C30" s="805" t="s">
        <v>2977</v>
      </c>
      <c r="D30" s="806"/>
      <c r="E30" s="3216">
        <v>0.8</v>
      </c>
      <c r="F30" s="3215" t="s">
        <v>2978</v>
      </c>
      <c r="G30" s="807"/>
      <c r="H30" s="801"/>
      <c r="I30" s="801"/>
    </row>
    <row r="31" spans="1:13" s="808" customFormat="1" ht="19.5" customHeight="1">
      <c r="A31" s="3562"/>
      <c r="B31" s="3558"/>
      <c r="C31" s="805" t="s">
        <v>2979</v>
      </c>
      <c r="D31" s="806"/>
      <c r="E31" s="3216">
        <v>0.8</v>
      </c>
      <c r="F31" s="3215" t="s">
        <v>2980</v>
      </c>
      <c r="G31" s="807"/>
      <c r="H31" s="801"/>
      <c r="I31" s="801"/>
    </row>
    <row r="32" spans="1:13" s="808" customFormat="1" ht="19.5" customHeight="1">
      <c r="A32" s="3562"/>
      <c r="B32" s="3558"/>
      <c r="C32" s="805" t="s">
        <v>2981</v>
      </c>
      <c r="D32" s="806"/>
      <c r="E32" s="3216">
        <v>0.7</v>
      </c>
      <c r="F32" s="3215" t="s">
        <v>2982</v>
      </c>
      <c r="G32" s="807"/>
      <c r="H32" s="801"/>
      <c r="I32" s="801"/>
    </row>
    <row r="33" spans="1:9" s="808" customFormat="1" ht="19.5" customHeight="1">
      <c r="A33" s="3562"/>
      <c r="B33" s="3558"/>
      <c r="C33" s="805" t="s">
        <v>2983</v>
      </c>
      <c r="D33" s="806"/>
      <c r="E33" s="3216">
        <v>0.8</v>
      </c>
      <c r="F33" s="3215" t="s">
        <v>2984</v>
      </c>
      <c r="G33" s="807"/>
      <c r="H33" s="801"/>
      <c r="I33" s="801"/>
    </row>
    <row r="34" spans="1:9" s="808" customFormat="1" ht="19.5" customHeight="1">
      <c r="A34" s="3562"/>
      <c r="B34" s="3558"/>
      <c r="C34" s="805" t="s">
        <v>2985</v>
      </c>
      <c r="D34" s="806"/>
      <c r="E34" s="3216">
        <v>0.6</v>
      </c>
      <c r="F34" s="3215" t="s">
        <v>2986</v>
      </c>
      <c r="G34" s="807"/>
      <c r="H34" s="801"/>
      <c r="I34" s="801"/>
    </row>
    <row r="35" spans="1:9" s="808" customFormat="1" ht="19.5" customHeight="1">
      <c r="A35" s="3562"/>
      <c r="B35" s="3558"/>
      <c r="C35" s="805" t="s">
        <v>2987</v>
      </c>
      <c r="D35" s="806"/>
      <c r="E35" s="3216">
        <v>0.2</v>
      </c>
      <c r="F35" s="3215" t="s">
        <v>2988</v>
      </c>
      <c r="G35" s="807"/>
      <c r="H35" s="801"/>
      <c r="I35" s="801"/>
    </row>
    <row r="36" spans="1:9" s="808" customFormat="1" ht="19.5" customHeight="1">
      <c r="A36" s="3562"/>
      <c r="B36" s="3558"/>
      <c r="C36" s="805" t="s">
        <v>2989</v>
      </c>
      <c r="D36" s="806"/>
      <c r="E36" s="3216">
        <v>0.2</v>
      </c>
      <c r="F36" s="3215" t="s">
        <v>2990</v>
      </c>
      <c r="G36" s="807"/>
      <c r="H36" s="801"/>
      <c r="I36" s="801"/>
    </row>
    <row r="37" spans="1:9" s="808" customFormat="1" ht="19.5" customHeight="1">
      <c r="A37" s="3562"/>
      <c r="B37" s="3556" t="s">
        <v>2991</v>
      </c>
      <c r="C37" s="805" t="s">
        <v>2992</v>
      </c>
      <c r="D37" s="806"/>
      <c r="E37" s="3216">
        <v>0.6</v>
      </c>
      <c r="F37" s="3215" t="s">
        <v>2993</v>
      </c>
      <c r="G37" s="807"/>
      <c r="H37" s="801"/>
      <c r="I37" s="801"/>
    </row>
    <row r="38" spans="1:9" s="808" customFormat="1" ht="19.5" customHeight="1">
      <c r="A38" s="3562"/>
      <c r="B38" s="3558"/>
      <c r="C38" s="805" t="s">
        <v>2994</v>
      </c>
      <c r="D38" s="806"/>
      <c r="E38" s="3216">
        <v>0.6</v>
      </c>
      <c r="F38" s="3215" t="s">
        <v>2995</v>
      </c>
      <c r="G38" s="807"/>
      <c r="H38" s="801"/>
      <c r="I38" s="801"/>
    </row>
    <row r="39" spans="1:9" s="808" customFormat="1" ht="19.5" customHeight="1" thickBot="1">
      <c r="A39" s="3563"/>
      <c r="B39" s="3560"/>
      <c r="C39" s="3217" t="s">
        <v>2996</v>
      </c>
      <c r="D39" s="3218"/>
      <c r="E39" s="3219">
        <v>0.6</v>
      </c>
      <c r="F39" s="3215" t="s">
        <v>2997</v>
      </c>
      <c r="G39" s="807"/>
      <c r="H39" s="801"/>
      <c r="I39" s="801"/>
    </row>
    <row r="40" spans="1:9" s="808" customFormat="1" ht="19.5" customHeight="1" thickBot="1">
      <c r="A40" s="3220" t="s">
        <v>2998</v>
      </c>
      <c r="B40" s="3221" t="s">
        <v>2998</v>
      </c>
      <c r="C40" s="3222" t="s">
        <v>2999</v>
      </c>
      <c r="D40" s="3223"/>
      <c r="E40" s="3224">
        <v>1</v>
      </c>
      <c r="F40" s="3215" t="s">
        <v>3000</v>
      </c>
      <c r="G40" s="807"/>
      <c r="H40" s="801"/>
      <c r="I40" s="801"/>
    </row>
    <row r="41" spans="1:9" s="808" customFormat="1" ht="19.5" customHeight="1">
      <c r="A41" s="3564" t="s">
        <v>3001</v>
      </c>
      <c r="B41" s="3559" t="s">
        <v>3002</v>
      </c>
      <c r="C41" s="3212" t="s">
        <v>3003</v>
      </c>
      <c r="D41" s="3213"/>
      <c r="E41" s="3214">
        <v>1</v>
      </c>
      <c r="F41" s="3215" t="s">
        <v>3004</v>
      </c>
      <c r="G41" s="807"/>
      <c r="H41" s="801"/>
      <c r="I41" s="801"/>
    </row>
    <row r="42" spans="1:9" s="808" customFormat="1" ht="19.5" customHeight="1">
      <c r="A42" s="3565"/>
      <c r="B42" s="3558"/>
      <c r="C42" s="805" t="s">
        <v>3005</v>
      </c>
      <c r="D42" s="806"/>
      <c r="E42" s="3216">
        <v>1</v>
      </c>
      <c r="F42" s="3215" t="s">
        <v>3006</v>
      </c>
      <c r="G42" s="807"/>
      <c r="H42" s="801"/>
      <c r="I42" s="801"/>
    </row>
    <row r="43" spans="1:9" s="808" customFormat="1" ht="19.5" customHeight="1">
      <c r="A43" s="3565"/>
      <c r="B43" s="3557"/>
      <c r="C43" s="805" t="s">
        <v>3007</v>
      </c>
      <c r="D43" s="806"/>
      <c r="E43" s="3216">
        <v>1.5</v>
      </c>
      <c r="F43" s="3215" t="s">
        <v>3008</v>
      </c>
      <c r="G43" s="807"/>
      <c r="H43" s="801"/>
      <c r="I43" s="801"/>
    </row>
    <row r="44" spans="1:9" s="808" customFormat="1" ht="19.5" customHeight="1">
      <c r="A44" s="3565"/>
      <c r="B44" s="3225" t="s">
        <v>2970</v>
      </c>
      <c r="C44" s="805" t="s">
        <v>3009</v>
      </c>
      <c r="D44" s="806"/>
      <c r="E44" s="3216">
        <v>2</v>
      </c>
      <c r="F44" s="3215" t="s">
        <v>3010</v>
      </c>
      <c r="G44" s="807"/>
      <c r="H44" s="801"/>
      <c r="I44" s="801"/>
    </row>
    <row r="45" spans="1:9" s="808" customFormat="1" ht="19.5" customHeight="1">
      <c r="A45" s="3565"/>
      <c r="B45" s="3556" t="s">
        <v>3011</v>
      </c>
      <c r="C45" s="805" t="s">
        <v>3012</v>
      </c>
      <c r="D45" s="806"/>
      <c r="E45" s="3216">
        <v>1</v>
      </c>
      <c r="F45" s="3215" t="s">
        <v>3013</v>
      </c>
      <c r="G45" s="807"/>
      <c r="H45" s="801"/>
      <c r="I45" s="801"/>
    </row>
    <row r="46" spans="1:9" s="808" customFormat="1" ht="19.5" customHeight="1">
      <c r="A46" s="3565"/>
      <c r="B46" s="3558"/>
      <c r="C46" s="805" t="s">
        <v>3014</v>
      </c>
      <c r="D46" s="806"/>
      <c r="E46" s="3216">
        <v>1</v>
      </c>
      <c r="F46" s="3215" t="s">
        <v>3015</v>
      </c>
      <c r="G46" s="807"/>
      <c r="H46" s="801"/>
      <c r="I46" s="801"/>
    </row>
    <row r="47" spans="1:9" s="808" customFormat="1" ht="19.5" customHeight="1">
      <c r="A47" s="3565"/>
      <c r="B47" s="3558"/>
      <c r="C47" s="805" t="s">
        <v>3016</v>
      </c>
      <c r="D47" s="806"/>
      <c r="E47" s="3216">
        <v>1</v>
      </c>
      <c r="F47" s="3215" t="s">
        <v>3017</v>
      </c>
      <c r="G47" s="807"/>
      <c r="H47" s="801"/>
      <c r="I47" s="801"/>
    </row>
    <row r="48" spans="1:9" s="808" customFormat="1" ht="19.5" customHeight="1">
      <c r="A48" s="3565"/>
      <c r="B48" s="3558"/>
      <c r="C48" s="805" t="s">
        <v>3018</v>
      </c>
      <c r="D48" s="806"/>
      <c r="E48" s="3216">
        <v>1</v>
      </c>
      <c r="F48" s="3215" t="s">
        <v>3019</v>
      </c>
      <c r="G48" s="807"/>
      <c r="H48" s="801"/>
      <c r="I48" s="801"/>
    </row>
    <row r="49" spans="1:9" s="808" customFormat="1" ht="19.5" customHeight="1">
      <c r="A49" s="3565"/>
      <c r="B49" s="3558"/>
      <c r="C49" s="805" t="s">
        <v>3020</v>
      </c>
      <c r="D49" s="806"/>
      <c r="E49" s="3216">
        <v>1</v>
      </c>
      <c r="F49" s="3215" t="s">
        <v>3021</v>
      </c>
      <c r="G49" s="807"/>
      <c r="H49" s="801"/>
      <c r="I49" s="801"/>
    </row>
    <row r="50" spans="1:9" s="808" customFormat="1" ht="19.5" customHeight="1">
      <c r="A50" s="3565"/>
      <c r="B50" s="3558"/>
      <c r="C50" s="805" t="s">
        <v>3022</v>
      </c>
      <c r="D50" s="806"/>
      <c r="E50" s="3216">
        <v>1</v>
      </c>
      <c r="F50" s="3215" t="s">
        <v>3023</v>
      </c>
      <c r="G50" s="807"/>
      <c r="H50" s="801"/>
      <c r="I50" s="801"/>
    </row>
    <row r="51" spans="1:9" s="808" customFormat="1" ht="19.5" customHeight="1" thickBot="1">
      <c r="A51" s="3566"/>
      <c r="B51" s="3560"/>
      <c r="C51" s="3217" t="s">
        <v>3024</v>
      </c>
      <c r="D51" s="3218"/>
      <c r="E51" s="3219">
        <v>1</v>
      </c>
      <c r="F51" s="3215"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5">
        <v>1</v>
      </c>
      <c r="B73" s="3556" t="s">
        <v>3027</v>
      </c>
      <c r="C73" s="3205" t="s">
        <v>3028</v>
      </c>
      <c r="D73" s="3205" t="s">
        <v>3029</v>
      </c>
      <c r="E73" s="3226">
        <v>0.2</v>
      </c>
      <c r="F73" s="3225">
        <v>25</v>
      </c>
    </row>
    <row r="74" spans="1:7" s="801" customFormat="1" ht="24">
      <c r="A74" s="3225">
        <v>2</v>
      </c>
      <c r="B74" s="3558"/>
      <c r="C74" s="3205" t="s">
        <v>3030</v>
      </c>
      <c r="D74" s="3205" t="s">
        <v>3031</v>
      </c>
      <c r="E74" s="3226">
        <v>0.2</v>
      </c>
      <c r="F74" s="3225">
        <v>25</v>
      </c>
    </row>
    <row r="75" spans="1:7" s="801" customFormat="1" ht="24">
      <c r="A75" s="3225">
        <v>3</v>
      </c>
      <c r="B75" s="3558"/>
      <c r="C75" s="3205" t="s">
        <v>3032</v>
      </c>
      <c r="D75" s="3205" t="s">
        <v>3033</v>
      </c>
      <c r="E75" s="3226">
        <v>0.2</v>
      </c>
      <c r="F75" s="3225">
        <v>25</v>
      </c>
    </row>
    <row r="76" spans="1:7" s="801" customFormat="1" ht="13.5">
      <c r="A76" s="3225">
        <v>4</v>
      </c>
      <c r="B76" s="3558"/>
      <c r="C76" s="3205" t="s">
        <v>3034</v>
      </c>
      <c r="D76" s="3205" t="s">
        <v>3035</v>
      </c>
      <c r="E76" s="3226">
        <v>0.15</v>
      </c>
      <c r="F76" s="3225">
        <v>20</v>
      </c>
    </row>
    <row r="77" spans="1:7" s="801" customFormat="1" ht="24">
      <c r="A77" s="3225">
        <v>5</v>
      </c>
      <c r="B77" s="3558"/>
      <c r="C77" s="3205" t="s">
        <v>3036</v>
      </c>
      <c r="D77" s="3205" t="s">
        <v>3037</v>
      </c>
      <c r="E77" s="3226">
        <v>0.15</v>
      </c>
      <c r="F77" s="3225">
        <v>20</v>
      </c>
    </row>
    <row r="78" spans="1:7" s="801" customFormat="1" ht="24">
      <c r="A78" s="3225">
        <v>6</v>
      </c>
      <c r="B78" s="3558"/>
      <c r="C78" s="3205" t="s">
        <v>3038</v>
      </c>
      <c r="D78" s="3205" t="s">
        <v>3039</v>
      </c>
      <c r="E78" s="3226">
        <v>0.15</v>
      </c>
      <c r="F78" s="3225">
        <v>20</v>
      </c>
    </row>
    <row r="79" spans="1:7" s="801" customFormat="1" ht="24">
      <c r="A79" s="3225">
        <v>7</v>
      </c>
      <c r="B79" s="3558"/>
      <c r="C79" s="3205" t="s">
        <v>3040</v>
      </c>
      <c r="D79" s="3205" t="s">
        <v>3041</v>
      </c>
      <c r="E79" s="3226">
        <v>0.15</v>
      </c>
      <c r="F79" s="3225">
        <v>20</v>
      </c>
    </row>
    <row r="80" spans="1:7" s="801" customFormat="1" ht="24">
      <c r="A80" s="3225">
        <v>8</v>
      </c>
      <c r="B80" s="3558"/>
      <c r="C80" s="3205" t="s">
        <v>3042</v>
      </c>
      <c r="D80" s="3205" t="s">
        <v>3043</v>
      </c>
      <c r="E80" s="3226">
        <v>0.1</v>
      </c>
      <c r="F80" s="3225">
        <v>15</v>
      </c>
    </row>
    <row r="81" spans="1:6" s="801" customFormat="1" ht="24">
      <c r="A81" s="3225">
        <v>9</v>
      </c>
      <c r="B81" s="3558"/>
      <c r="C81" s="3205" t="s">
        <v>3044</v>
      </c>
      <c r="D81" s="3205" t="s">
        <v>3045</v>
      </c>
      <c r="E81" s="3226">
        <v>0.1</v>
      </c>
      <c r="F81" s="3225">
        <v>15</v>
      </c>
    </row>
    <row r="82" spans="1:6" s="801" customFormat="1" ht="24">
      <c r="A82" s="3225">
        <v>10</v>
      </c>
      <c r="B82" s="3558"/>
      <c r="C82" s="3205" t="s">
        <v>3046</v>
      </c>
      <c r="D82" s="3205" t="s">
        <v>3047</v>
      </c>
      <c r="E82" s="3226">
        <v>0.1</v>
      </c>
      <c r="F82" s="3225">
        <v>15</v>
      </c>
    </row>
    <row r="83" spans="1:6" s="801" customFormat="1" ht="24">
      <c r="A83" s="3225">
        <v>11</v>
      </c>
      <c r="B83" s="3558"/>
      <c r="C83" s="3205" t="s">
        <v>3048</v>
      </c>
      <c r="D83" s="3205" t="s">
        <v>3049</v>
      </c>
      <c r="E83" s="3226">
        <v>0.1</v>
      </c>
      <c r="F83" s="3225">
        <v>15</v>
      </c>
    </row>
    <row r="84" spans="1:6" s="801" customFormat="1" ht="24">
      <c r="A84" s="3225">
        <v>12</v>
      </c>
      <c r="B84" s="3558"/>
      <c r="C84" s="3205" t="s">
        <v>3050</v>
      </c>
      <c r="D84" s="3205" t="s">
        <v>3051</v>
      </c>
      <c r="E84" s="3226">
        <v>0.1</v>
      </c>
      <c r="F84" s="3225">
        <v>15</v>
      </c>
    </row>
    <row r="85" spans="1:6" s="801" customFormat="1" ht="13.5">
      <c r="A85" s="3225">
        <v>13</v>
      </c>
      <c r="B85" s="3558"/>
      <c r="C85" s="3205" t="s">
        <v>3052</v>
      </c>
      <c r="D85" s="3205" t="s">
        <v>3053</v>
      </c>
      <c r="E85" s="3226">
        <v>0.1</v>
      </c>
      <c r="F85" s="3225">
        <v>15</v>
      </c>
    </row>
    <row r="86" spans="1:6" s="801" customFormat="1" ht="13.5">
      <c r="A86" s="3225">
        <v>14</v>
      </c>
      <c r="B86" s="3558"/>
      <c r="C86" s="3205" t="s">
        <v>3054</v>
      </c>
      <c r="D86" s="3205" t="s">
        <v>3055</v>
      </c>
      <c r="E86" s="3226">
        <v>0.1</v>
      </c>
      <c r="F86" s="3225">
        <v>15</v>
      </c>
    </row>
    <row r="87" spans="1:6" s="801" customFormat="1" ht="13.5">
      <c r="A87" s="3225">
        <v>15</v>
      </c>
      <c r="B87" s="3558"/>
      <c r="C87" s="3205" t="s">
        <v>3056</v>
      </c>
      <c r="D87" s="3205" t="s">
        <v>3057</v>
      </c>
      <c r="E87" s="3226">
        <v>0.1</v>
      </c>
      <c r="F87" s="3225">
        <v>15</v>
      </c>
    </row>
    <row r="88" spans="1:6" s="801" customFormat="1" ht="24">
      <c r="A88" s="3225">
        <v>16</v>
      </c>
      <c r="B88" s="3558"/>
      <c r="C88" s="3205" t="s">
        <v>3058</v>
      </c>
      <c r="D88" s="3205" t="s">
        <v>3059</v>
      </c>
      <c r="E88" s="3226">
        <v>0.1</v>
      </c>
      <c r="F88" s="3225">
        <v>15</v>
      </c>
    </row>
    <row r="89" spans="1:6" s="801" customFormat="1" ht="24">
      <c r="A89" s="3225">
        <v>17</v>
      </c>
      <c r="B89" s="3557"/>
      <c r="C89" s="3205" t="s">
        <v>3060</v>
      </c>
      <c r="D89" s="3205" t="s">
        <v>3061</v>
      </c>
      <c r="E89" s="3226">
        <v>0.1</v>
      </c>
      <c r="F89" s="3225">
        <v>15</v>
      </c>
    </row>
    <row r="90" spans="1:6" s="801" customFormat="1" ht="13.5">
      <c r="A90" s="3225">
        <v>18</v>
      </c>
      <c r="B90" s="3556" t="s">
        <v>3062</v>
      </c>
      <c r="C90" s="3205" t="s">
        <v>3063</v>
      </c>
      <c r="D90" s="3205" t="s">
        <v>3064</v>
      </c>
      <c r="E90" s="3226">
        <v>0.2</v>
      </c>
      <c r="F90" s="3225">
        <v>25</v>
      </c>
    </row>
    <row r="91" spans="1:6" s="801" customFormat="1" ht="24">
      <c r="A91" s="3225">
        <v>19</v>
      </c>
      <c r="B91" s="3558"/>
      <c r="C91" s="3205" t="s">
        <v>3065</v>
      </c>
      <c r="D91" s="3205" t="s">
        <v>3066</v>
      </c>
      <c r="E91" s="3226">
        <v>0.2</v>
      </c>
      <c r="F91" s="3225">
        <v>25</v>
      </c>
    </row>
    <row r="92" spans="1:6" s="801" customFormat="1" ht="13.5">
      <c r="A92" s="3225">
        <v>20</v>
      </c>
      <c r="B92" s="3558"/>
      <c r="C92" s="3205" t="s">
        <v>3067</v>
      </c>
      <c r="D92" s="3205" t="s">
        <v>3068</v>
      </c>
      <c r="E92" s="3226">
        <v>0.15</v>
      </c>
      <c r="F92" s="3225">
        <v>20</v>
      </c>
    </row>
    <row r="93" spans="1:6" s="801" customFormat="1" ht="24">
      <c r="A93" s="3225">
        <v>21</v>
      </c>
      <c r="B93" s="3558"/>
      <c r="C93" s="3205" t="s">
        <v>3069</v>
      </c>
      <c r="D93" s="3205" t="s">
        <v>3070</v>
      </c>
      <c r="E93" s="3226">
        <v>0.15</v>
      </c>
      <c r="F93" s="3225">
        <v>20</v>
      </c>
    </row>
    <row r="94" spans="1:6" s="801" customFormat="1" ht="24">
      <c r="A94" s="3225">
        <v>22</v>
      </c>
      <c r="B94" s="3558"/>
      <c r="C94" s="3205" t="s">
        <v>3071</v>
      </c>
      <c r="D94" s="3205" t="s">
        <v>3072</v>
      </c>
      <c r="E94" s="3226">
        <v>0.15</v>
      </c>
      <c r="F94" s="3225">
        <v>20</v>
      </c>
    </row>
    <row r="95" spans="1:6" s="801" customFormat="1" ht="36">
      <c r="A95" s="3225">
        <v>23</v>
      </c>
      <c r="B95" s="3558"/>
      <c r="C95" s="3205" t="s">
        <v>3073</v>
      </c>
      <c r="D95" s="3205" t="s">
        <v>3074</v>
      </c>
      <c r="E95" s="3226">
        <v>0.15</v>
      </c>
      <c r="F95" s="3225">
        <v>20</v>
      </c>
    </row>
    <row r="96" spans="1:6" s="801" customFormat="1" ht="13.5">
      <c r="A96" s="3225">
        <v>24</v>
      </c>
      <c r="B96" s="3558"/>
      <c r="C96" s="3205" t="s">
        <v>3075</v>
      </c>
      <c r="D96" s="3205" t="s">
        <v>3076</v>
      </c>
      <c r="E96" s="3226">
        <v>0.1</v>
      </c>
      <c r="F96" s="3225">
        <v>15</v>
      </c>
    </row>
    <row r="97" spans="1:6" s="801" customFormat="1" ht="24">
      <c r="A97" s="3225">
        <v>25</v>
      </c>
      <c r="B97" s="3558"/>
      <c r="C97" s="3205" t="s">
        <v>3077</v>
      </c>
      <c r="D97" s="3205" t="s">
        <v>3078</v>
      </c>
      <c r="E97" s="3226">
        <v>0.1</v>
      </c>
      <c r="F97" s="3225">
        <v>15</v>
      </c>
    </row>
    <row r="98" spans="1:6" s="801" customFormat="1" ht="24">
      <c r="A98" s="3225">
        <v>26</v>
      </c>
      <c r="B98" s="3558"/>
      <c r="C98" s="3205" t="s">
        <v>3079</v>
      </c>
      <c r="D98" s="3205" t="s">
        <v>3080</v>
      </c>
      <c r="E98" s="3226">
        <v>0.1</v>
      </c>
      <c r="F98" s="3225">
        <v>15</v>
      </c>
    </row>
    <row r="99" spans="1:6" s="801" customFormat="1" ht="24">
      <c r="A99" s="3225">
        <v>27</v>
      </c>
      <c r="B99" s="3558"/>
      <c r="C99" s="3205" t="s">
        <v>3081</v>
      </c>
      <c r="D99" s="3205" t="s">
        <v>3082</v>
      </c>
      <c r="E99" s="3226">
        <v>0.1</v>
      </c>
      <c r="F99" s="3225">
        <v>15</v>
      </c>
    </row>
    <row r="100" spans="1:6" s="801" customFormat="1" ht="24">
      <c r="A100" s="3225">
        <v>28</v>
      </c>
      <c r="B100" s="3558"/>
      <c r="C100" s="3205" t="s">
        <v>3083</v>
      </c>
      <c r="D100" s="3205" t="s">
        <v>3084</v>
      </c>
      <c r="E100" s="3226">
        <v>0.1</v>
      </c>
      <c r="F100" s="3225">
        <v>15</v>
      </c>
    </row>
    <row r="101" spans="1:6" s="801" customFormat="1" ht="24">
      <c r="A101" s="3225">
        <v>29</v>
      </c>
      <c r="B101" s="3558"/>
      <c r="C101" s="3205" t="s">
        <v>3085</v>
      </c>
      <c r="D101" s="3205" t="s">
        <v>3086</v>
      </c>
      <c r="E101" s="3226">
        <v>0.1</v>
      </c>
      <c r="F101" s="3225">
        <v>15</v>
      </c>
    </row>
    <row r="102" spans="1:6" s="801" customFormat="1" ht="24">
      <c r="A102" s="3225">
        <v>30</v>
      </c>
      <c r="B102" s="3558"/>
      <c r="C102" s="3205" t="s">
        <v>3087</v>
      </c>
      <c r="D102" s="3205" t="s">
        <v>3088</v>
      </c>
      <c r="E102" s="3226">
        <v>0.1</v>
      </c>
      <c r="F102" s="3225">
        <v>15</v>
      </c>
    </row>
    <row r="103" spans="1:6" s="801" customFormat="1" ht="24">
      <c r="A103" s="3225">
        <v>31</v>
      </c>
      <c r="B103" s="3558"/>
      <c r="C103" s="3205" t="s">
        <v>3089</v>
      </c>
      <c r="D103" s="3205" t="s">
        <v>3090</v>
      </c>
      <c r="E103" s="3226">
        <v>0.1</v>
      </c>
      <c r="F103" s="3225">
        <v>15</v>
      </c>
    </row>
    <row r="104" spans="1:6" s="801" customFormat="1" ht="24">
      <c r="A104" s="3225">
        <v>32</v>
      </c>
      <c r="B104" s="3558"/>
      <c r="C104" s="3205" t="s">
        <v>3091</v>
      </c>
      <c r="D104" s="3205" t="s">
        <v>3092</v>
      </c>
      <c r="E104" s="3226">
        <v>0.1</v>
      </c>
      <c r="F104" s="3225">
        <v>15</v>
      </c>
    </row>
    <row r="105" spans="1:6" s="801" customFormat="1" ht="24">
      <c r="A105" s="3225">
        <v>33</v>
      </c>
      <c r="B105" s="3558"/>
      <c r="C105" s="3205" t="s">
        <v>3093</v>
      </c>
      <c r="D105" s="3205" t="s">
        <v>3094</v>
      </c>
      <c r="E105" s="3226">
        <v>0.1</v>
      </c>
      <c r="F105" s="3225">
        <v>15</v>
      </c>
    </row>
    <row r="106" spans="1:6" s="801" customFormat="1" ht="24">
      <c r="A106" s="3225">
        <v>34</v>
      </c>
      <c r="B106" s="3557"/>
      <c r="C106" s="3205" t="s">
        <v>3095</v>
      </c>
      <c r="D106" s="3205" t="s">
        <v>3096</v>
      </c>
      <c r="E106" s="3226">
        <v>0.1</v>
      </c>
      <c r="F106" s="3225">
        <v>15</v>
      </c>
    </row>
    <row r="107" spans="1:6" s="801" customFormat="1" ht="24">
      <c r="A107" s="3225">
        <v>35</v>
      </c>
      <c r="B107" s="3556" t="s">
        <v>3097</v>
      </c>
      <c r="C107" s="3225" t="s">
        <v>3098</v>
      </c>
      <c r="D107" s="3205" t="s">
        <v>3099</v>
      </c>
      <c r="E107" s="3226">
        <v>0.15</v>
      </c>
      <c r="F107" s="3225">
        <v>20</v>
      </c>
    </row>
    <row r="108" spans="1:6" s="801" customFormat="1" ht="24">
      <c r="A108" s="3225">
        <v>36</v>
      </c>
      <c r="B108" s="3558"/>
      <c r="C108" s="3225" t="s">
        <v>3100</v>
      </c>
      <c r="D108" s="3205" t="s">
        <v>3101</v>
      </c>
      <c r="E108" s="3226">
        <v>0.15</v>
      </c>
      <c r="F108" s="3225">
        <v>20</v>
      </c>
    </row>
    <row r="109" spans="1:6" s="801" customFormat="1" ht="24">
      <c r="A109" s="3225">
        <v>37</v>
      </c>
      <c r="B109" s="3558"/>
      <c r="C109" s="3225" t="s">
        <v>3102</v>
      </c>
      <c r="D109" s="3205" t="s">
        <v>3103</v>
      </c>
      <c r="E109" s="3226">
        <v>0.15</v>
      </c>
      <c r="F109" s="3225">
        <v>20</v>
      </c>
    </row>
    <row r="110" spans="1:6" s="801" customFormat="1" ht="13.5">
      <c r="A110" s="3225">
        <v>38</v>
      </c>
      <c r="B110" s="3558"/>
      <c r="C110" s="3225" t="s">
        <v>3104</v>
      </c>
      <c r="D110" s="3205" t="s">
        <v>3105</v>
      </c>
      <c r="E110" s="3226">
        <v>0.1</v>
      </c>
      <c r="F110" s="3225">
        <v>15</v>
      </c>
    </row>
    <row r="111" spans="1:6" s="801" customFormat="1" ht="24">
      <c r="A111" s="3225">
        <v>39</v>
      </c>
      <c r="B111" s="3558"/>
      <c r="C111" s="3225" t="s">
        <v>3106</v>
      </c>
      <c r="D111" s="3205" t="s">
        <v>3107</v>
      </c>
      <c r="E111" s="3226">
        <v>0.1</v>
      </c>
      <c r="F111" s="3225">
        <v>15</v>
      </c>
    </row>
    <row r="112" spans="1:6" s="801" customFormat="1" ht="24">
      <c r="A112" s="3225">
        <v>40</v>
      </c>
      <c r="B112" s="3557"/>
      <c r="C112" s="3225" t="s">
        <v>3108</v>
      </c>
      <c r="D112" s="3205" t="s">
        <v>3109</v>
      </c>
      <c r="E112" s="3226">
        <v>0.1</v>
      </c>
      <c r="F112" s="3225">
        <v>15</v>
      </c>
    </row>
    <row r="113" spans="1:6" s="801" customFormat="1" ht="24">
      <c r="A113" s="3225">
        <v>41</v>
      </c>
      <c r="B113" s="3555" t="s">
        <v>3110</v>
      </c>
      <c r="C113" s="3225" t="s">
        <v>3111</v>
      </c>
      <c r="D113" s="3205" t="s">
        <v>3112</v>
      </c>
      <c r="E113" s="3226">
        <v>0.1</v>
      </c>
      <c r="F113" s="3225">
        <v>15</v>
      </c>
    </row>
    <row r="114" spans="1:6" s="801" customFormat="1" ht="13.5">
      <c r="A114" s="3225">
        <v>42</v>
      </c>
      <c r="B114" s="3555"/>
      <c r="C114" s="3225" t="s">
        <v>3113</v>
      </c>
      <c r="D114" s="3205" t="s">
        <v>3114</v>
      </c>
      <c r="E114" s="3226">
        <v>0.1</v>
      </c>
      <c r="F114" s="3225">
        <v>15</v>
      </c>
    </row>
    <row r="115" spans="1:6" s="801" customFormat="1" ht="24">
      <c r="A115" s="3225">
        <v>43</v>
      </c>
      <c r="B115" s="3555"/>
      <c r="C115" s="3225" t="s">
        <v>3115</v>
      </c>
      <c r="D115" s="3205" t="s">
        <v>3116</v>
      </c>
      <c r="E115" s="3226">
        <v>0.1</v>
      </c>
      <c r="F115" s="3225">
        <v>15</v>
      </c>
    </row>
    <row r="116" spans="1:6" s="801" customFormat="1" ht="24">
      <c r="A116" s="3225">
        <v>44</v>
      </c>
      <c r="B116" s="3556" t="s">
        <v>3117</v>
      </c>
      <c r="C116" s="3225" t="s">
        <v>3118</v>
      </c>
      <c r="D116" s="3205" t="s">
        <v>3119</v>
      </c>
      <c r="E116" s="3226">
        <v>0.1</v>
      </c>
      <c r="F116" s="3225">
        <v>15</v>
      </c>
    </row>
    <row r="117" spans="1:6" s="801" customFormat="1" ht="24">
      <c r="A117" s="3225">
        <v>45</v>
      </c>
      <c r="B117" s="3557"/>
      <c r="C117" s="3205" t="s">
        <v>3120</v>
      </c>
      <c r="D117" s="3205" t="s">
        <v>3121</v>
      </c>
      <c r="E117" s="3226">
        <v>0.1</v>
      </c>
      <c r="F117" s="3225">
        <v>15</v>
      </c>
    </row>
    <row r="118" spans="1:6" s="801" customFormat="1" ht="24">
      <c r="A118" s="3225">
        <v>46</v>
      </c>
      <c r="B118" s="3556" t="s">
        <v>3122</v>
      </c>
      <c r="C118" s="3225" t="s">
        <v>3123</v>
      </c>
      <c r="D118" s="3205" t="s">
        <v>3124</v>
      </c>
      <c r="E118" s="3226">
        <v>0.1</v>
      </c>
      <c r="F118" s="3225">
        <v>15</v>
      </c>
    </row>
    <row r="119" spans="1:6" s="801" customFormat="1" ht="24">
      <c r="A119" s="3225">
        <v>47</v>
      </c>
      <c r="B119" s="3557"/>
      <c r="C119" s="3225" t="s">
        <v>3125</v>
      </c>
      <c r="D119" s="3205" t="s">
        <v>3126</v>
      </c>
      <c r="E119" s="3226">
        <v>0.1</v>
      </c>
      <c r="F119" s="3225">
        <v>15</v>
      </c>
    </row>
    <row r="120" spans="1:6" s="801" customFormat="1" ht="24">
      <c r="A120" s="3225">
        <v>48</v>
      </c>
      <c r="B120" s="3556" t="s">
        <v>3127</v>
      </c>
      <c r="C120" s="3225" t="s">
        <v>3128</v>
      </c>
      <c r="D120" s="3205" t="s">
        <v>3129</v>
      </c>
      <c r="E120" s="3226">
        <v>0.1</v>
      </c>
      <c r="F120" s="3225">
        <v>15</v>
      </c>
    </row>
    <row r="121" spans="1:6" s="801" customFormat="1" ht="13.5">
      <c r="A121" s="3225">
        <v>49</v>
      </c>
      <c r="B121" s="3557"/>
      <c r="C121" s="3225" t="s">
        <v>3130</v>
      </c>
      <c r="D121" s="3205" t="s">
        <v>3131</v>
      </c>
      <c r="E121" s="3226">
        <v>0.1</v>
      </c>
      <c r="F121" s="3225">
        <v>15</v>
      </c>
    </row>
    <row r="122" spans="1:6" s="801" customFormat="1" ht="24">
      <c r="A122" s="3225">
        <v>50</v>
      </c>
      <c r="B122" s="3555" t="s">
        <v>3132</v>
      </c>
      <c r="C122" s="3225" t="s">
        <v>3133</v>
      </c>
      <c r="D122" s="3205" t="s">
        <v>3134</v>
      </c>
      <c r="E122" s="3226">
        <v>0.1</v>
      </c>
      <c r="F122" s="3225">
        <v>15</v>
      </c>
    </row>
    <row r="123" spans="1:6" s="801" customFormat="1" ht="24">
      <c r="A123" s="3225">
        <v>51</v>
      </c>
      <c r="B123" s="3555"/>
      <c r="C123" s="3225" t="s">
        <v>3135</v>
      </c>
      <c r="D123" s="3205" t="s">
        <v>3136</v>
      </c>
      <c r="E123" s="3226">
        <v>0.1</v>
      </c>
      <c r="F123" s="3225">
        <v>15</v>
      </c>
    </row>
    <row r="124" spans="1:6" s="801" customFormat="1" ht="24">
      <c r="A124" s="3225">
        <v>52</v>
      </c>
      <c r="B124" s="3555" t="s">
        <v>3137</v>
      </c>
      <c r="C124" s="3225" t="s">
        <v>3138</v>
      </c>
      <c r="D124" s="3205" t="s">
        <v>3139</v>
      </c>
      <c r="E124" s="3226">
        <v>0.1</v>
      </c>
      <c r="F124" s="3225">
        <v>15</v>
      </c>
    </row>
    <row r="125" spans="1:6" s="801" customFormat="1" ht="24">
      <c r="A125" s="3225">
        <v>53</v>
      </c>
      <c r="B125" s="3555"/>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555" t="s">
        <v>3145</v>
      </c>
      <c r="C127" s="3225" t="s">
        <v>3146</v>
      </c>
      <c r="D127" s="3205" t="s">
        <v>3147</v>
      </c>
      <c r="E127" s="3226">
        <v>0.1</v>
      </c>
      <c r="F127" s="3225">
        <v>15</v>
      </c>
    </row>
    <row r="128" spans="1:6" ht="13.5">
      <c r="A128" s="3225">
        <v>56</v>
      </c>
      <c r="B128" s="3555"/>
      <c r="C128" s="3225" t="s">
        <v>3148</v>
      </c>
      <c r="D128" s="3205" t="s">
        <v>3149</v>
      </c>
      <c r="E128" s="3226">
        <v>0.1</v>
      </c>
      <c r="F128" s="3225">
        <v>15</v>
      </c>
    </row>
    <row r="129" spans="1:6" ht="24">
      <c r="A129" s="3225">
        <v>57</v>
      </c>
      <c r="B129" s="3555"/>
      <c r="C129" s="3225" t="s">
        <v>3150</v>
      </c>
      <c r="D129" s="3205" t="s">
        <v>3151</v>
      </c>
      <c r="E129" s="3226">
        <v>0.1</v>
      </c>
      <c r="F129" s="3225">
        <v>15</v>
      </c>
    </row>
    <row r="130" spans="1:6" ht="24">
      <c r="A130" s="3225">
        <v>58</v>
      </c>
      <c r="B130" s="3555" t="s">
        <v>3152</v>
      </c>
      <c r="C130" s="3225" t="s">
        <v>3153</v>
      </c>
      <c r="D130" s="3205" t="s">
        <v>3154</v>
      </c>
      <c r="E130" s="3226">
        <v>0.1</v>
      </c>
      <c r="F130" s="3225">
        <v>15</v>
      </c>
    </row>
    <row r="131" spans="1:6" ht="24">
      <c r="A131" s="3225">
        <v>59</v>
      </c>
      <c r="B131" s="3555"/>
      <c r="C131" s="3225" t="s">
        <v>3155</v>
      </c>
      <c r="D131" s="3205" t="s">
        <v>3156</v>
      </c>
      <c r="E131" s="3226">
        <v>0.1</v>
      </c>
      <c r="F131" s="3225">
        <v>15</v>
      </c>
    </row>
    <row r="132" spans="1:6" ht="24">
      <c r="A132" s="3225">
        <v>60</v>
      </c>
      <c r="B132" s="3556" t="s">
        <v>3157</v>
      </c>
      <c r="C132" s="3225" t="s">
        <v>3158</v>
      </c>
      <c r="D132" s="3205" t="s">
        <v>3159</v>
      </c>
      <c r="E132" s="3226">
        <v>0.1</v>
      </c>
      <c r="F132" s="3225">
        <v>15</v>
      </c>
    </row>
    <row r="133" spans="1:6" ht="24">
      <c r="A133" s="3225">
        <v>61</v>
      </c>
      <c r="B133" s="3557"/>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555" t="s">
        <v>3165</v>
      </c>
      <c r="C135" s="3225" t="s">
        <v>3166</v>
      </c>
      <c r="D135" s="3205" t="s">
        <v>3167</v>
      </c>
      <c r="E135" s="3226">
        <v>0.1</v>
      </c>
      <c r="F135" s="3225">
        <v>15</v>
      </c>
    </row>
    <row r="136" spans="1:6" ht="13.5">
      <c r="A136" s="3225">
        <v>64</v>
      </c>
      <c r="B136" s="3555"/>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2" t="s">
        <v>877</v>
      </c>
      <c r="C1" s="3572"/>
      <c r="D1" s="3572"/>
      <c r="E1" s="3572"/>
      <c r="F1" s="3572"/>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2612</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2613</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2629</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2627</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2626</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2625</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2623</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2621</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2624</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2619</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2618</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2611</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2609</v>
      </c>
      <c r="B22" s="2388">
        <v>439</v>
      </c>
      <c r="C22" s="2388">
        <v>327</v>
      </c>
      <c r="D22" s="2388">
        <f>C22</f>
        <v>327</v>
      </c>
      <c r="E22" s="2388">
        <v>627</v>
      </c>
      <c r="F22" s="2389">
        <v>283</v>
      </c>
      <c r="G22" s="357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2610</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8"/>
      <c r="B4" s="3245" t="s">
        <v>1354</v>
      </c>
      <c r="C4" s="3245"/>
      <c r="D4" s="3245"/>
      <c r="E4" s="1628"/>
    </row>
    <row r="5" spans="1:5" ht="16.5" thickTop="1">
      <c r="A5" s="1626"/>
      <c r="B5" s="3243" t="s">
        <v>1346</v>
      </c>
      <c r="C5" s="1629" t="s">
        <v>1347</v>
      </c>
      <c r="D5" s="940" t="e">
        <f ca="1">结果表!H101</f>
        <v>#REF!</v>
      </c>
      <c r="E5" s="1626"/>
    </row>
    <row r="6" spans="1:5" ht="15.75">
      <c r="A6" s="1626"/>
      <c r="B6" s="3243"/>
      <c r="C6" s="1629" t="s">
        <v>1348</v>
      </c>
      <c r="D6" s="940" t="e">
        <f ca="1">NUMBERSTRING(INT(D5*10000),2)&amp;"元整"</f>
        <v>#REF!</v>
      </c>
      <c r="E6" s="1626"/>
    </row>
    <row r="7" spans="1:5" ht="15.75">
      <c r="A7" s="1626"/>
      <c r="B7" s="3248"/>
      <c r="C7" s="1630" t="s">
        <v>1349</v>
      </c>
      <c r="D7" s="941" t="e">
        <f ca="1">结果表!H102</f>
        <v>#REF!</v>
      </c>
      <c r="E7" s="1626"/>
    </row>
    <row r="8" spans="1:5" ht="15.75">
      <c r="A8" s="1626"/>
      <c r="B8" s="3249" t="str">
        <f>结果表!E103</f>
        <v>2.估价师知悉的法定优先受偿款</v>
      </c>
      <c r="C8" s="1631" t="s">
        <v>1350</v>
      </c>
      <c r="D8" s="941">
        <f>结果表!H103</f>
        <v>0</v>
      </c>
      <c r="E8" s="1626"/>
    </row>
    <row r="9" spans="1:5" ht="15.75">
      <c r="A9" s="1626"/>
      <c r="B9" s="3251"/>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42" t="str">
        <f>结果表!E107</f>
        <v>3.房地产抵押价值</v>
      </c>
      <c r="C13" s="1634" t="s">
        <v>1347</v>
      </c>
      <c r="D13" s="943" t="e">
        <f ca="1">结果表!H107</f>
        <v>#REF!</v>
      </c>
      <c r="E13" s="1626"/>
    </row>
    <row r="14" spans="1:5" ht="15.75">
      <c r="A14" s="1626"/>
      <c r="B14" s="3243"/>
      <c r="C14" s="1629" t="s">
        <v>1348</v>
      </c>
      <c r="D14" s="940" t="e">
        <f ca="1">NUMBERSTRING(INT(D13*10000),2)&amp;"元整"</f>
        <v>#REF!</v>
      </c>
      <c r="E14" s="1626"/>
    </row>
    <row r="15" spans="1:5" ht="15">
      <c r="A15" s="1626"/>
      <c r="B15" s="3248"/>
      <c r="C15" s="1630" t="s">
        <v>1358</v>
      </c>
      <c r="D15" s="949" t="e">
        <f ca="1">结果表!H108</f>
        <v>#REF!</v>
      </c>
      <c r="E15" s="1626"/>
    </row>
    <row r="16" spans="1:5" ht="15">
      <c r="A16" s="1626"/>
      <c r="B16" s="3249" t="str">
        <f>结果表!E109</f>
        <v>——</v>
      </c>
      <c r="C16" s="1634" t="s">
        <v>1359</v>
      </c>
      <c r="D16" s="1635" t="str">
        <f>结果表!H109</f>
        <v>——</v>
      </c>
      <c r="E16" s="1626"/>
    </row>
    <row r="17" spans="1:5" ht="15.75">
      <c r="A17" s="1626"/>
      <c r="B17" s="3250"/>
      <c r="C17" s="1629" t="s">
        <v>1360</v>
      </c>
      <c r="D17" s="940" t="e">
        <f>NUMBERSTRING(INT(D16*10000),2)&amp;"元整"</f>
        <v>#VALUE!</v>
      </c>
      <c r="E17" s="1626"/>
    </row>
    <row r="18" spans="1:5" ht="15">
      <c r="A18" s="1626"/>
      <c r="B18" s="3251"/>
      <c r="C18" s="1630" t="s">
        <v>1349</v>
      </c>
      <c r="D18" s="949" t="str">
        <f>结果表!H110</f>
        <v>——</v>
      </c>
      <c r="E18" s="1626"/>
    </row>
    <row r="19" spans="1:5" ht="15.75">
      <c r="A19" s="1626"/>
      <c r="B19" s="3242" t="str">
        <f>结果表!E111</f>
        <v>——</v>
      </c>
      <c r="C19" s="1634" t="s">
        <v>1347</v>
      </c>
      <c r="D19" s="941" t="str">
        <f>结果表!H111</f>
        <v>——</v>
      </c>
      <c r="E19" s="1626"/>
    </row>
    <row r="20" spans="1:5" ht="15.75">
      <c r="A20" s="1626"/>
      <c r="B20" s="3243"/>
      <c r="C20" s="1629" t="s">
        <v>1360</v>
      </c>
      <c r="D20" s="940" t="e">
        <f>NUMBERSTRING(INT(D19*10000),2)&amp;"元整"</f>
        <v>#VALUE!</v>
      </c>
      <c r="E20" s="1626"/>
    </row>
    <row r="21" spans="1:5" ht="15.75" thickBot="1">
      <c r="A21" s="1626"/>
      <c r="B21" s="3244"/>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K38" sqref="K38"/>
      <selection pane="bottomLeft" activeCell="S25" sqref="S25:S2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81" t="s">
        <v>2583</v>
      </c>
      <c r="D1" s="3582"/>
      <c r="E1" s="3582"/>
      <c r="F1" s="3582"/>
      <c r="G1" s="3582"/>
      <c r="H1" s="3582"/>
      <c r="I1" s="3582"/>
      <c r="J1" s="3582"/>
      <c r="K1" s="3582"/>
      <c r="L1" s="3582"/>
      <c r="M1" s="3582"/>
      <c r="N1" s="3582"/>
      <c r="O1" s="3582"/>
      <c r="P1" s="3582"/>
      <c r="Q1" s="3582"/>
      <c r="R1" s="3582"/>
      <c r="S1" s="3583"/>
      <c r="T1" s="1095" t="s">
        <v>2584</v>
      </c>
    </row>
    <row r="2" spans="1:45" s="663" customFormat="1">
      <c r="A2" s="1096"/>
      <c r="B2" s="659" t="s">
        <v>2585</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3606" t="s">
        <v>3256</v>
      </c>
      <c r="D17" s="3606" t="s">
        <v>3257</v>
      </c>
      <c r="E17" s="3607" t="s">
        <v>3258</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102</v>
      </c>
      <c r="D18" s="1134">
        <v>100</v>
      </c>
      <c r="E18" s="1134">
        <v>98</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6" t="s">
        <v>2594</v>
      </c>
      <c r="E19" s="1474"/>
      <c r="F19" s="1474"/>
      <c r="G19" s="1474"/>
      <c r="H19" s="1170"/>
      <c r="I19" s="164"/>
      <c r="J19" s="164"/>
      <c r="K19" s="164"/>
      <c r="L19" s="164"/>
      <c r="M19" s="164"/>
      <c r="N19" s="164"/>
      <c r="O19" s="164"/>
      <c r="P19" s="164"/>
      <c r="Q19" s="164"/>
      <c r="R19" s="727"/>
      <c r="S19" s="134"/>
    </row>
    <row r="20" spans="1:45" ht="16.5" thickBot="1">
      <c r="A20" s="671" t="s">
        <v>2595</v>
      </c>
      <c r="B20" s="300">
        <f ca="1">IF(D20="——",S22,S22-F20)</f>
        <v>128276</v>
      </c>
      <c r="C20" s="164"/>
      <c r="D20" s="2317" t="s">
        <v>70</v>
      </c>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f ca="1">ROUND(B20*10000/B22,0)</f>
        <v>51589</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24865.040000000005</v>
      </c>
      <c r="C22" s="3578" t="s">
        <v>33</v>
      </c>
      <c r="D22" s="3579"/>
      <c r="E22" s="3579"/>
      <c r="F22" s="3579"/>
      <c r="G22" s="3579"/>
      <c r="H22" s="3579"/>
      <c r="I22" s="3579"/>
      <c r="J22" s="3579"/>
      <c r="K22" s="3579"/>
      <c r="L22" s="3579"/>
      <c r="M22" s="3579"/>
      <c r="N22" s="3579"/>
      <c r="O22" s="3579"/>
      <c r="P22" s="3579"/>
      <c r="Q22" s="3580"/>
      <c r="R22" s="672">
        <f ca="1">ROUND(S22*10000/B22,0)</f>
        <v>51589</v>
      </c>
      <c r="S22" s="24">
        <f ca="1">SUM(S24:S10000)</f>
        <v>128276</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604" t="s">
        <v>3255</v>
      </c>
      <c r="B24" s="674">
        <f>'[3]数据-基础表'!I27</f>
        <v>1506.52</v>
      </c>
      <c r="C24" s="2990">
        <v>1</v>
      </c>
      <c r="D24" s="2991"/>
      <c r="E24" s="2990">
        <v>1</v>
      </c>
      <c r="F24" s="2991"/>
      <c r="G24" s="2990">
        <v>1</v>
      </c>
      <c r="H24" s="2991"/>
      <c r="I24" s="2990">
        <v>1</v>
      </c>
      <c r="J24" s="2991"/>
      <c r="K24" s="2990">
        <v>1</v>
      </c>
      <c r="L24" s="2991"/>
      <c r="M24" s="2990">
        <v>1</v>
      </c>
      <c r="N24" s="2991"/>
      <c r="O24" s="2990">
        <v>1</v>
      </c>
      <c r="P24" s="676" t="s">
        <v>3253</v>
      </c>
      <c r="Q24" s="2990">
        <v>1</v>
      </c>
      <c r="R24" s="677">
        <f ca="1">结果表!G20</f>
        <v>50448</v>
      </c>
      <c r="S24" s="675">
        <f t="shared" ref="S24:S54" ca="1" si="11">ROUND(R24*B24/10000,0)</f>
        <v>7600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'[3]数据-基础表'!C24</f>
        <v>101</v>
      </c>
      <c r="B25" s="3605">
        <f>'[3]数据-基础表'!I24</f>
        <v>931.44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3253</v>
      </c>
      <c r="Q25" s="24">
        <f>(SUMIF($17:$17,P25,$18:$18)-SUMIF($17:$17,$P$24,$18:$18)+100)/100</f>
        <v>1</v>
      </c>
      <c r="R25" s="672">
        <f ca="1">IF(B25="",0,ROUND($R$24*C25*E25*G25*I25*K25*M25*O25*Q25,0))</f>
        <v>50448</v>
      </c>
      <c r="S25" s="322">
        <f t="shared" ca="1" si="11"/>
        <v>4699</v>
      </c>
    </row>
    <row r="26" spans="1:45">
      <c r="A26" s="155">
        <f>'[3]数据-基础表'!C25</f>
        <v>201</v>
      </c>
      <c r="B26" s="3605">
        <f>'[3]数据-基础表'!I25</f>
        <v>950.88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3253</v>
      </c>
      <c r="Q26" s="24">
        <f t="shared" ref="Q26:Q89" si="19">(SUMIF($17:$17,P26,$18:$18)-SUMIF($17:$17,$P$24,$18:$18)+100)/100</f>
        <v>1</v>
      </c>
      <c r="R26" s="672">
        <f t="shared" ref="R26:R89" ca="1" si="20">IF(B26="",0,ROUND($R$24*C26*E26*G26*I26*K26*M26*O26*Q26,0))</f>
        <v>50448</v>
      </c>
      <c r="S26" s="322">
        <f t="shared" ca="1" si="11"/>
        <v>4797</v>
      </c>
    </row>
    <row r="27" spans="1:45">
      <c r="A27" s="155">
        <f>'[3]数据-基础表'!C26</f>
        <v>301</v>
      </c>
      <c r="B27" s="3605">
        <f>'[3]数据-基础表'!I26</f>
        <v>630.82000000000005</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3253</v>
      </c>
      <c r="Q27" s="24">
        <f t="shared" si="19"/>
        <v>1</v>
      </c>
      <c r="R27" s="672">
        <f t="shared" ca="1" si="20"/>
        <v>50448</v>
      </c>
      <c r="S27" s="322">
        <f t="shared" ca="1" si="11"/>
        <v>3182</v>
      </c>
    </row>
    <row r="28" spans="1:45">
      <c r="A28" s="155">
        <f>'[3]数据-基础表'!C28</f>
        <v>601</v>
      </c>
      <c r="B28" s="3605">
        <f>'[3]数据-基础表'!I28</f>
        <v>1506.52</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t="s">
        <v>3253</v>
      </c>
      <c r="Q28" s="24">
        <f t="shared" si="19"/>
        <v>1</v>
      </c>
      <c r="R28" s="672">
        <f t="shared" ca="1" si="20"/>
        <v>50448</v>
      </c>
      <c r="S28" s="322">
        <f t="shared" ca="1" si="11"/>
        <v>7600</v>
      </c>
    </row>
    <row r="29" spans="1:45">
      <c r="A29" s="155">
        <f>'[3]数据-基础表'!C29</f>
        <v>701</v>
      </c>
      <c r="B29" s="3605">
        <f>'[3]数据-基础表'!I29</f>
        <v>1506.52</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t="s">
        <v>3251</v>
      </c>
      <c r="Q29" s="24">
        <f t="shared" si="19"/>
        <v>1.02</v>
      </c>
      <c r="R29" s="672">
        <f t="shared" ca="1" si="20"/>
        <v>51457</v>
      </c>
      <c r="S29" s="322">
        <f t="shared" ca="1" si="11"/>
        <v>7752</v>
      </c>
    </row>
    <row r="30" spans="1:45">
      <c r="A30" s="155">
        <f>'[3]数据-基础表'!C30</f>
        <v>801</v>
      </c>
      <c r="B30" s="3605">
        <f>'[3]数据-基础表'!I30</f>
        <v>1506.52</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t="s">
        <v>3251</v>
      </c>
      <c r="Q30" s="24">
        <f t="shared" si="19"/>
        <v>1.02</v>
      </c>
      <c r="R30" s="672">
        <f t="shared" ca="1" si="20"/>
        <v>51457</v>
      </c>
      <c r="S30" s="322">
        <f t="shared" ca="1" si="11"/>
        <v>7752</v>
      </c>
    </row>
    <row r="31" spans="1:45">
      <c r="A31" s="155">
        <f>'[3]数据-基础表'!C31</f>
        <v>901</v>
      </c>
      <c r="B31" s="3605">
        <f>'[3]数据-基础表'!I31</f>
        <v>1506.52</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t="s">
        <v>3251</v>
      </c>
      <c r="Q31" s="24">
        <f t="shared" si="19"/>
        <v>1.02</v>
      </c>
      <c r="R31" s="672">
        <f t="shared" ca="1" si="20"/>
        <v>51457</v>
      </c>
      <c r="S31" s="322">
        <f t="shared" ca="1" si="11"/>
        <v>7752</v>
      </c>
    </row>
    <row r="32" spans="1:45">
      <c r="A32" s="155">
        <f>'[3]数据-基础表'!C32</f>
        <v>1001</v>
      </c>
      <c r="B32" s="3605">
        <f>'[3]数据-基础表'!I32</f>
        <v>1506.52</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t="s">
        <v>3251</v>
      </c>
      <c r="Q32" s="24">
        <f t="shared" si="19"/>
        <v>1.02</v>
      </c>
      <c r="R32" s="672">
        <f t="shared" ca="1" si="20"/>
        <v>51457</v>
      </c>
      <c r="S32" s="322">
        <f t="shared" ca="1" si="11"/>
        <v>7752</v>
      </c>
    </row>
    <row r="33" spans="1:19">
      <c r="A33" s="155">
        <f>'[3]数据-基础表'!C33</f>
        <v>1101</v>
      </c>
      <c r="B33" s="3605">
        <f>'[3]数据-基础表'!I33</f>
        <v>1506.52</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t="s">
        <v>3251</v>
      </c>
      <c r="Q33" s="24">
        <f t="shared" si="19"/>
        <v>1.02</v>
      </c>
      <c r="R33" s="672">
        <f t="shared" ca="1" si="20"/>
        <v>51457</v>
      </c>
      <c r="S33" s="322">
        <f t="shared" ca="1" si="11"/>
        <v>7752</v>
      </c>
    </row>
    <row r="34" spans="1:19">
      <c r="A34" s="155">
        <f>'[3]数据-基础表'!C34</f>
        <v>1201</v>
      </c>
      <c r="B34" s="3605">
        <f>'[3]数据-基础表'!I34</f>
        <v>1506.52</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t="s">
        <v>3251</v>
      </c>
      <c r="Q34" s="24">
        <f t="shared" si="19"/>
        <v>1.02</v>
      </c>
      <c r="R34" s="672">
        <f t="shared" ca="1" si="20"/>
        <v>51457</v>
      </c>
      <c r="S34" s="322">
        <f t="shared" ca="1" si="11"/>
        <v>7752</v>
      </c>
    </row>
    <row r="35" spans="1:19">
      <c r="A35" s="155">
        <f>'[3]数据-基础表'!C35</f>
        <v>1301</v>
      </c>
      <c r="B35" s="3605">
        <f>'[3]数据-基础表'!I35</f>
        <v>1506.52</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t="s">
        <v>3251</v>
      </c>
      <c r="Q35" s="24">
        <f t="shared" si="19"/>
        <v>1.02</v>
      </c>
      <c r="R35" s="672">
        <f t="shared" ca="1" si="20"/>
        <v>51457</v>
      </c>
      <c r="S35" s="322">
        <f t="shared" ca="1" si="11"/>
        <v>7752</v>
      </c>
    </row>
    <row r="36" spans="1:19">
      <c r="A36" s="155">
        <f>'[3]数据-基础表'!C36</f>
        <v>1401</v>
      </c>
      <c r="B36" s="3605">
        <f>'[3]数据-基础表'!I36</f>
        <v>1506.52</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t="s">
        <v>3249</v>
      </c>
      <c r="Q36" s="24">
        <f t="shared" si="19"/>
        <v>1.04</v>
      </c>
      <c r="R36" s="672">
        <f t="shared" ca="1" si="20"/>
        <v>52466</v>
      </c>
      <c r="S36" s="322">
        <f t="shared" ca="1" si="11"/>
        <v>7904</v>
      </c>
    </row>
    <row r="37" spans="1:19">
      <c r="A37" s="155">
        <f>'[3]数据-基础表'!C37</f>
        <v>1501</v>
      </c>
      <c r="B37" s="3605">
        <f>'[3]数据-基础表'!I37</f>
        <v>1506.52</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t="s">
        <v>3249</v>
      </c>
      <c r="Q37" s="24">
        <f t="shared" si="19"/>
        <v>1.04</v>
      </c>
      <c r="R37" s="672">
        <f t="shared" ca="1" si="20"/>
        <v>52466</v>
      </c>
      <c r="S37" s="322">
        <f t="shared" ca="1" si="11"/>
        <v>7904</v>
      </c>
    </row>
    <row r="38" spans="1:19">
      <c r="A38" s="155">
        <f>'[3]数据-基础表'!C38</f>
        <v>1601</v>
      </c>
      <c r="B38" s="3605">
        <f>'[3]数据-基础表'!I38</f>
        <v>1506.52</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t="s">
        <v>3249</v>
      </c>
      <c r="Q38" s="24">
        <f t="shared" si="19"/>
        <v>1.04</v>
      </c>
      <c r="R38" s="672">
        <f t="shared" ca="1" si="20"/>
        <v>52466</v>
      </c>
      <c r="S38" s="322">
        <f t="shared" ca="1" si="11"/>
        <v>7904</v>
      </c>
    </row>
    <row r="39" spans="1:19">
      <c r="A39" s="155">
        <f>'[3]数据-基础表'!C39</f>
        <v>1701</v>
      </c>
      <c r="B39" s="3605">
        <f>'[3]数据-基础表'!I39</f>
        <v>1506.52</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t="s">
        <v>3249</v>
      </c>
      <c r="Q39" s="24">
        <f t="shared" si="19"/>
        <v>1.04</v>
      </c>
      <c r="R39" s="672">
        <f t="shared" ca="1" si="20"/>
        <v>52466</v>
      </c>
      <c r="S39" s="322">
        <f t="shared" ca="1" si="11"/>
        <v>7904</v>
      </c>
    </row>
    <row r="40" spans="1:19">
      <c r="A40" s="155">
        <f>'[3]数据-基础表'!C40</f>
        <v>1801</v>
      </c>
      <c r="B40" s="3605">
        <f>'[3]数据-基础表'!I40</f>
        <v>1383.57</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t="s">
        <v>3249</v>
      </c>
      <c r="Q40" s="24">
        <f t="shared" si="19"/>
        <v>1.04</v>
      </c>
      <c r="R40" s="672">
        <f t="shared" ca="1" si="20"/>
        <v>52466</v>
      </c>
      <c r="S40" s="322">
        <f t="shared" ca="1" si="11"/>
        <v>7259</v>
      </c>
    </row>
    <row r="41" spans="1:19">
      <c r="A41" s="155">
        <f>'[3]数据-基础表'!C41</f>
        <v>1901</v>
      </c>
      <c r="B41" s="3605">
        <f>'[3]数据-基础表'!I41</f>
        <v>1383.57</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t="s">
        <v>3249</v>
      </c>
      <c r="Q41" s="24">
        <f t="shared" si="19"/>
        <v>1.04</v>
      </c>
      <c r="R41" s="672">
        <f t="shared" ca="1" si="20"/>
        <v>52466</v>
      </c>
      <c r="S41" s="322">
        <f t="shared" ca="1" si="11"/>
        <v>7259</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0.02</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0.02</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0.02</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0.02</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0.02</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0.02</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0.02</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0.02</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0.02</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0.02</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0.02</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0.02</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0.02</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0.02</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0.02</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0.02</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0.02</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0.02</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0.02</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0.02</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0.02</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0.02</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0.02</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0.02</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0.02</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0.02</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0.02</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0.02</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0.02</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0.02</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0.02</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0.02</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0.02</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0.02</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0.02</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0.02</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0.02</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0.02</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0.02</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0.02</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0.02</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0.02</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0.02</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0.02</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0.02</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0.02</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0.02</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0.02</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0.02</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0.02</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0.02</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0.02</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0.02</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0.02</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0.02</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0.02</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0.02</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0.02</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0.02</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0.02</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0.02</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0.02</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0.02</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0.02</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0.02</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0.02</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0.02</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0.02</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0.02</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0.02</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0.02</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0.02</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0.02</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0.02</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0.02</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0.02</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0.02</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0.02</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0.02</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0.02</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0.02</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0.02</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0.02</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0.02</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0.02</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0.02</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0.02</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0.02</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0.02</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0.02</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0.02</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0.02</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0.02</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0.02</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0.02</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0.02</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0.02</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0.02</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0.02</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0.02</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0.02</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0.02</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0.02</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0.02</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0.02</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0.02</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0.02</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0.02</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0.02</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0.02</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0.02</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0.02</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0.02</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0.02</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0.02</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0.02</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0.02</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0.02</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0.02</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0.02</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0.02</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0.02</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0.02</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0.02</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0.02</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0.02</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0.02</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0.02</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0.02</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0.02</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0.02</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0.02</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0.02</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0.02</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0.02</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0.02</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0.02</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0.02</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0.02</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0.02</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0.02</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0.02</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0.02</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0.02</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0.02</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0.02</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0.02</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0.02</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0.02</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0.02</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0.02</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0.02</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0.02</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0.02</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0.02</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0.02</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0.02</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0.02</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0.02</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0.02</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0.02</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0.02</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0.02</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0.02</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0.02</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0.02</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0.02</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0.02</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0.02</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0.02</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0.02</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0.02</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0.02</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0.02</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0.02</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0.02</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0.02</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0.02</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0.02</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0.02</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0.02</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0.02</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0.02</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0.02</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0.02</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0.02</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0.02</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0.02</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0.02</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0.02</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0.02</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0.02</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0.02</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0.02</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0.02</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0.02</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0.02</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0.02</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0.02</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0.02</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0.02</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0.02</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0.02</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0.02</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0.02</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0.02</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0.02</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0.02</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0.02</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0.02</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0.02</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0.02</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0.02</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0.02</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0.02</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0.02</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0.02</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0.02</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0.02</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0.02</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0.02</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0.02</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0.02</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0.02</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0.02</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0.02</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0.02</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0.02</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0.02</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0.02</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0.02</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0.02</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0.02</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0.02</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0.02</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0.02</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0.02</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0.02</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0.02</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0.02</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0.02</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0.02</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0.02</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0.02</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0.02</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0.02</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0.02</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0.02</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0.02</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0.02</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0.02</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0.02</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0.02</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0.02</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0.02</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0.02</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0.02</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0.02</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0.02</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0.02</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0.02</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0.02</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0.02</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0.02</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0.02</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0.02</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0.02</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0.02</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0.02</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0.02</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0.02</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0.02</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0.02</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0.02</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0.02</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0.02</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0.02</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0.02</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0.02</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0.02</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0.02</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0.02</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0.02</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0.02</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0.02</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0.02</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0.02</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0.02</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0.02</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0.02</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0.02</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0.02</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0.02</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0.02</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0.02</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0.02</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0.02</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0.02</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0.02</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0.02</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0.02</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0.02</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0.02</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0.02</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0.02</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0.02</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0.02</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0.02</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0.02</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0.02</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0.02</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0.02</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0.02</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0.02</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0.02</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0.02</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0.02</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0.02</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0.02</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0.02</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0.02</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0.02</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0.02</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0.02</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0.02</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0.02</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0.02</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0.02</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0.02</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0.02</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0.02</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0.02</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0.02</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0.02</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0.02</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0.02</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0.02</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0.02</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0.02</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0.02</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0.02</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0.02</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0.02</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0.02</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0.02</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0.02</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0.02</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0.02</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0.02</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0.02</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0.02</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0.02</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0.02</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0.02</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0.02</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0.02</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0.02</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0.02</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0.02</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0.02</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0.02</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0.02</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0.02</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0.02</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0.02</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0.02</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0.02</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0.02</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0.02</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0.02</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0.02</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0.02</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0.02</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0.02</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0.02</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0.02</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0.02</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0.02</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0.02</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0.02</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0.02</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0.02</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0.02</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0.02</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0.02</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0.02</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0.02</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0.02</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0.02</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0.02</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0.02</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0.02</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0.02</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0.02</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0.02</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0.02</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0.02</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0.02</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0.02</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0.02</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0.02</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0.02</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0.02</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0.02</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0.02</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0.02</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0.02</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0.02</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0.02</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0.02</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0.02</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0.02</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0.02</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0.02</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0.02</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0.02</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0.02</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0.02</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0.02</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0.02</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0.02</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0.02</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0.02</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0.02</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0.02</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0.02</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0.02</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0.02</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0.02</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0.02</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0.02</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0.02</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0.02</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0.02</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0.02</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0.02</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0.02</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0.02</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0.02</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0.02</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0.02</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0.02</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0.02</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0.02</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0.02</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0.02</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0.02</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0.02</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0.02</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0.02</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0.02</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0.02</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0.02</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0.02</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0.02</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0.02</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0.02</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0.02</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0.02</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0.02</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0.02</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0.02</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0.02</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0.02</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0.02</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0.02</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0.02</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0.02</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0.02</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0.02</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0.02</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0.02</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0.02</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0.02</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0.02</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0.02</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0.02</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0.02</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0.02</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0.02</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0.02</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0.02</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0.02</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31258</v>
      </c>
      <c r="C2" s="2" t="s">
        <v>133</v>
      </c>
      <c r="D2" s="205"/>
      <c r="E2" s="205"/>
      <c r="F2" s="205"/>
      <c r="G2" s="205"/>
    </row>
    <row r="3" spans="1:7" s="206" customFormat="1" ht="18" customHeight="1" thickBot="1">
      <c r="A3" s="209" t="s">
        <v>85</v>
      </c>
      <c r="B3" s="210">
        <f ca="1">ROUND(B2*10000/'数据-汇总表'!E3,0)</f>
        <v>12571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497</v>
      </c>
      <c r="D10" s="935">
        <f>'数据-汇总表'!E6</f>
        <v>24865.040000000005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497</v>
      </c>
      <c r="D19" s="939">
        <f>'数据-汇总表'!E3</f>
        <v>24865.040000000005</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79"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6">
        <f ca="1">ROUND(SUM(C23:C25),0)</f>
        <v>1806</v>
      </c>
      <c r="D22" s="241">
        <f ca="1">C26</f>
        <v>8.0000000000000004E-4</v>
      </c>
      <c r="E22" s="242" t="s">
        <v>126</v>
      </c>
      <c r="F22" s="243">
        <f ca="1">'数据-取费表'!B40</f>
        <v>4.1499999999999995E-2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1746</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42</v>
      </c>
      <c r="D24" s="244"/>
      <c r="E24" s="244"/>
      <c r="F24" s="245"/>
      <c r="G24" s="246" t="s">
        <v>109</v>
      </c>
    </row>
    <row r="25" spans="1:7" s="220" customFormat="1" ht="24">
      <c r="A25" s="869" t="s">
        <v>612</v>
      </c>
      <c r="B25" s="221" t="s">
        <v>845</v>
      </c>
      <c r="C25" s="1217">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4306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4306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29984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1205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678</v>
      </c>
      <c r="D34" s="223"/>
      <c r="E34" s="226"/>
      <c r="F34" s="263">
        <f>IF('数据-取费表'!B24=0,1,'数据-取费表'!N16)</f>
        <v>1</v>
      </c>
      <c r="G34" s="225" t="s">
        <v>116</v>
      </c>
    </row>
    <row r="35" spans="1:7" ht="13.5" customHeight="1">
      <c r="A35" s="869" t="s">
        <v>615</v>
      </c>
      <c r="B35" s="221" t="s">
        <v>60</v>
      </c>
      <c r="C35" s="226">
        <f>ROUND(C34*F35,0)</f>
        <v>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497</v>
      </c>
      <c r="D37" s="223">
        <f>'数据-汇总表'!E3</f>
        <v>24865.040000000005</v>
      </c>
      <c r="E37" s="255">
        <f>'数据-取费表'!B35</f>
        <v>200</v>
      </c>
      <c r="F37" s="265"/>
      <c r="G37" s="267" t="s">
        <v>119</v>
      </c>
    </row>
    <row r="38" spans="1:7" ht="13.5" customHeight="1">
      <c r="A38" s="869" t="s">
        <v>618</v>
      </c>
      <c r="B38" s="221" t="s">
        <v>63</v>
      </c>
      <c r="C38" s="226">
        <f>ROUND(C34*F38,0)</f>
        <v>10</v>
      </c>
      <c r="D38" s="226"/>
      <c r="E38" s="226"/>
      <c r="F38" s="265">
        <f>'数据-取费表'!B36</f>
        <v>1.4999999999999999E-2</v>
      </c>
      <c r="G38" s="225" t="s">
        <v>117</v>
      </c>
    </row>
    <row r="39" spans="1:7" s="220" customFormat="1" ht="13.5" customHeight="1">
      <c r="A39" s="866" t="s">
        <v>602</v>
      </c>
      <c r="B39" s="216" t="s">
        <v>104</v>
      </c>
      <c r="C39" s="238">
        <f>ROUND(C33*F20,0)</f>
        <v>24</v>
      </c>
      <c r="D39" s="238"/>
      <c r="E39" s="238"/>
      <c r="F39" s="239"/>
      <c r="G39" s="1179"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51</v>
      </c>
      <c r="D41" s="241">
        <f ca="1">C44</f>
        <v>8.0000000000000004E-4</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50</v>
      </c>
      <c r="D42" s="244"/>
      <c r="E42" s="244"/>
      <c r="F42" s="245"/>
      <c r="G42" s="3430" t="s">
        <v>121</v>
      </c>
    </row>
    <row r="43" spans="1:7" ht="13.5" customHeight="1">
      <c r="A43" s="869" t="s">
        <v>611</v>
      </c>
      <c r="B43" s="221" t="s">
        <v>851</v>
      </c>
      <c r="C43" s="244">
        <f ca="1">ROUND(IF('数据-取费表'!B22&lt;=1,C39*F22*'数据-取费表'!B21/2,C39*(POWER((1+F22),'数据-取费表'!B21/2)-1)),0)</f>
        <v>1</v>
      </c>
      <c r="D43" s="244"/>
      <c r="E43" s="244"/>
      <c r="F43" s="245"/>
      <c r="G43" s="3431"/>
    </row>
    <row r="44" spans="1:7" ht="13.5" customHeight="1">
      <c r="A44" s="869" t="s">
        <v>612</v>
      </c>
      <c r="B44" s="221" t="s">
        <v>853</v>
      </c>
      <c r="C44" s="244">
        <f ca="1">ROUND(IF('数据-取费表'!B22&lt;=1,C40*F22*'数据-取费表'!B21/2,C40*(POWER((1+F22),'数据-取费表'!B21/2)-1)),4)</f>
        <v>8.0000000000000004E-4</v>
      </c>
      <c r="D44" s="244"/>
      <c r="E44" s="244"/>
      <c r="F44" s="245"/>
      <c r="G44" s="3432"/>
    </row>
    <row r="45" spans="1:7" s="220" customFormat="1" ht="13.5" customHeight="1">
      <c r="A45" s="866" t="s">
        <v>605</v>
      </c>
      <c r="B45" s="250" t="s">
        <v>112</v>
      </c>
      <c r="C45" s="251">
        <f>C46</f>
        <v>246</v>
      </c>
      <c r="D45" s="241">
        <f>C47</f>
        <v>4.0000000000000001E-3</v>
      </c>
      <c r="E45" s="242" t="s">
        <v>129</v>
      </c>
      <c r="F45" s="252"/>
      <c r="G45" s="253" t="s">
        <v>859</v>
      </c>
    </row>
    <row r="46" spans="1:7" s="220" customFormat="1" ht="13.5" customHeight="1">
      <c r="A46" s="869" t="s">
        <v>613</v>
      </c>
      <c r="B46" s="254" t="s">
        <v>852</v>
      </c>
      <c r="C46" s="255">
        <f>ROUND((C33+C39)*F27,0)</f>
        <v>246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1655</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1274</v>
      </c>
      <c r="D51" s="238"/>
      <c r="E51" s="238"/>
      <c r="F51" s="270"/>
      <c r="G51" s="240" t="s">
        <v>64</v>
      </c>
    </row>
    <row r="52" spans="1:7" s="214" customFormat="1" ht="16.5" thickBot="1">
      <c r="A52" s="271" t="s">
        <v>65</v>
      </c>
      <c r="B52" s="272"/>
      <c r="C52" s="273">
        <f ca="1">C31+C51</f>
        <v>31258</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658</v>
      </c>
      <c r="B1" s="358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44805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2813</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944" t="s">
        <v>1362</v>
      </c>
      <c r="E3" s="944" t="s">
        <v>1368</v>
      </c>
      <c r="F3" s="944" t="s">
        <v>1362</v>
      </c>
      <c r="G3" s="944" t="s">
        <v>1363</v>
      </c>
      <c r="H3" s="944" t="s">
        <v>1362</v>
      </c>
      <c r="I3" s="944" t="s">
        <v>1363</v>
      </c>
    </row>
    <row r="4" spans="1:9" ht="15">
      <c r="A4" s="1640" t="str">
        <f>项目基本情况!S2</f>
        <v>北京市房地产</v>
      </c>
      <c r="B4" s="944">
        <f>项目基本情况!C17</f>
        <v>24865.040000000005</v>
      </c>
      <c r="C4" s="944">
        <f>项目基本情况!C18</f>
        <v>1899.7</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56" t="s">
        <v>1364</v>
      </c>
      <c r="B5" s="3256"/>
      <c r="C5" s="3256"/>
      <c r="D5" s="3257" t="e">
        <f ca="1">结果表!D119</f>
        <v>#REF!</v>
      </c>
      <c r="E5" s="3257"/>
      <c r="F5" s="3257" t="e">
        <f ca="1">结果表!F119</f>
        <v>#REF!</v>
      </c>
      <c r="G5" s="3257"/>
      <c r="H5" s="3257" t="e">
        <f ca="1">结果表!H119</f>
        <v>#REF!</v>
      </c>
      <c r="I5" s="3257"/>
    </row>
    <row r="6" spans="1:9" ht="15.75">
      <c r="A6" s="3255" t="str">
        <f>结果表!A120</f>
        <v>估价师知悉的法定优先受偿款</v>
      </c>
      <c r="B6" s="3255"/>
      <c r="C6" s="3255"/>
      <c r="D6" s="3255">
        <f>结果表!D120</f>
        <v>0</v>
      </c>
      <c r="E6" s="3255"/>
      <c r="F6" s="3255"/>
      <c r="G6" s="3255"/>
      <c r="H6" s="3255"/>
      <c r="I6" s="3255"/>
    </row>
    <row r="7" spans="1:9" ht="15">
      <c r="A7" s="3256" t="s">
        <v>1364</v>
      </c>
      <c r="B7" s="3256"/>
      <c r="C7" s="3256"/>
      <c r="D7" s="3258" t="str">
        <f>结果表!D121</f>
        <v>零元整</v>
      </c>
      <c r="E7" s="3259"/>
      <c r="F7" s="3259"/>
      <c r="G7" s="3259"/>
      <c r="H7" s="3259"/>
      <c r="I7" s="3260"/>
    </row>
    <row r="8" spans="1:9" ht="15.75">
      <c r="A8" s="3255" t="str">
        <f>结果表!A122</f>
        <v>房地产抵押价值</v>
      </c>
      <c r="B8" s="3255"/>
      <c r="C8" s="3255"/>
      <c r="D8" s="3255" t="e">
        <f ca="1">结果表!D122</f>
        <v>#REF!</v>
      </c>
      <c r="E8" s="3255"/>
      <c r="F8" s="3255"/>
      <c r="G8" s="3255"/>
      <c r="H8" s="3255"/>
      <c r="I8" s="3255"/>
    </row>
    <row r="9" spans="1:9" ht="15">
      <c r="A9" s="3256" t="s">
        <v>1364</v>
      </c>
      <c r="B9" s="3256"/>
      <c r="C9" s="3256"/>
      <c r="D9" s="3257" t="e">
        <f ca="1">结果表!D123</f>
        <v>#REF!</v>
      </c>
      <c r="E9" s="3257"/>
      <c r="F9" s="3257"/>
      <c r="G9" s="3257"/>
      <c r="H9" s="3257"/>
      <c r="I9" s="3257"/>
    </row>
    <row r="10" spans="1:9" ht="15.75">
      <c r="A10" s="3255" t="str">
        <f>结果表!A124</f>
        <v/>
      </c>
      <c r="B10" s="3255"/>
      <c r="C10" s="3255"/>
      <c r="D10" s="3255" t="str">
        <f>结果表!D124</f>
        <v>——</v>
      </c>
      <c r="E10" s="3255"/>
      <c r="F10" s="3255"/>
      <c r="G10" s="3255"/>
      <c r="H10" s="3255"/>
      <c r="I10" s="3255"/>
    </row>
    <row r="11" spans="1:9" ht="15">
      <c r="A11" s="3256" t="s">
        <v>1364</v>
      </c>
      <c r="B11" s="3256"/>
      <c r="C11" s="3256"/>
      <c r="D11" s="3257" t="e">
        <f>结果表!D125</f>
        <v>#VALUE!</v>
      </c>
      <c r="E11" s="3257"/>
      <c r="F11" s="3257"/>
      <c r="G11" s="3257"/>
      <c r="H11" s="3257"/>
      <c r="I11" s="3257"/>
    </row>
    <row r="12" spans="1:9" ht="15.75">
      <c r="A12" s="3255" t="str">
        <f>结果表!A126</f>
        <v/>
      </c>
      <c r="B12" s="3255"/>
      <c r="C12" s="3255"/>
      <c r="D12" s="3255" t="str">
        <f>结果表!D126</f>
        <v>——</v>
      </c>
      <c r="E12" s="3255"/>
      <c r="F12" s="3255"/>
      <c r="G12" s="3255"/>
      <c r="H12" s="3255"/>
      <c r="I12" s="3255"/>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9" t="s">
        <v>1386</v>
      </c>
      <c r="B1" s="3269"/>
      <c r="C1" s="3269"/>
      <c r="D1" s="3269"/>
    </row>
    <row r="2" spans="1:4" ht="18">
      <c r="A2" s="3270" t="s">
        <v>1370</v>
      </c>
      <c r="B2" s="3270"/>
      <c r="C2" s="3270"/>
      <c r="D2" s="3270"/>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70" t="s">
        <v>1376</v>
      </c>
      <c r="B6" s="3270"/>
      <c r="C6" s="3270"/>
      <c r="D6" s="3270"/>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1"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1380</v>
      </c>
      <c r="B16" s="3265"/>
      <c r="C16" s="3265"/>
      <c r="D16" s="3265"/>
    </row>
    <row r="17" spans="1:4" ht="144" customHeight="1">
      <c r="A17" s="3265" t="s">
        <v>1381</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77" t="s">
        <v>1393</v>
      </c>
      <c r="B15" s="3272" t="s">
        <v>136</v>
      </c>
      <c r="C15" s="3273"/>
    </row>
    <row r="16" spans="1:7" ht="13.5">
      <c r="A16" s="3278"/>
      <c r="B16" s="3272" t="s">
        <v>69</v>
      </c>
      <c r="C16" s="3273"/>
    </row>
    <row r="17" spans="1:3" ht="13.5">
      <c r="A17" s="3278"/>
      <c r="B17" s="3275" t="s">
        <v>1394</v>
      </c>
      <c r="C17" s="1667" t="s">
        <v>1393</v>
      </c>
    </row>
    <row r="18" spans="1:3" ht="13.5">
      <c r="A18" s="3278"/>
      <c r="B18" s="3275"/>
      <c r="C18" s="1667" t="s">
        <v>1395</v>
      </c>
    </row>
    <row r="19" spans="1:3" ht="13.5">
      <c r="A19" s="3278"/>
      <c r="B19" s="3275"/>
      <c r="C19" s="1667" t="s">
        <v>1396</v>
      </c>
    </row>
    <row r="20" spans="1:3" ht="13.5">
      <c r="A20" s="3279"/>
      <c r="B20" s="3274" t="s">
        <v>1397</v>
      </c>
      <c r="C20" s="3273"/>
    </row>
    <row r="21" spans="1:3" ht="13.5">
      <c r="A21" s="1668" t="s">
        <v>1398</v>
      </c>
      <c r="B21" s="1669"/>
      <c r="C21" s="1670"/>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7" t="s">
        <v>1404</v>
      </c>
    </row>
    <row r="26" spans="1:3" ht="13.5">
      <c r="A26" s="3276"/>
      <c r="B26" s="3275"/>
      <c r="C26" s="1667" t="s">
        <v>1405</v>
      </c>
    </row>
    <row r="27" spans="1:3" ht="13.5">
      <c r="A27" s="3276"/>
      <c r="B27" s="3275"/>
      <c r="C27" s="1667" t="s">
        <v>1406</v>
      </c>
    </row>
    <row r="28" spans="1:3" ht="13.5">
      <c r="A28" s="3276"/>
      <c r="B28" s="3275"/>
      <c r="C28" s="1667" t="s">
        <v>1407</v>
      </c>
    </row>
    <row r="29" spans="1:3" ht="13.5">
      <c r="A29" s="3276"/>
      <c r="B29" s="3275"/>
      <c r="C29" s="1667" t="s">
        <v>1408</v>
      </c>
    </row>
    <row r="30" spans="1:3" ht="13.5">
      <c r="A30" s="3276"/>
      <c r="B30" s="3275"/>
      <c r="C30" s="1667" t="s">
        <v>1409</v>
      </c>
    </row>
    <row r="31" spans="1:3" ht="13.5">
      <c r="A31" s="3276"/>
      <c r="B31" s="3275"/>
      <c r="C31" s="1667" t="s">
        <v>1410</v>
      </c>
    </row>
    <row r="32" spans="1:3" ht="13.5">
      <c r="A32" s="3276"/>
      <c r="B32" s="3275"/>
      <c r="C32" s="1667" t="s">
        <v>1411</v>
      </c>
    </row>
    <row r="33" spans="1:3" ht="13.5">
      <c r="A33" s="3276"/>
      <c r="B33" s="327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2638</v>
      </c>
      <c r="B2" s="2512">
        <f ca="1">TODAY()</f>
        <v>44805</v>
      </c>
      <c r="C2" s="2513" t="s">
        <v>2639</v>
      </c>
      <c r="D2" s="2513"/>
      <c r="E2" s="2513"/>
      <c r="F2" s="2509"/>
      <c r="G2" s="2509"/>
      <c r="H2" s="2509"/>
    </row>
    <row r="3" spans="1:8" ht="24" customHeight="1">
      <c r="A3" s="2514" t="s">
        <v>2640</v>
      </c>
      <c r="B3" s="2515" t="s">
        <v>2641</v>
      </c>
      <c r="C3" s="2515" t="s">
        <v>2642</v>
      </c>
      <c r="D3" s="2516" t="s">
        <v>2643</v>
      </c>
      <c r="E3" s="2517" t="s">
        <v>2644</v>
      </c>
      <c r="F3" s="1424" t="s">
        <v>2645</v>
      </c>
      <c r="G3" s="2515" t="s">
        <v>2642</v>
      </c>
      <c r="H3" s="2516" t="s">
        <v>2646</v>
      </c>
    </row>
    <row r="4" spans="1:8" ht="24" customHeight="1">
      <c r="A4" s="1424" t="s">
        <v>2647</v>
      </c>
      <c r="B4" s="1424">
        <f ca="1">IF(C4&lt;B2,"已过期",1119970066)</f>
        <v>1119970066</v>
      </c>
      <c r="C4" s="2518">
        <v>44876</v>
      </c>
      <c r="D4" s="2519" t="str">
        <f ca="1">A4&amp;"（注册号："&amp;B4&amp;"）"</f>
        <v>梁津（注册号：1119970066）</v>
      </c>
      <c r="E4" s="2520" t="s">
        <v>2647</v>
      </c>
      <c r="F4" s="1424">
        <f ca="1">IF(G4&lt;B2,"已过期",96010014)</f>
        <v>96010014</v>
      </c>
      <c r="G4" s="2521">
        <v>47118</v>
      </c>
      <c r="H4" s="2522" t="str">
        <f ca="1">E4&amp;"（注册号："&amp;F4&amp;"）"</f>
        <v>梁津（注册号：96010014）</v>
      </c>
    </row>
    <row r="5" spans="1:8" ht="24" customHeight="1">
      <c r="A5" s="1424" t="s">
        <v>2648</v>
      </c>
      <c r="B5" s="1424">
        <f ca="1">IF(C5&lt;B2,"已过期",1119970111)</f>
        <v>1119970111</v>
      </c>
      <c r="C5" s="2518">
        <v>44876</v>
      </c>
      <c r="D5" s="2519" t="str">
        <f t="shared" ref="D5:D15" ca="1" si="0">A5&amp;"（注册号："&amp;B5&amp;"）"</f>
        <v>叶凌（注册号：1119970111）</v>
      </c>
      <c r="E5" s="2520" t="s">
        <v>2648</v>
      </c>
      <c r="F5" s="1424">
        <f ca="1">IF(G5&lt;B2,"已过期",94010078)</f>
        <v>94010078</v>
      </c>
      <c r="G5" s="2521">
        <v>46387</v>
      </c>
      <c r="H5" s="2522" t="str">
        <f t="shared" ref="H5:H16" ca="1" si="1">E5&amp;"（注册号："&amp;F5&amp;"）"</f>
        <v>叶凌（注册号：94010078）</v>
      </c>
    </row>
    <row r="6" spans="1:8" ht="24" customHeight="1">
      <c r="A6" s="1424" t="s">
        <v>2649</v>
      </c>
      <c r="B6" s="1424">
        <f ca="1">IF(C6&lt;B2,"已过期",1120050019)</f>
        <v>1120050019</v>
      </c>
      <c r="C6" s="2518">
        <v>45410</v>
      </c>
      <c r="D6" s="2519" t="str">
        <f t="shared" ca="1" si="0"/>
        <v>王鹏（注册号：1120050019）</v>
      </c>
      <c r="E6" s="2520" t="s">
        <v>2649</v>
      </c>
      <c r="F6" s="1424">
        <f ca="1">IF(G6&lt;B2,"已过期",2002110030)</f>
        <v>2002110030</v>
      </c>
      <c r="G6" s="2521">
        <v>46387</v>
      </c>
      <c r="H6" s="2522" t="str">
        <f t="shared" ca="1" si="1"/>
        <v>王鹏（注册号：2002110030）</v>
      </c>
    </row>
    <row r="7" spans="1:8" ht="24" customHeight="1">
      <c r="A7" s="1424" t="s">
        <v>2650</v>
      </c>
      <c r="B7" s="1424">
        <f ca="1">IF(C7&lt;B2,"已过期",1120000080)</f>
        <v>1120000080</v>
      </c>
      <c r="C7" s="2518">
        <v>44876</v>
      </c>
      <c r="D7" s="2519" t="str">
        <f t="shared" ca="1" si="0"/>
        <v>欧红伟（注册号：1120000080）</v>
      </c>
      <c r="E7" s="2520" t="s">
        <v>2650</v>
      </c>
      <c r="F7" s="1424">
        <f ca="1">IF(G7&lt;B2,"已过期",2000110082)</f>
        <v>2000110082</v>
      </c>
      <c r="G7" s="2521">
        <v>46387</v>
      </c>
      <c r="H7" s="2522" t="str">
        <f t="shared" ca="1" si="1"/>
        <v>欧红伟（注册号：2000110082）</v>
      </c>
    </row>
    <row r="8" spans="1:8" ht="24" customHeight="1">
      <c r="A8" s="1424" t="s">
        <v>2651</v>
      </c>
      <c r="B8" s="1424">
        <f ca="1">IF(C8&lt;B2,"已过期",1419970001)</f>
        <v>1419970001</v>
      </c>
      <c r="C8" s="2518">
        <v>44899</v>
      </c>
      <c r="D8" s="2519" t="str">
        <f t="shared" ca="1" si="0"/>
        <v>吴薇（注册号：1419970001）</v>
      </c>
      <c r="E8" s="2520" t="s">
        <v>2651</v>
      </c>
      <c r="F8" s="1424">
        <f ca="1">IF(G8&lt;B2,"已过期",2002110125)</f>
        <v>2002110125</v>
      </c>
      <c r="G8" s="2521">
        <v>47118</v>
      </c>
      <c r="H8" s="2522" t="str">
        <f t="shared" ca="1" si="1"/>
        <v>吴薇（注册号：2002110125）</v>
      </c>
    </row>
    <row r="9" spans="1:8" ht="24" customHeight="1">
      <c r="A9" s="1424" t="s">
        <v>2652</v>
      </c>
      <c r="B9" s="1424">
        <f ca="1">IF(C9&lt;B2,"已过期",1120060040)</f>
        <v>1120060040</v>
      </c>
      <c r="C9" s="2523">
        <v>45592</v>
      </c>
      <c r="D9" s="2519" t="str">
        <f t="shared" ca="1" si="0"/>
        <v>陈颖（注册号：1120060040）</v>
      </c>
      <c r="E9" s="2520" t="s">
        <v>2652</v>
      </c>
      <c r="F9" s="1424">
        <f ca="1">IF(G9&lt;B2,"已过期",2004110096)</f>
        <v>2004110096</v>
      </c>
      <c r="G9" s="2521">
        <v>47118</v>
      </c>
      <c r="H9" s="2522" t="str">
        <f t="shared" ca="1" si="1"/>
        <v>陈颖（注册号：2004110096）</v>
      </c>
    </row>
    <row r="10" spans="1:8" ht="24" customHeight="1">
      <c r="A10" s="1424" t="s">
        <v>2653</v>
      </c>
      <c r="B10" s="1424" t="str">
        <f ca="1">IF(C10&lt;B2,"已过期",1120100036)</f>
        <v>已过期</v>
      </c>
      <c r="C10" s="2523">
        <v>44675</v>
      </c>
      <c r="D10" s="2519" t="str">
        <f t="shared" ca="1" si="0"/>
        <v>崔锴（注册号：已过期）</v>
      </c>
      <c r="E10" s="2520" t="s">
        <v>2653</v>
      </c>
      <c r="F10" s="1424">
        <f ca="1">IF(G10&lt;B2,"已过期",2010110070)</f>
        <v>2010110070</v>
      </c>
      <c r="G10" s="2521">
        <v>47907</v>
      </c>
      <c r="H10" s="2522" t="str">
        <f t="shared" ca="1" si="1"/>
        <v>崔锴（注册号：2010110070）</v>
      </c>
    </row>
    <row r="11" spans="1:8" ht="24" customHeight="1">
      <c r="A11" s="1424" t="s">
        <v>2654</v>
      </c>
      <c r="B11" s="1424">
        <f ca="1">IF(C11&lt;B2,"已过期",1120070131)</f>
        <v>1120070131</v>
      </c>
      <c r="C11" s="2518">
        <v>44849</v>
      </c>
      <c r="D11" s="2519" t="str">
        <f t="shared" ca="1" si="0"/>
        <v>郑燚（注册号：1120070131）</v>
      </c>
      <c r="E11" s="2520" t="s">
        <v>2654</v>
      </c>
      <c r="F11" s="1424">
        <f ca="1">IF(G11&lt;B2,"已过期",2014110011)</f>
        <v>2014110011</v>
      </c>
      <c r="G11" s="2521">
        <v>49302</v>
      </c>
      <c r="H11" s="2522" t="str">
        <f t="shared" ca="1" si="1"/>
        <v>郑燚（注册号：2014110011）</v>
      </c>
    </row>
    <row r="12" spans="1:8" ht="24" customHeight="1">
      <c r="A12" s="1424" t="s">
        <v>2655</v>
      </c>
      <c r="B12" s="1424">
        <f ca="1">IF(C12&lt;B2,"已过期",1120040230)</f>
        <v>1120040230</v>
      </c>
      <c r="C12" s="2523">
        <v>44864</v>
      </c>
      <c r="D12" s="2519" t="str">
        <f t="shared" ca="1" si="0"/>
        <v>苏海（注册号：1120040230）</v>
      </c>
      <c r="E12" s="2520" t="s">
        <v>2655</v>
      </c>
      <c r="F12" s="1424">
        <f ca="1">IF(G12&lt;B2,"已过期",98030020)</f>
        <v>98030020</v>
      </c>
      <c r="G12" s="2521">
        <v>47118</v>
      </c>
      <c r="H12" s="2522" t="str">
        <f t="shared" ca="1" si="1"/>
        <v>苏海（注册号：98030020）</v>
      </c>
    </row>
    <row r="13" spans="1:8" ht="24" customHeight="1">
      <c r="A13" s="1424" t="s">
        <v>2656</v>
      </c>
      <c r="B13" s="1424" t="str">
        <f ca="1">IF(C13&lt;B2,"已过期",1120020033)</f>
        <v>已过期</v>
      </c>
      <c r="C13" s="2518">
        <v>44339</v>
      </c>
      <c r="D13" s="2519" t="str">
        <f t="shared" ca="1" si="0"/>
        <v>刘敬东（注册号：已过期）</v>
      </c>
      <c r="E13" s="2520" t="s">
        <v>2656</v>
      </c>
      <c r="F13" s="1424">
        <f ca="1">IF(G13&lt;B2,"已过期",2000110137)</f>
        <v>2000110137</v>
      </c>
      <c r="G13" s="2521">
        <v>46387</v>
      </c>
      <c r="H13" s="2522" t="str">
        <f t="shared" ca="1" si="1"/>
        <v>刘敬东（注册号：2000110137）</v>
      </c>
    </row>
    <row r="14" spans="1:8" ht="24" customHeight="1">
      <c r="A14" s="1424" t="s">
        <v>2657</v>
      </c>
      <c r="B14" s="1424">
        <f ca="1">IF(C14&lt;B2,"已过期",1119980106)</f>
        <v>1119980106</v>
      </c>
      <c r="C14" s="2523">
        <v>44969</v>
      </c>
      <c r="D14" s="2519" t="str">
        <f t="shared" ca="1" si="0"/>
        <v>刘俊财（注册号：1119980106）</v>
      </c>
      <c r="E14" s="2520" t="s">
        <v>2657</v>
      </c>
      <c r="F14" s="1424">
        <f ca="1">IF(G14&lt;B2,"已过期",96010063)</f>
        <v>96010063</v>
      </c>
      <c r="G14" s="2521">
        <v>47483</v>
      </c>
      <c r="H14" s="2522" t="str">
        <f t="shared" ca="1" si="1"/>
        <v>刘俊财（注册号：96010063）</v>
      </c>
    </row>
    <row r="15" spans="1:8" ht="24" customHeight="1">
      <c r="A15" s="1424" t="s">
        <v>2941</v>
      </c>
      <c r="B15" s="1424">
        <v>1120210056</v>
      </c>
      <c r="C15" s="2523">
        <v>45410</v>
      </c>
      <c r="D15" s="2519" t="str">
        <f t="shared" si="0"/>
        <v>宁小鳗（注册号：1120210056）</v>
      </c>
      <c r="E15" s="2520" t="s">
        <v>2658</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0" t="s">
        <v>2659</v>
      </c>
      <c r="B17" s="3280"/>
      <c r="C17" s="3280"/>
      <c r="D17" s="3280"/>
      <c r="E17" s="3280"/>
      <c r="F17" s="3280"/>
      <c r="G17" s="3280"/>
      <c r="H17" s="3280"/>
    </row>
    <row r="18" spans="1:8" ht="24" customHeight="1">
      <c r="A18" s="3281" t="s">
        <v>2660</v>
      </c>
      <c r="B18" s="3281"/>
      <c r="C18" s="3281"/>
      <c r="D18" s="2516"/>
      <c r="E18" s="3282" t="s">
        <v>2661</v>
      </c>
      <c r="F18" s="3281"/>
      <c r="G18" s="3281"/>
    </row>
    <row r="19" spans="1:8" s="2527" customFormat="1" ht="24" customHeight="1">
      <c r="A19" s="2526" t="s">
        <v>2662</v>
      </c>
      <c r="B19" s="2515" t="s">
        <v>2663</v>
      </c>
      <c r="C19" s="2515" t="s">
        <v>2642</v>
      </c>
      <c r="D19" s="2516"/>
      <c r="E19" s="2520" t="s">
        <v>2662</v>
      </c>
      <c r="F19" s="2515" t="s">
        <v>2663</v>
      </c>
      <c r="G19" s="2515" t="s">
        <v>2642</v>
      </c>
    </row>
    <row r="20" spans="1:8" s="2527" customFormat="1" ht="24" customHeight="1">
      <c r="A20" s="2528" t="s">
        <v>2664</v>
      </c>
      <c r="B20" s="2528" t="s">
        <v>2665</v>
      </c>
      <c r="C20" s="2521">
        <v>44820</v>
      </c>
      <c r="D20" s="2529"/>
      <c r="E20" s="2530" t="s">
        <v>2666</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2022-09-01T07:52:36Z</dcterms:modified>
</cp:coreProperties>
</file>