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Sheet2" sheetId="89" r:id="rId23"/>
    <sheet name="基准地价" sheetId="46"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平" sheetId="15" state="hidden" r:id="rId31"/>
    <sheet name="酒店收入计算" sheetId="57" state="hidden" r:id="rId32"/>
    <sheet name="不动产收益法2" sheetId="68" state="hidden" r:id="rId33"/>
    <sheet name="不动产收益法3" sheetId="69" state="hidden" r:id="rId34"/>
    <sheet name="不动产收益法4" sheetId="70" state="hidden" r:id="rId35"/>
    <sheet name="不动产收益法5" sheetId="71" state="hidden" r:id="rId36"/>
    <sheet name="不动产收益法6" sheetId="72" state="hidden" r:id="rId37"/>
    <sheet name="基准地价 (划拨)" sheetId="86" r:id="rId38"/>
    <sheet name="比较法-工业" sheetId="40" state="hidden" r:id="rId39"/>
    <sheet name="顺义案例" sheetId="85" state="hidden" r:id="rId40"/>
    <sheet name="成本逼近法" sheetId="11"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成本逼近法 (划拨)" sheetId="87" r:id="rId49"/>
    <sheet name="成本案例" sheetId="84" r:id="rId50"/>
    <sheet name="地价" sheetId="59" state="hidden" r:id="rId51"/>
    <sheet name="附属物-树木" sheetId="73" r:id="rId52"/>
    <sheet name="存贷款利率" sheetId="65" state="hidden" r:id="rId53"/>
    <sheet name="附属物-墙地泉" sheetId="82" r:id="rId54"/>
    <sheet name="附属物列表" sheetId="83" r:id="rId55"/>
    <sheet name="搬迁费" sheetId="77" r:id="rId56"/>
    <sheet name="建筑物价格" sheetId="74" r:id="rId57"/>
    <sheet name="停产停业损失补偿" sheetId="75" r:id="rId58"/>
    <sheet name="租金案例" sheetId="76" state="hidden" r:id="rId59"/>
    <sheet name="土地案例（昌平未来城）" sheetId="79" state="hidden" r:id="rId60"/>
  </sheets>
  <externalReferences>
    <externalReference r:id="rId61"/>
    <externalReference r:id="rId62"/>
    <externalReference r:id="rId63"/>
    <externalReference r:id="rId64"/>
  </externalReferences>
  <definedNames>
    <definedName name="_xlnm._FilterDatabase" localSheetId="38"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51" hidden="1">'附属物-树木'!$A$1:$G$43</definedName>
    <definedName name="_xlnm._FilterDatabase" localSheetId="10" hidden="1">'数据-基础表'!$A$12:$AT$572</definedName>
    <definedName name="_xlnm._FilterDatabase" localSheetId="9" hidden="1">项目基本情况!$A$48:$N$48</definedName>
    <definedName name="a" localSheetId="49">'[1]不动产比较法-办公'!$B$115:$M$115</definedName>
    <definedName name="a">'[2]不动产比较法-办公'!$B$115:$M$115</definedName>
    <definedName name="_xlnm.Print_Area" localSheetId="49">成本案例!$M$1:$AA$9</definedName>
    <definedName name="八级">区片价!$P$1:$P$40</definedName>
    <definedName name="办公层高" localSheetId="49">'[3]不动产比较法-办公'!$B$119:$M$119</definedName>
    <definedName name="办公层高">'不动产比较法-办公'!$B$119:$M$119</definedName>
    <definedName name="办公朝向" localSheetId="49">'[3]不动产比较法-办公'!$B$91:$M$91</definedName>
    <definedName name="办公朝向">'不动产比较法-办公'!$B$91:$M$91</definedName>
    <definedName name="办公道路级别" localSheetId="49">'[3]不动产比较法-办公'!$B$87:$M$87</definedName>
    <definedName name="办公道路级别">'不动产比较法-办公'!$B$87:$M$87</definedName>
    <definedName name="办公公共部分装修" localSheetId="49">'[3]不动产比较法-办公'!$B$108:$M$108</definedName>
    <definedName name="办公公共部分装修">'不动产比较法-办公'!$B$108:$M$108</definedName>
    <definedName name="办公基础设施水平" localSheetId="49">'[3]不动产比较法-办公'!$B$117:$M$117</definedName>
    <definedName name="办公基础设施水平">'不动产比较法-办公'!$B$117:$M$117</definedName>
    <definedName name="办公集聚程度" localSheetId="49">[3]定义!$M$1:$M$6</definedName>
    <definedName name="办公集聚程度">定义!$M$1:$M$6</definedName>
    <definedName name="办公建筑结构" localSheetId="49">'[3]不动产比较法-办公'!$B$106:$M$106</definedName>
    <definedName name="办公建筑结构">'不动产比较法-办公'!$B$106:$M$106</definedName>
    <definedName name="办公建筑类型" localSheetId="49">'[3]不动产比较法-办公'!$B$101:$M$101</definedName>
    <definedName name="办公建筑类型">'不动产比较法-办公'!$B$101:$M$101</definedName>
    <definedName name="办公交易情况" localSheetId="49">'[3]不动产比较法-办公'!$A$62:$M$62</definedName>
    <definedName name="办公交易情况">'不动产比较法-办公'!$A$62:$M$62</definedName>
    <definedName name="办公楼层" localSheetId="49">'[3]不动产比较法-办公'!$B$89:$M$89</definedName>
    <definedName name="办公楼层">'不动产比较法-办公'!$B$89:$M$89</definedName>
    <definedName name="办公内部装修" localSheetId="49">'[3]不动产比较法-办公'!$B$123:$M$123</definedName>
    <definedName name="办公内部装修">'不动产比较法-办公'!$B$123:$M$123</definedName>
    <definedName name="办公物业管理" localSheetId="49">'[3]不动产比较法-办公'!$B$115:$M$115</definedName>
    <definedName name="办公物业管理">'不动产比较法-办公'!$B$115:$M$115</definedName>
    <definedName name="办公用途" localSheetId="49">'[3]不动产比较法-办公'!$B$64:$M$64</definedName>
    <definedName name="办公用途">'不动产比较法-办公'!$B$64:$M$64</definedName>
    <definedName name="仓储公共部分装修" localSheetId="49">'[3]不动产比较法-仓储'!$B$77:$M$77</definedName>
    <definedName name="仓储公共部分装修">'不动产比较法-仓储'!$B$77:$M$77</definedName>
    <definedName name="仓储交易情况" localSheetId="49">'[3]不动产比较法-仓储'!$A$49:$M$49</definedName>
    <definedName name="仓储交易情况">'不动产比较法-仓储'!$A$49:$M$49</definedName>
    <definedName name="仓储楼层" localSheetId="49">'[3]不动产比较法-仓储'!$B$69:$M$69</definedName>
    <definedName name="仓储楼层">'不动产比较法-仓储'!$B$69:$M$69</definedName>
    <definedName name="仓储物业等级" localSheetId="49">'[3]不动产比较法-仓储'!$B$82:$M$82</definedName>
    <definedName name="仓储物业等级">'不动产比较法-仓储'!$B$82:$M$82</definedName>
    <definedName name="仓储用途" localSheetId="49">'[3]不动产比较法-仓储'!$B$51:$M$51</definedName>
    <definedName name="仓储用途">'不动产比较法-仓储'!$B$51:$M$51</definedName>
    <definedName name="产业集聚程度" localSheetId="49">[3]定义!$N$1:$N$6</definedName>
    <definedName name="产业集聚程度">定义!$N$1:$N$6</definedName>
    <definedName name="车位公共部分装修" localSheetId="49">'[3]不动产比较法-车位'!$B$83:$M$83</definedName>
    <definedName name="车位公共部分装修">'不动产比较法-车位'!$B$83:$M$83</definedName>
    <definedName name="车位交易情况" localSheetId="49">'[3]不动产比较法-车位'!$A$51:$M$51</definedName>
    <definedName name="车位交易情况">'不动产比较法-车位'!$A$51:$M$51</definedName>
    <definedName name="车位类型" localSheetId="49">'[3]不动产比较法-车位'!$B$93:$M$93</definedName>
    <definedName name="车位类型">'不动产比较法-车位'!$B$93:$M$93</definedName>
    <definedName name="车位楼层" localSheetId="49">'[3]不动产比较法-车位'!$B$71:$M$71</definedName>
    <definedName name="车位楼层">'不动产比较法-车位'!$B$71:$M$71</definedName>
    <definedName name="车位配套类型" localSheetId="49">'[3]不动产比较法-车位'!$B$79:$M$79</definedName>
    <definedName name="车位配套类型">'不动产比较法-车位'!$B$79:$M$79</definedName>
    <definedName name="车位物业等级" localSheetId="49">'[3]不动产比较法-车位'!$B$88:$M$88</definedName>
    <definedName name="车位物业等级">'不动产比较法-车位'!$B$88:$M$88</definedName>
    <definedName name="车位用途" localSheetId="49">'[3]不动产比较法-车位'!$B$53:$M$53</definedName>
    <definedName name="车位用途">'不动产比较法-车位'!$B$53:$M$53</definedName>
    <definedName name="城镇土地纳税等级分级范围" localSheetId="49">'[3]数据-取费表'!$A$53:$A$63</definedName>
    <definedName name="城镇土地纳税等级分级范围">'数据-取费表'!$A$53:$A$63</definedName>
    <definedName name="单价内涵" localSheetId="49">[3]定义!$V$1:$V$3</definedName>
    <definedName name="单价内涵">定义!$V$1:$V$3</definedName>
    <definedName name="地类判定" localSheetId="49">[3]定义!$H$1:$H$9</definedName>
    <definedName name="地类判定">定义!$H$1:$H$9</definedName>
    <definedName name="二级">区片价!$J$1:$J$20</definedName>
    <definedName name="二级分类" localSheetId="49">[3]修正!$C$17:$C$39</definedName>
    <definedName name="二级分类">修正!$C$17:$C$39</definedName>
    <definedName name="法定最高年限" localSheetId="49">[3]定义!$G$2:$G$4</definedName>
    <definedName name="法定最高年限">定义!$G$2:$G$4</definedName>
    <definedName name="工业公共部分装修" localSheetId="49">'[3]不动产比较法-工业'!$B$95:$M$95</definedName>
    <definedName name="工业公共部分装修">'不动产比较法-工业'!$B$95:$M$95</definedName>
    <definedName name="工业基础设施水平" localSheetId="49">'[3]不动产比较法-工业'!$B$102:$M$102</definedName>
    <definedName name="工业基础设施水平">'不动产比较法-工业'!$B$102:$M$102</definedName>
    <definedName name="工业建筑结构" localSheetId="49">'[3]不动产比较法-工业'!$B$93:$M$93</definedName>
    <definedName name="工业建筑结构">'不动产比较法-工业'!$B$93:$M$93</definedName>
    <definedName name="工业建筑类型" localSheetId="49">'[3]不动产比较法-工业'!$B$88:$M$88</definedName>
    <definedName name="工业建筑类型">'不动产比较法-工业'!$B$88:$M$88</definedName>
    <definedName name="工业交易情况" localSheetId="49">'[3]不动产比较法-工业'!$A$55:$M$55</definedName>
    <definedName name="工业交易情况">'不动产比较法-工业'!$A$55:$M$55</definedName>
    <definedName name="工业内部装修" localSheetId="49">'[3]不动产比较法-工业'!$B$104:$M$104</definedName>
    <definedName name="工业内部装修">'不动产比较法-工业'!$B$104:$M$104</definedName>
    <definedName name="工业物业管理" localSheetId="49">'[3]不动产比较法-工业'!$B$100:$M$100</definedName>
    <definedName name="工业物业管理">'不动产比较法-工业'!$B$100:$M$100</definedName>
    <definedName name="工业用途" localSheetId="49">'[3]不动产比较法-工业'!$B$57:$M$57</definedName>
    <definedName name="工业用途">'不动产比较法-工业'!$B$57:$M$57</definedName>
    <definedName name="公共配套设施" localSheetId="49">[3]定义!$Q$1:$Q$6</definedName>
    <definedName name="公共配套设施">定义!$Q$1:$Q$6</definedName>
    <definedName name="公用设施及基础设施水平" localSheetId="49">[1]定义!$Q$1:$Q$6</definedName>
    <definedName name="公用设施及基础设施水平">[2]定义!$Q$1:$Q$6</definedName>
    <definedName name="估价方法" localSheetId="49">[3]定义!$B$1:$B$50</definedName>
    <definedName name="估价方法">定义!$B$1:$B$50</definedName>
    <definedName name="环境" localSheetId="49">[3]定义!$S$1:$S$6</definedName>
    <definedName name="环境">定义!$S$1:$S$6</definedName>
    <definedName name="基础设施水平" localSheetId="49">[3]定义!$R$1:$R$6</definedName>
    <definedName name="基础设施水平">定义!$R$1:$R$6</definedName>
    <definedName name="季度" localSheetId="37">'基准地价 (划拨)'!$N$19:$AG$19</definedName>
    <definedName name="季度">基准地价!$N$19:$AG$19</definedName>
    <definedName name="季度2014">地价!$A$2:$A$22</definedName>
    <definedName name="价值类型2" localSheetId="49">[3]定义!$B$54:$B$56</definedName>
    <definedName name="价值类型2">定义!$B$54:$B$56</definedName>
    <definedName name="交通便捷度" localSheetId="49">[3]定义!$O$1:$O$6</definedName>
    <definedName name="交通便捷度">定义!$O$1:$O$6</definedName>
    <definedName name="九级">区片价!$Q$1:$Q$46</definedName>
    <definedName name="居住社区成熟度" localSheetId="49">[3]定义!$K$1:$K$6</definedName>
    <definedName name="居住社区成熟度">定义!$K$1:$K$6</definedName>
    <definedName name="类别" localSheetId="49">[3]定义!$J$1:$J$3</definedName>
    <definedName name="类别">定义!$J$1:$J$3</definedName>
    <definedName name="临街状况" localSheetId="49">[3]定义!$T$1:$T$5</definedName>
    <definedName name="临街状况">定义!$T$1:$T$5</definedName>
    <definedName name="六级">区片价!$N$1:$N$49</definedName>
    <definedName name="内部装修维护情况" localSheetId="49">[3]定义!$U$1:$U$6</definedName>
    <definedName name="内部装修维护情况">定义!$U$1:$U$6</definedName>
    <definedName name="判定" localSheetId="49">[3]定义!$D$1:$D$4</definedName>
    <definedName name="判定">定义!$D$1:$D$4</definedName>
    <definedName name="七级">区片价!$O$1:$O$49</definedName>
    <definedName name="七通一平" localSheetId="49">[3]修正!$A$6:$A$14</definedName>
    <definedName name="七通一平">修正!$A$6:$A$14</definedName>
    <definedName name="区域土地利用方向" localSheetId="49">[3]定义!$P$1:$P$6</definedName>
    <definedName name="区域土地利用方向">定义!$P$1:$P$6</definedName>
    <definedName name="三级">区片价!$K$1:$K$21</definedName>
    <definedName name="商业层高" localSheetId="49">'[3]不动产比较法-商业'!$B$116:$M$116</definedName>
    <definedName name="商业层高">'不动产比较法-商业'!$B$116:$M$116</definedName>
    <definedName name="商业成新度">'不动产比较法-商业'!$B$109:$M$109</definedName>
    <definedName name="商业繁华度" localSheetId="49">[3]定义!$L$1:$L$6</definedName>
    <definedName name="商业繁华度">定义!$L$1:$L$6</definedName>
    <definedName name="商业公共部分装修" localSheetId="49">'[3]不动产比较法-商业'!$B$107:$M$107</definedName>
    <definedName name="商业公共部分装修">'不动产比较法-商业'!$B$107:$M$107</definedName>
    <definedName name="商业基础设施水平" localSheetId="49">'[3]不动产比较法-商业'!$B$112:$M$112</definedName>
    <definedName name="商业基础设施水平">'不动产比较法-商业'!$B$112:$M$112</definedName>
    <definedName name="商业建筑结构" localSheetId="49">'[3]不动产比较法-商业'!$B$105:$M$105</definedName>
    <definedName name="商业建筑结构">'不动产比较法-商业'!$B$105:$M$105</definedName>
    <definedName name="商业交易情况" localSheetId="49">'[3]不动产比较法-商业'!$A$61:$M$61</definedName>
    <definedName name="商业交易情况">'不动产比较法-商业'!$A$61:$M$61</definedName>
    <definedName name="商业街名称" localSheetId="49">[3]修正!$C$59:$C$119</definedName>
    <definedName name="商业街名称">修正!$C$59:$C$119</definedName>
    <definedName name="商业进深比" localSheetId="49">'[3]不动产比较法-商业'!$B$120:$M$120</definedName>
    <definedName name="商业进深比">'不动产比较法-商业'!$B$120:$M$120</definedName>
    <definedName name="商业类型" localSheetId="49">'[3]不动产比较法-商业'!$B$100:$M$100</definedName>
    <definedName name="商业类型">'不动产比较法-商业'!$B$100:$M$100</definedName>
    <definedName name="商业临街状况" localSheetId="49">'[3]不动产比较法-商业'!$B$86:$M$86</definedName>
    <definedName name="商业临街状况">'不动产比较法-商业'!$B$86:$M$86</definedName>
    <definedName name="商业楼层" localSheetId="49">'[3]不动产比较法-商业'!$B$92:$M$92</definedName>
    <definedName name="商业楼层">'不动产比较法-商业'!$B$92:$M$92</definedName>
    <definedName name="商业内部装修" localSheetId="49">'[3]不动产比较法-商业'!$B$122:$M$122</definedName>
    <definedName name="商业内部装修">'不动产比较法-商业'!$B$122:$M$122</definedName>
    <definedName name="商业人流量" localSheetId="49">'[3]不动产比较法-商业'!$B$90:$M$90</definedName>
    <definedName name="商业人流量">'不动产比较法-商业'!$B$90:$M$90</definedName>
    <definedName name="商业业态" localSheetId="49">'[3]不动产比较法-商业'!$B$114:$M$114</definedName>
    <definedName name="商业业态">'不动产比较法-商业'!$B$114:$M$114</definedName>
    <definedName name="商业用途" localSheetId="4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9">'[3]不动产比较法-仓储'!$B$89:$M$89</definedName>
    <definedName name="是否封闭">'不动产比较法-仓储'!$B$89:$M$89</definedName>
    <definedName name="是否直接入户" localSheetId="49">'[3]不动产比较法-车位'!$B$95:$M$95</definedName>
    <definedName name="是否直接入户">'不动产比较法-车位'!$B$95:$M$95</definedName>
    <definedName name="四级">区片价!$L$1:$L$28</definedName>
    <definedName name="套工工程地质条件">'比较法-工业'!$B$116:$M$116</definedName>
    <definedName name="套工交易情况" localSheetId="49">'[3]比较法-住宅、综合'!$A$75:$M$75</definedName>
    <definedName name="套工交易情况">'比较法-住宅、综合'!$A$75:$M$75</definedName>
    <definedName name="套工开发程度">'比较法-工业'!$B$114:$M$114</definedName>
    <definedName name="套工临街等级">'比较法-工业'!$B$99:$M$99</definedName>
    <definedName name="套工土地级别" localSheetId="49">'[3]比较法-工业'!$B$101:$M$101</definedName>
    <definedName name="套工土地级别">'比较法-工业'!$B$101:$M$101</definedName>
    <definedName name="套工用途" localSheetId="49">'[3]比较法-工业'!$B$72:$M$72</definedName>
    <definedName name="套工用途">'比较法-工业'!$B$72:$M$72</definedName>
    <definedName name="套工宗地形状">'比较法-工业'!$B$112:$M$112</definedName>
    <definedName name="套综道路等级" localSheetId="49">'[3]比较法-住宅、综合'!$B$108:$M$108</definedName>
    <definedName name="套综道路等级">'比较法-住宅、综合'!$B$108:$M$108</definedName>
    <definedName name="套综工程地质条件" localSheetId="49">'[3]比较法-住宅、综合'!$B$127:$M$127</definedName>
    <definedName name="套综工程地质条件">'比较法-住宅、综合'!$B$127:$M$127</definedName>
    <definedName name="套综交易情况" localSheetId="49">'[3]比较法-住宅、综合'!$A$75:$M$75</definedName>
    <definedName name="套综交易情况">'比较法-住宅、综合'!$A$75:$M$75</definedName>
    <definedName name="套综临街宽度及深度" localSheetId="49">'[3]比较法-住宅、综合'!$B$123:$M$123</definedName>
    <definedName name="套综临街宽度及深度">'比较法-住宅、综合'!$B$123:$M$123</definedName>
    <definedName name="套综土地级别" localSheetId="49">'[3]比较法-住宅、综合'!$B$110:$M$110</definedName>
    <definedName name="套综土地级别">'比较法-住宅、综合'!$B$110:$M$110</definedName>
    <definedName name="套综用途" localSheetId="49">'[3]比较法-住宅、综合'!$B$77:$M$77</definedName>
    <definedName name="套综用途">'比较法-住宅、综合'!$B$77:$M$77</definedName>
    <definedName name="套综宗地内开发程度" localSheetId="49">'[3]比较法-住宅、综合'!$B$125:$M$125</definedName>
    <definedName name="套综宗地内开发程度">'比较法-住宅、综合'!$B$125:$M$125</definedName>
    <definedName name="套综宗地形状" localSheetId="49">'[3]比较法-住宅、综合'!$B$121:$M$121</definedName>
    <definedName name="套综宗地形状">'比较法-住宅、综合'!$B$121:$M$121</definedName>
    <definedName name="土地估价师" localSheetId="49">[3]估价师及机构信息!$D$3:$D$24</definedName>
    <definedName name="土地估价师">估价师及机构信息!$D$3:$D$24</definedName>
    <definedName name="土地级别" localSheetId="49">[3]定义!$C$1:$C$14</definedName>
    <definedName name="土地级别">定义!$C$1:$C$14</definedName>
    <definedName name="土地利用方向">定义!$P$1:$P$6</definedName>
    <definedName name="土地年限区间" localSheetId="49">[3]定义!$I$1:$I$8</definedName>
    <definedName name="土地年限区间">定义!$I$1:$I$8</definedName>
    <definedName name="位置" localSheetId="49">[3]定义!$E$2:$E$4</definedName>
    <definedName name="位置">定义!$E$2:$E$4</definedName>
    <definedName name="五等判定" localSheetId="49">[3]定义!$W$1:$W$6</definedName>
    <definedName name="五等判定">定义!$W$1:$W$6</definedName>
    <definedName name="五级">区片价!$M$1:$M$35</definedName>
    <definedName name="项目类型" localSheetId="49">'[3]数据-汇总表'!$C$17:$C$26</definedName>
    <definedName name="项目类型">'数据-汇总表'!$C$17:$C$26</definedName>
    <definedName name="写字楼等级" localSheetId="49">'[3]不动产比较法-办公'!$B$113:$M$113</definedName>
    <definedName name="写字楼等级">'不动产比较法-办公'!$B$113:$M$113</definedName>
    <definedName name="一级">区片价!$I$1:$I$6</definedName>
    <definedName name="一修多修正项2" localSheetId="49">[3]典型户型修正!$5:$5</definedName>
    <definedName name="一修多修正项2">典型户型修正!$5:$5</definedName>
    <definedName name="一修多修正项3" localSheetId="49">[3]典型户型修正!$7:$7</definedName>
    <definedName name="一修多修正项3">典型户型修正!$7:$7</definedName>
    <definedName name="一修多修正项4" localSheetId="49">[3]典型户型修正!$9:$9</definedName>
    <definedName name="一修多修正项4">典型户型修正!$9:$9</definedName>
    <definedName name="一修多修正项5" localSheetId="49">[3]典型户型修正!$11:$11</definedName>
    <definedName name="一修多修正项5">典型户型修正!$11:$11</definedName>
    <definedName name="一修多修正项6" localSheetId="49">[3]典型户型修正!$13:$13</definedName>
    <definedName name="一修多修正项6">典型户型修正!$13:$13</definedName>
    <definedName name="一修多修正项7" localSheetId="49">[3]典型户型修正!$15:$15</definedName>
    <definedName name="一修多修正项7">典型户型修正!$15:$15</definedName>
    <definedName name="一修多修正项8" localSheetId="49">[3]典型户型修正!$17:$17</definedName>
    <definedName name="一修多修正项8">典型户型修正!$17:$17</definedName>
    <definedName name="用途类型" localSheetId="49">[3]定义!$A$1:$A$50</definedName>
    <definedName name="用途类型">定义!$A$1:$A$50</definedName>
    <definedName name="有无电梯" localSheetId="49">'[3]不动产比较法-仓储'!$B$84:$M$84</definedName>
    <definedName name="有无电梯">'不动产比较法-仓储'!$B$84:$M$84</definedName>
    <definedName name="主用途" localSheetId="49">[3]定义!$F$1:$F$10</definedName>
    <definedName name="主用途">定义!$F$1:$F$10</definedName>
    <definedName name="住宅朝向" localSheetId="49">'[3]不动产比较法-住宅'!$B$88:$M$88</definedName>
    <definedName name="住宅朝向">'不动产比较法-住宅'!$B$88:$M$88</definedName>
    <definedName name="住宅房型" localSheetId="49">'[3]不动产比较法-住宅'!$B$118:$M$118</definedName>
    <definedName name="住宅房型">'不动产比较法-住宅'!$B$118:$M$118</definedName>
    <definedName name="住宅公共部分装修" localSheetId="49">'[3]不动产比较法-住宅'!$B$109:$M$109</definedName>
    <definedName name="住宅公共部分装修">'不动产比较法-住宅'!$B$109:$M$109</definedName>
    <definedName name="住宅基础设施水平" localSheetId="49">'[3]不动产比较法-住宅'!$B$116:$M$116</definedName>
    <definedName name="住宅基础设施水平">'不动产比较法-住宅'!$B$116:$M$116</definedName>
    <definedName name="住宅建筑结构" localSheetId="49">'[3]不动产比较法-住宅'!$B$105:$M$105</definedName>
    <definedName name="住宅建筑结构">'不动产比较法-住宅'!$B$105:$M$105</definedName>
    <definedName name="住宅建筑类型" localSheetId="49">'[3]不动产比较法-住宅'!$B$100:$M$100</definedName>
    <definedName name="住宅建筑类型">'不动产比较法-住宅'!$B$100:$M$100</definedName>
    <definedName name="住宅建筑品质" localSheetId="49">'[3]不动产比较法-住宅'!$B$107:$M$107</definedName>
    <definedName name="住宅建筑品质">'不动产比较法-住宅'!$B$107:$M$107</definedName>
    <definedName name="住宅交易情况" localSheetId="49">'[3]不动产比较法-住宅'!$A$61:$M$61</definedName>
    <definedName name="住宅交易情况">'不动产比较法-住宅'!$A$61:$M$61</definedName>
    <definedName name="住宅楼层" localSheetId="49">'[3]不动产比较法-住宅'!$B$86:$M$86</definedName>
    <definedName name="住宅楼层">'不动产比较法-住宅'!$B$86:$M$86</definedName>
    <definedName name="住宅内部装修" localSheetId="49">'[3]不动产比较法-住宅'!$B$122:$M$122</definedName>
    <definedName name="住宅内部装修">'不动产比较法-住宅'!$B$122:$M$122</definedName>
    <definedName name="住宅物业管理" localSheetId="49">'[3]不动产比较法-住宅'!$B$114:$M$114</definedName>
    <definedName name="住宅物业管理">'不动产比较法-住宅'!$B$114:$M$114</definedName>
    <definedName name="住宅用途" localSheetId="49">'[3]不动产比较法-住宅'!$B$63:$M$63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4" i="89" l="1"/>
  <c r="C15" i="11" l="1"/>
  <c r="H6" i="89" l="1"/>
  <c r="F6" i="89"/>
  <c r="E6" i="89"/>
  <c r="Q12" i="1"/>
  <c r="Q11" i="1"/>
  <c r="Q10" i="1"/>
  <c r="Q9" i="1"/>
  <c r="Q8" i="1"/>
  <c r="Q7" i="1"/>
  <c r="C8" i="87" l="1"/>
  <c r="D5" i="9"/>
  <c r="C8" i="11"/>
  <c r="E20" i="89" l="1"/>
  <c r="E7" i="89" l="1"/>
  <c r="E8" i="89"/>
  <c r="E10" i="89"/>
  <c r="E11" i="89"/>
  <c r="D12" i="89"/>
  <c r="F93" i="74"/>
  <c r="D2" i="82"/>
  <c r="E44" i="73"/>
  <c r="C12" i="75" l="1"/>
  <c r="E11" i="75"/>
  <c r="F29" i="81" l="1"/>
  <c r="F28" i="81"/>
  <c r="F27" i="81"/>
  <c r="F26" i="81"/>
  <c r="H29" i="81"/>
  <c r="H27" i="81"/>
  <c r="F23" i="81"/>
  <c r="F22" i="81"/>
  <c r="F21" i="81"/>
  <c r="F20" i="81"/>
  <c r="H21" i="81"/>
  <c r="H23" i="81"/>
  <c r="C7" i="87"/>
  <c r="G17" i="87"/>
  <c r="E13" i="87"/>
  <c r="D13" i="87"/>
  <c r="C13" i="87" s="1"/>
  <c r="E12" i="87"/>
  <c r="D12" i="87"/>
  <c r="C12" i="87"/>
  <c r="C11" i="87"/>
  <c r="D10" i="87"/>
  <c r="C10" i="87"/>
  <c r="D29" i="86" l="1"/>
  <c r="D30" i="86" s="1"/>
  <c r="F7" i="81"/>
  <c r="G3" i="82" l="1"/>
  <c r="K6" i="85"/>
  <c r="K5" i="85"/>
  <c r="K4" i="85"/>
  <c r="K3" i="85"/>
  <c r="K2" i="85"/>
  <c r="AB13" i="84" l="1"/>
  <c r="AB12" i="84"/>
  <c r="AD11" i="84"/>
  <c r="AD12" i="84" s="1"/>
  <c r="AB11" i="84"/>
  <c r="AB18" i="84" s="1"/>
  <c r="D29" i="46" l="1"/>
  <c r="H62" i="74" l="1"/>
  <c r="H66" i="74"/>
  <c r="H60" i="74"/>
  <c r="I43" i="40"/>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N86" i="86"/>
  <c r="M86" i="86"/>
  <c r="K86" i="86"/>
  <c r="J86" i="86" s="1"/>
  <c r="M85" i="86"/>
  <c r="N85" i="86" s="1"/>
  <c r="K85" i="86"/>
  <c r="J85" i="86" s="1"/>
  <c r="D85" i="86" s="1"/>
  <c r="M84" i="86"/>
  <c r="N84" i="86" s="1"/>
  <c r="K84" i="86"/>
  <c r="J84" i="86" s="1"/>
  <c r="D84" i="86"/>
  <c r="N83" i="86"/>
  <c r="D83" i="86" s="1"/>
  <c r="M83" i="86"/>
  <c r="K83" i="86"/>
  <c r="J83" i="86" s="1"/>
  <c r="B83" i="86"/>
  <c r="N82" i="86"/>
  <c r="M82" i="86"/>
  <c r="K82" i="86"/>
  <c r="J82" i="86" s="1"/>
  <c r="D82" i="86"/>
  <c r="B82" i="86"/>
  <c r="M81" i="86"/>
  <c r="N81" i="86" s="1"/>
  <c r="K81" i="86"/>
  <c r="J81" i="86" s="1"/>
  <c r="D81" i="86"/>
  <c r="N80" i="86"/>
  <c r="M80" i="86"/>
  <c r="K80" i="86"/>
  <c r="J80" i="86" s="1"/>
  <c r="D80" i="86"/>
  <c r="M77" i="86"/>
  <c r="N77" i="86" s="1"/>
  <c r="K77" i="86"/>
  <c r="J77" i="86" s="1"/>
  <c r="D77" i="86"/>
  <c r="M76" i="86"/>
  <c r="N76" i="86" s="1"/>
  <c r="K76" i="86"/>
  <c r="J76" i="86" s="1"/>
  <c r="D76" i="86"/>
  <c r="N75" i="86"/>
  <c r="M75" i="86"/>
  <c r="K75" i="86"/>
  <c r="J75" i="86" s="1"/>
  <c r="D75" i="86"/>
  <c r="N74" i="86"/>
  <c r="M74" i="86"/>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N65" i="86"/>
  <c r="M65" i="86"/>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N52" i="86"/>
  <c r="M52" i="86"/>
  <c r="K52" i="86"/>
  <c r="J52" i="86" s="1"/>
  <c r="D52" i="86"/>
  <c r="N51" i="86"/>
  <c r="M51" i="86"/>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2" i="86" s="1"/>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AB12" i="86" l="1"/>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F11" i="86"/>
  <c r="AF13" i="86" s="1"/>
  <c r="AD11" i="86"/>
  <c r="AB11" i="86"/>
  <c r="AB13" i="86" s="1"/>
  <c r="Z11" i="86"/>
  <c r="N3" i="86"/>
  <c r="M4" i="86"/>
  <c r="N5" i="86"/>
  <c r="C6" i="86"/>
  <c r="N6" i="86"/>
  <c r="F80" i="86" s="1"/>
  <c r="M7" i="86"/>
  <c r="Z7" i="86"/>
  <c r="M8" i="86"/>
  <c r="N9" i="86"/>
  <c r="M10" i="86"/>
  <c r="AC10" i="86"/>
  <c r="AG10" i="86"/>
  <c r="Z13" i="86"/>
  <c r="AD13" i="86"/>
  <c r="AH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I36" i="40"/>
  <c r="G36" i="40"/>
  <c r="E36" i="40"/>
  <c r="C36" i="40"/>
  <c r="C115" i="86" l="1"/>
  <c r="D113" i="86"/>
  <c r="S6" i="86"/>
  <c r="S5" i="86"/>
  <c r="S3" i="86"/>
  <c r="S7" i="86"/>
  <c r="S2" i="86"/>
  <c r="S4" i="86"/>
  <c r="I13" i="40"/>
  <c r="G13" i="40"/>
  <c r="E13" i="40"/>
  <c r="I9" i="40"/>
  <c r="G9" i="40"/>
  <c r="E9" i="40"/>
  <c r="C8" i="40"/>
  <c r="I8" i="40"/>
  <c r="G8" i="40"/>
  <c r="E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G9" i="82" l="1"/>
  <c r="D10" i="81" s="1"/>
  <c r="D15" i="81" s="1"/>
  <c r="D17" i="81" s="1"/>
  <c r="D19" i="81" s="1"/>
  <c r="H30" i="75"/>
  <c r="H32" i="75" s="1"/>
  <c r="H33" i="75" s="1"/>
  <c r="F62" i="74" l="1"/>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I61" i="74" l="1"/>
  <c r="J61" i="74" s="1"/>
  <c r="H61" i="74"/>
  <c r="I64" i="74"/>
  <c r="H64" i="74"/>
  <c r="I68" i="74"/>
  <c r="J68" i="74" s="1"/>
  <c r="H68" i="74"/>
  <c r="I70" i="74"/>
  <c r="J70" i="74" s="1"/>
  <c r="K70" i="74" s="1"/>
  <c r="H70" i="74"/>
  <c r="I85" i="74"/>
  <c r="J85" i="74" s="1"/>
  <c r="H85" i="74"/>
  <c r="I78" i="74"/>
  <c r="J78" i="74" s="1"/>
  <c r="H78" i="74"/>
  <c r="I81" i="74"/>
  <c r="H81" i="74"/>
  <c r="I86" i="74"/>
  <c r="J86" i="74" s="1"/>
  <c r="K86" i="74" s="1"/>
  <c r="H86" i="74"/>
  <c r="G73" i="74"/>
  <c r="G77" i="74"/>
  <c r="H77" i="74" s="1"/>
  <c r="G83" i="74"/>
  <c r="G71" i="74"/>
  <c r="G75" i="74"/>
  <c r="G87" i="74"/>
  <c r="H87" i="74" s="1"/>
  <c r="I67" i="74"/>
  <c r="I69" i="74"/>
  <c r="I77" i="74"/>
  <c r="I79" i="74"/>
  <c r="I87" i="74"/>
  <c r="I63" i="74"/>
  <c r="I65" i="74"/>
  <c r="S70" i="74"/>
  <c r="M70" i="74" s="1"/>
  <c r="G72" i="74"/>
  <c r="G74" i="74"/>
  <c r="G76" i="74"/>
  <c r="G80" i="74"/>
  <c r="G82" i="74"/>
  <c r="G84" i="74"/>
  <c r="G88" i="74"/>
  <c r="K62" i="74"/>
  <c r="L62" i="74" s="1"/>
  <c r="S66" i="74"/>
  <c r="M66" i="74" s="1"/>
  <c r="J64" i="74"/>
  <c r="K64" i="74" s="1"/>
  <c r="J81" i="74"/>
  <c r="L66" i="74"/>
  <c r="L86" i="74"/>
  <c r="K60" i="74"/>
  <c r="S60" i="74" s="1"/>
  <c r="M60" i="74" s="1"/>
  <c r="F60" i="74"/>
  <c r="F89" i="74" s="1"/>
  <c r="I88" i="74" l="1"/>
  <c r="H88" i="74"/>
  <c r="I84" i="74"/>
  <c r="J84" i="74" s="1"/>
  <c r="H84" i="74"/>
  <c r="I80" i="74"/>
  <c r="H80" i="74"/>
  <c r="I75" i="74"/>
  <c r="J75" i="74" s="1"/>
  <c r="H75" i="74"/>
  <c r="I83" i="74"/>
  <c r="J83" i="74" s="1"/>
  <c r="H83" i="74"/>
  <c r="I73" i="74"/>
  <c r="H73" i="74"/>
  <c r="L70" i="74"/>
  <c r="N70" i="74" s="1"/>
  <c r="P70" i="74" s="1"/>
  <c r="Q70" i="74" s="1"/>
  <c r="K78" i="74"/>
  <c r="S78" i="74" s="1"/>
  <c r="M78" i="74" s="1"/>
  <c r="S86" i="74"/>
  <c r="M86" i="74" s="1"/>
  <c r="N86" i="74" s="1"/>
  <c r="P86" i="74" s="1"/>
  <c r="Q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J73"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J88" i="74"/>
  <c r="J80" i="74"/>
  <c r="L60" i="74"/>
  <c r="N60" i="74" s="1"/>
  <c r="P60" i="74" s="1"/>
  <c r="Q60" i="74" s="1"/>
  <c r="G5" i="79"/>
  <c r="J71" i="74" l="1"/>
  <c r="K71" i="74" s="1"/>
  <c r="S79" i="74"/>
  <c r="M79" i="74" s="1"/>
  <c r="N79" i="74" s="1"/>
  <c r="P79" i="74" s="1"/>
  <c r="Q79"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L71" i="74" l="1"/>
  <c r="N71" i="74" s="1"/>
  <c r="P71" i="74" s="1"/>
  <c r="Q71" i="74" s="1"/>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Q89" i="74" l="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s="1"/>
  <c r="P48" i="74" s="1"/>
  <c r="Q48" i="74" s="1"/>
  <c r="N52" i="74" l="1"/>
  <c r="P52" i="74" s="1"/>
  <c r="Q52" i="74" s="1"/>
  <c r="Q53" i="74" s="1"/>
  <c r="D7" i="81" s="1"/>
  <c r="D24" i="75" l="1"/>
  <c r="D19" i="75"/>
  <c r="E10" i="75"/>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D42" i="73" l="1"/>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D7" i="78" s="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D2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A54" i="3" s="1"/>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A70" i="3" s="1"/>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A78" i="3" s="1"/>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A86" i="3" s="1"/>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A134" i="3" s="1"/>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A142" i="3" s="1"/>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A158" i="3" s="1"/>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s="1"/>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s="1"/>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s="1"/>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A346" i="3" s="1"/>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s="1"/>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A374" i="3" s="1"/>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s="1"/>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A415" i="3" s="1"/>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s="1"/>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A443" i="3" s="1"/>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s="1"/>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A459" i="3" s="1"/>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A531" i="3" s="1"/>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A539" i="3" s="1"/>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c r="H19" i="3"/>
  <c r="AC19" i="3"/>
  <c r="G19" i="3" s="1"/>
  <c r="H20" i="3"/>
  <c r="AC20" i="3"/>
  <c r="G20" i="3" s="1"/>
  <c r="H21" i="3"/>
  <c r="AC21" i="3"/>
  <c r="H22" i="3"/>
  <c r="AC22" i="3"/>
  <c r="G22" i="3" s="1"/>
  <c r="H23" i="3"/>
  <c r="AC23" i="3"/>
  <c r="H24" i="3"/>
  <c r="AC24" i="3"/>
  <c r="H25" i="3"/>
  <c r="AC25" i="3"/>
  <c r="H26" i="3"/>
  <c r="AC26" i="3"/>
  <c r="G26" i="3" s="1"/>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c r="H49" i="3"/>
  <c r="AC49" i="3"/>
  <c r="G49" i="3" s="1"/>
  <c r="H50" i="3"/>
  <c r="AC50" i="3"/>
  <c r="G50" i="3" s="1"/>
  <c r="H51" i="3"/>
  <c r="AC51" i="3"/>
  <c r="H52" i="3"/>
  <c r="AC52" i="3"/>
  <c r="G52" i="3" s="1"/>
  <c r="H53" i="3"/>
  <c r="AC53" i="3"/>
  <c r="H54" i="3"/>
  <c r="AC54" i="3"/>
  <c r="H55" i="3"/>
  <c r="AC55" i="3"/>
  <c r="H56" i="3"/>
  <c r="AC56" i="3"/>
  <c r="G56" i="3" s="1"/>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s="1"/>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c r="H117" i="3"/>
  <c r="AC117" i="3"/>
  <c r="G117" i="3" s="1"/>
  <c r="H118" i="3"/>
  <c r="AC118" i="3"/>
  <c r="G118" i="3" s="1"/>
  <c r="H119" i="3"/>
  <c r="AC119" i="3"/>
  <c r="H120" i="3"/>
  <c r="AC120" i="3"/>
  <c r="G120" i="3" s="1"/>
  <c r="H121" i="3"/>
  <c r="AC121" i="3"/>
  <c r="H122" i="3"/>
  <c r="AC122" i="3"/>
  <c r="H123" i="3"/>
  <c r="AC123" i="3"/>
  <c r="H124" i="3"/>
  <c r="AC124" i="3"/>
  <c r="G124" i="3" s="1"/>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c r="H149" i="3"/>
  <c r="AC149" i="3"/>
  <c r="G149" i="3" s="1"/>
  <c r="H150" i="3"/>
  <c r="AC150" i="3"/>
  <c r="G150" i="3" s="1"/>
  <c r="H151" i="3"/>
  <c r="AC151" i="3"/>
  <c r="H152" i="3"/>
  <c r="AC152" i="3"/>
  <c r="G152" i="3" s="1"/>
  <c r="H153" i="3"/>
  <c r="AC153" i="3"/>
  <c r="H154" i="3"/>
  <c r="AC154" i="3"/>
  <c r="H155" i="3"/>
  <c r="AC155" i="3"/>
  <c r="H156" i="3"/>
  <c r="AC156" i="3"/>
  <c r="G156" i="3" s="1"/>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c r="H181" i="3"/>
  <c r="AC181" i="3"/>
  <c r="G181" i="3" s="1"/>
  <c r="H182" i="3"/>
  <c r="AC182" i="3"/>
  <c r="G182" i="3" s="1"/>
  <c r="H183" i="3"/>
  <c r="AC183" i="3"/>
  <c r="H184" i="3"/>
  <c r="AC184" i="3"/>
  <c r="G184" i="3" s="1"/>
  <c r="H185" i="3"/>
  <c r="AC185" i="3"/>
  <c r="H186" i="3"/>
  <c r="AC186" i="3"/>
  <c r="H187" i="3"/>
  <c r="AC187" i="3"/>
  <c r="H188" i="3"/>
  <c r="AC188" i="3"/>
  <c r="G188" i="3" s="1"/>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c r="H213" i="3"/>
  <c r="AC213" i="3"/>
  <c r="G213" i="3" s="1"/>
  <c r="H214" i="3"/>
  <c r="AC214" i="3"/>
  <c r="G214" i="3" s="1"/>
  <c r="H215" i="3"/>
  <c r="AC215" i="3"/>
  <c r="H216" i="3"/>
  <c r="AC216" i="3"/>
  <c r="G216" i="3" s="1"/>
  <c r="H217" i="3"/>
  <c r="AC217" i="3"/>
  <c r="H218" i="3"/>
  <c r="AC218" i="3"/>
  <c r="H219" i="3"/>
  <c r="AC219" i="3"/>
  <c r="H220" i="3"/>
  <c r="AC220" i="3"/>
  <c r="G220" i="3" s="1"/>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c r="H253" i="3"/>
  <c r="AC253" i="3"/>
  <c r="G253" i="3" s="1"/>
  <c r="H254" i="3"/>
  <c r="AC254" i="3"/>
  <c r="G254" i="3" s="1"/>
  <c r="H255" i="3"/>
  <c r="AC255" i="3"/>
  <c r="H256" i="3"/>
  <c r="AC256" i="3"/>
  <c r="G256" i="3" s="1"/>
  <c r="H257" i="3"/>
  <c r="AC257" i="3"/>
  <c r="H258" i="3"/>
  <c r="AC258" i="3"/>
  <c r="H259" i="3"/>
  <c r="AC259" i="3"/>
  <c r="H260" i="3"/>
  <c r="AC260" i="3"/>
  <c r="G260" i="3" s="1"/>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c r="H285" i="3"/>
  <c r="AC285" i="3"/>
  <c r="G285" i="3" s="1"/>
  <c r="H286" i="3"/>
  <c r="AC286" i="3"/>
  <c r="G286" i="3" s="1"/>
  <c r="H287" i="3"/>
  <c r="AC287" i="3"/>
  <c r="H288" i="3"/>
  <c r="AC288" i="3"/>
  <c r="G288" i="3" s="1"/>
  <c r="H289" i="3"/>
  <c r="AC289" i="3"/>
  <c r="H290" i="3"/>
  <c r="AC290" i="3"/>
  <c r="H291" i="3"/>
  <c r="AC291" i="3"/>
  <c r="H292" i="3"/>
  <c r="AC292" i="3"/>
  <c r="G292" i="3" s="1"/>
  <c r="H293" i="3"/>
  <c r="AC293" i="3"/>
  <c r="H294" i="3"/>
  <c r="AC294" i="3"/>
  <c r="H295" i="3"/>
  <c r="AC295" i="3"/>
  <c r="H296" i="3"/>
  <c r="AC296" i="3"/>
  <c r="H297" i="3"/>
  <c r="AC297" i="3"/>
  <c r="H298" i="3"/>
  <c r="AC298" i="3"/>
  <c r="H299" i="3"/>
  <c r="AC299" i="3"/>
  <c r="H300" i="3"/>
  <c r="AC300" i="3"/>
  <c r="G300" i="3"/>
  <c r="H301" i="3"/>
  <c r="AC301" i="3"/>
  <c r="H302" i="3"/>
  <c r="AC302" i="3"/>
  <c r="G302" i="3" s="1"/>
  <c r="H303" i="3"/>
  <c r="AC303" i="3"/>
  <c r="H304" i="3"/>
  <c r="AC304" i="3"/>
  <c r="H305" i="3"/>
  <c r="AC305" i="3"/>
  <c r="H306" i="3"/>
  <c r="AC306" i="3"/>
  <c r="G306" i="3" s="1"/>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c r="H331" i="3"/>
  <c r="AC331" i="3"/>
  <c r="G331" i="3" s="1"/>
  <c r="H332" i="3"/>
  <c r="AC332" i="3"/>
  <c r="G332" i="3" s="1"/>
  <c r="H333" i="3"/>
  <c r="AC333" i="3"/>
  <c r="H334" i="3"/>
  <c r="AC334" i="3"/>
  <c r="G334" i="3" s="1"/>
  <c r="H335" i="3"/>
  <c r="AC335" i="3"/>
  <c r="H336" i="3"/>
  <c r="AC336" i="3"/>
  <c r="H337" i="3"/>
  <c r="AC337" i="3"/>
  <c r="H338" i="3"/>
  <c r="AC338" i="3"/>
  <c r="G338" i="3" s="1"/>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G366" i="3" s="1"/>
  <c r="H367" i="3"/>
  <c r="AC367" i="3"/>
  <c r="H368" i="3"/>
  <c r="AC368" i="3"/>
  <c r="H369" i="3"/>
  <c r="AC369" i="3"/>
  <c r="H370" i="3"/>
  <c r="AC370" i="3"/>
  <c r="G370" i="3" s="1"/>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G386" i="3" s="1"/>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G402" i="3" s="1"/>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G434" i="3" s="1"/>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G466" i="3" s="1"/>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G478" i="3" s="1"/>
  <c r="H479" i="3"/>
  <c r="AC479" i="3"/>
  <c r="H480" i="3"/>
  <c r="AC480" i="3"/>
  <c r="H481" i="3"/>
  <c r="AC481" i="3"/>
  <c r="H482" i="3"/>
  <c r="AC482" i="3"/>
  <c r="G482" i="3" s="1"/>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G510" i="3" s="1"/>
  <c r="H511" i="3"/>
  <c r="AC511" i="3"/>
  <c r="H512" i="3"/>
  <c r="AC512" i="3"/>
  <c r="H513" i="3"/>
  <c r="AC513" i="3"/>
  <c r="H514" i="3"/>
  <c r="AC514" i="3"/>
  <c r="G514" i="3" s="1"/>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G542" i="3" s="1"/>
  <c r="H543" i="3"/>
  <c r="AC543" i="3"/>
  <c r="H544" i="3"/>
  <c r="AC544" i="3"/>
  <c r="H545" i="3"/>
  <c r="AC545" i="3"/>
  <c r="H546" i="3"/>
  <c r="AC546" i="3"/>
  <c r="G546" i="3" s="1"/>
  <c r="H547" i="3"/>
  <c r="AC547" i="3"/>
  <c r="H548" i="3"/>
  <c r="AC548" i="3"/>
  <c r="H549" i="3"/>
  <c r="AC549" i="3"/>
  <c r="H550" i="3"/>
  <c r="AC550" i="3"/>
  <c r="H551" i="3"/>
  <c r="AC551" i="3"/>
  <c r="H552" i="3"/>
  <c r="AC552" i="3"/>
  <c r="H553" i="3"/>
  <c r="AC553" i="3"/>
  <c r="H554" i="3"/>
  <c r="AC554" i="3"/>
  <c r="G554" i="3"/>
  <c r="H555" i="3"/>
  <c r="AC555" i="3"/>
  <c r="G555" i="3" s="1"/>
  <c r="H556" i="3"/>
  <c r="AC556" i="3"/>
  <c r="G556" i="3" s="1"/>
  <c r="H557" i="3"/>
  <c r="AC557" i="3"/>
  <c r="H558" i="3"/>
  <c r="AC558" i="3"/>
  <c r="G558" i="3" s="1"/>
  <c r="H559" i="3"/>
  <c r="AC559" i="3"/>
  <c r="H560" i="3"/>
  <c r="AC560" i="3"/>
  <c r="H561" i="3"/>
  <c r="AC561" i="3"/>
  <c r="H562" i="3"/>
  <c r="AC562" i="3"/>
  <c r="G562" i="3" s="1"/>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AA3" i="59" s="1"/>
  <c r="P10" i="59"/>
  <c r="E10" i="59" s="1"/>
  <c r="P11" i="59"/>
  <c r="AA10" i="59" s="1"/>
  <c r="P12" i="59"/>
  <c r="P13" i="59"/>
  <c r="AA12" i="59" s="1"/>
  <c r="P14" i="59"/>
  <c r="P15" i="59"/>
  <c r="P16" i="59"/>
  <c r="P17" i="59"/>
  <c r="AA16" i="59" s="1"/>
  <c r="P18" i="59"/>
  <c r="P19" i="59"/>
  <c r="E20" i="59" s="1"/>
  <c r="E21" i="59" s="1"/>
  <c r="E22" i="59" s="1"/>
  <c r="U22" i="59" s="1"/>
  <c r="P20" i="59"/>
  <c r="P21" i="59"/>
  <c r="O6" i="59"/>
  <c r="O7" i="59"/>
  <c r="O8" i="59"/>
  <c r="O9" i="59"/>
  <c r="Y8" i="59" s="1"/>
  <c r="Z8" i="59" s="1"/>
  <c r="O10" i="59"/>
  <c r="O11" i="59"/>
  <c r="C12" i="59" s="1"/>
  <c r="D12" i="59" s="1"/>
  <c r="O12" i="59"/>
  <c r="O13" i="59"/>
  <c r="O14" i="59"/>
  <c r="O15" i="59"/>
  <c r="C16" i="59" s="1"/>
  <c r="D16" i="59" s="1"/>
  <c r="O16" i="59"/>
  <c r="O17" i="59"/>
  <c r="O18" i="59"/>
  <c r="O19" i="59"/>
  <c r="O20" i="59"/>
  <c r="O21" i="59"/>
  <c r="Y20" i="59" s="1"/>
  <c r="Z20" i="59" s="1"/>
  <c r="N6" i="59"/>
  <c r="N7" i="59"/>
  <c r="X6" i="59" s="1"/>
  <c r="N8" i="59"/>
  <c r="N9" i="59"/>
  <c r="X9" i="59" s="1"/>
  <c r="N10" i="59"/>
  <c r="N11" i="59"/>
  <c r="B12" i="59" s="1"/>
  <c r="B13" i="59" s="1"/>
  <c r="B14" i="59" s="1"/>
  <c r="S14"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F5" i="59" s="1"/>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Y11" i="59"/>
  <c r="Z11" i="59" s="1"/>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19" i="63"/>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10"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D92" i="40"/>
  <c r="D90" i="40"/>
  <c r="E90" i="40" s="1"/>
  <c r="D88" i="40"/>
  <c r="E88" i="40" s="1"/>
  <c r="D86" i="40"/>
  <c r="E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0" i="40"/>
  <c r="W10" i="40"/>
  <c r="S11" i="40"/>
  <c r="U11" i="40"/>
  <c r="S36" i="40"/>
  <c r="U36"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U12" i="37"/>
  <c r="AB10" i="37"/>
  <c r="J11" i="37"/>
  <c r="W36" i="40"/>
  <c r="U40" i="39"/>
  <c r="F90" i="40"/>
  <c r="G90" i="40" s="1"/>
  <c r="J21" i="40"/>
  <c r="S27" i="31"/>
  <c r="BT5" i="3"/>
  <c r="J57" i="39"/>
  <c r="H12" i="48"/>
  <c r="I4" i="4"/>
  <c r="K141" i="21"/>
  <c r="K143" i="21"/>
  <c r="K144" i="21"/>
  <c r="I59" i="40"/>
  <c r="C59" i="40" s="1"/>
  <c r="I60" i="40"/>
  <c r="C60" i="40" s="1"/>
  <c r="W9" i="33"/>
  <c r="H7" i="48"/>
  <c r="H113" i="46"/>
  <c r="H17" i="46"/>
  <c r="F33" i="46"/>
  <c r="F35" i="46"/>
  <c r="F37" i="46"/>
  <c r="H16" i="48"/>
  <c r="H9" i="48"/>
  <c r="H8" i="48"/>
  <c r="C12" i="46"/>
  <c r="AB15" i="37"/>
  <c r="U43" i="21"/>
  <c r="E78" i="40"/>
  <c r="F78" i="40" s="1"/>
  <c r="G78" i="40" s="1"/>
  <c r="H78" i="40" s="1"/>
  <c r="I78" i="40" s="1"/>
  <c r="J78" i="40" s="1"/>
  <c r="K78" i="40" s="1"/>
  <c r="L78" i="40" s="1"/>
  <c r="M78" i="40" s="1"/>
  <c r="BH5" i="3"/>
  <c r="R16" i="4"/>
  <c r="P16" i="4"/>
  <c r="D3" i="35"/>
  <c r="G4" i="4"/>
  <c r="S37" i="34"/>
  <c r="J16" i="35"/>
  <c r="W16" i="35"/>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F15" i="40"/>
  <c r="J15" i="40"/>
  <c r="W15" i="40" s="1"/>
  <c r="H15" i="40"/>
  <c r="AB15" i="40" s="1"/>
  <c r="E92" i="40"/>
  <c r="F92" i="40" s="1"/>
  <c r="G92" i="40" s="1"/>
  <c r="H23" i="40"/>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H34" i="40"/>
  <c r="U34" i="40" s="1"/>
  <c r="J42" i="40"/>
  <c r="AC42"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J23" i="40"/>
  <c r="AC23" i="40" s="1"/>
  <c r="F23" i="40"/>
  <c r="S23" i="40" s="1"/>
  <c r="AC15" i="40"/>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AB34" i="40"/>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33" i="40"/>
  <c r="U15" i="40"/>
  <c r="W11" i="40"/>
  <c r="W42" i="40"/>
  <c r="F37" i="40"/>
  <c r="AA37" i="40" s="1"/>
  <c r="J37" i="40"/>
  <c r="AC37" i="40" s="1"/>
  <c r="H37" i="40"/>
  <c r="AB37" i="40" s="1"/>
  <c r="F39" i="40"/>
  <c r="S39" i="40" s="1"/>
  <c r="H39" i="40"/>
  <c r="U39" i="40" s="1"/>
  <c r="J39" i="40"/>
  <c r="W39" i="40" s="1"/>
  <c r="W38" i="40"/>
  <c r="H29" i="40"/>
  <c r="AB29" i="40" s="1"/>
  <c r="J29" i="40"/>
  <c r="AC29" i="40" s="1"/>
  <c r="H19" i="40"/>
  <c r="U19" i="40" s="1"/>
  <c r="J19" i="40"/>
  <c r="W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G29" i="6" s="1"/>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E69" i="46" s="1"/>
  <c r="B67" i="46" s="1"/>
  <c r="E47" i="46"/>
  <c r="B45" i="46" s="1"/>
  <c r="E58" i="46"/>
  <c r="B56" i="46" s="1"/>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B46" i="50"/>
  <c r="B4" i="63" s="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W31" i="39"/>
  <c r="E5" i="6"/>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c r="L20" i="6"/>
  <c r="L19" i="6"/>
  <c r="L27" i="6" s="1"/>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E10" i="11" l="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W37" i="40"/>
  <c r="S37" i="40"/>
  <c r="S38" i="40"/>
  <c r="U37" i="40"/>
  <c r="AB32" i="40"/>
  <c r="W30" i="40"/>
  <c r="U30" i="40"/>
  <c r="S30" i="40"/>
  <c r="G98" i="40"/>
  <c r="H98" i="40" s="1"/>
  <c r="I98" i="40" s="1"/>
  <c r="J98" i="40" s="1"/>
  <c r="K98" i="40" s="1"/>
  <c r="L98" i="40" s="1"/>
  <c r="M98" i="40" s="1"/>
  <c r="F29" i="40"/>
  <c r="S29" i="40" s="1"/>
  <c r="W29" i="40"/>
  <c r="U27" i="40"/>
  <c r="AB27" i="40"/>
  <c r="W27" i="40"/>
  <c r="S25" i="40"/>
  <c r="AA23" i="40"/>
  <c r="W23" i="40"/>
  <c r="F21" i="40"/>
  <c r="H21" i="40"/>
  <c r="F88" i="40"/>
  <c r="G88" i="40" s="1"/>
  <c r="F19" i="40"/>
  <c r="AA19" i="40" s="1"/>
  <c r="AC19" i="40"/>
  <c r="F86" i="40"/>
  <c r="G86" i="40" s="1"/>
  <c r="H17" i="40"/>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AB17" i="40"/>
  <c r="U17" i="40"/>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AC21" i="40"/>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S21" i="40"/>
  <c r="AA21" i="40"/>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G3" i="81" s="1"/>
  <c r="F10" i="1"/>
  <c r="I20" i="86" s="1"/>
  <c r="D100" i="46"/>
  <c r="U10" i="59"/>
  <c r="E9" i="59"/>
  <c r="E8" i="59" s="1"/>
  <c r="AA12" i="46"/>
  <c r="AE12" i="46"/>
  <c r="AI12" i="46"/>
  <c r="H1" i="65"/>
  <c r="C21" i="59"/>
  <c r="C17" i="59"/>
  <c r="C13" i="59"/>
  <c r="C15" i="43"/>
  <c r="C28" i="70"/>
  <c r="C28" i="68"/>
  <c r="K76" i="9"/>
  <c r="K77" i="9" s="1"/>
  <c r="K79" i="9" s="1"/>
  <c r="K81" i="9" s="1"/>
  <c r="AB6" i="59"/>
  <c r="C19" i="46" s="1"/>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c r="M40" i="74" s="1"/>
  <c r="K40" i="74"/>
  <c r="J15" i="74"/>
  <c r="K15" i="74" s="1"/>
  <c r="J11" i="74"/>
  <c r="K11" i="74" s="1"/>
  <c r="L11" i="74"/>
  <c r="J34" i="74"/>
  <c r="K34" i="74"/>
  <c r="S34" i="74" s="1"/>
  <c r="M34" i="74" s="1"/>
  <c r="J30" i="74"/>
  <c r="K30" i="74" s="1"/>
  <c r="S21" i="74"/>
  <c r="M21" i="74" s="1"/>
  <c r="J21" i="74"/>
  <c r="K21" i="74" s="1"/>
  <c r="S17" i="74"/>
  <c r="M17" i="74" s="1"/>
  <c r="J17" i="74"/>
  <c r="K17" i="74" s="1"/>
  <c r="N13" i="74"/>
  <c r="P13" i="74" s="1"/>
  <c r="Q13" i="74" s="1"/>
  <c r="J29" i="74"/>
  <c r="J33" i="74"/>
  <c r="J37" i="74"/>
  <c r="K37" i="74" s="1"/>
  <c r="S37" i="74"/>
  <c r="M37" i="74" s="1"/>
  <c r="S14" i="74"/>
  <c r="M14" i="74" s="1"/>
  <c r="S27" i="74"/>
  <c r="M27" i="74" s="1"/>
  <c r="N27" i="74" s="1"/>
  <c r="P27" i="74" s="1"/>
  <c r="Q27" i="74" s="1"/>
  <c r="S13" i="74"/>
  <c r="M13" i="74" s="1"/>
  <c r="S6" i="74"/>
  <c r="M6" i="74" s="1"/>
  <c r="N6" i="74" s="1"/>
  <c r="P6" i="74" s="1"/>
  <c r="Q6" i="74" s="1"/>
  <c r="S8" i="74"/>
  <c r="M8" i="74" s="1"/>
  <c r="P62" i="68"/>
  <c r="D22" i="69"/>
  <c r="P62" i="70"/>
  <c r="D22" i="71"/>
  <c r="F28" i="72"/>
  <c r="C28" i="72" s="1"/>
  <c r="N8" i="74"/>
  <c r="P8" i="74" s="1"/>
  <c r="Q8" i="74" s="1"/>
  <c r="N14" i="74"/>
  <c r="P14" i="74" s="1"/>
  <c r="Q14"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37" i="74"/>
  <c r="L40" i="74"/>
  <c r="K3" i="74"/>
  <c r="S3" i="74" s="1"/>
  <c r="M3" i="74" s="1"/>
  <c r="C14" i="12"/>
  <c r="C25" i="12" l="1"/>
  <c r="C15" i="12"/>
  <c r="C28" i="15"/>
  <c r="H81" i="46"/>
  <c r="H86" i="46"/>
  <c r="H85" i="46"/>
  <c r="H80" i="46"/>
  <c r="H82" i="46"/>
  <c r="H87" i="46"/>
  <c r="H83" i="46"/>
  <c r="H84" i="46"/>
  <c r="AA9" i="33"/>
  <c r="S9" i="33"/>
  <c r="E63" i="39"/>
  <c r="E58" i="40"/>
  <c r="N37" i="74"/>
  <c r="P37" i="74" s="1"/>
  <c r="Q37" i="74" s="1"/>
  <c r="K25" i="74"/>
  <c r="S25" i="74" s="1"/>
  <c r="M25" i="74" s="1"/>
  <c r="J7" i="34"/>
  <c r="F17" i="40"/>
  <c r="J17" i="40"/>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W17" i="40"/>
  <c r="AC17"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5" i="75"/>
  <c r="D6" i="75" s="1"/>
  <c r="G9" i="75"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P16" i="1" l="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M20" i="86" s="1"/>
  <c r="T14" i="59"/>
  <c r="K19" i="6"/>
  <c r="K22" i="6"/>
  <c r="K21" i="6"/>
  <c r="E31" i="6"/>
  <c r="D1" i="86" s="1"/>
  <c r="K26" i="6"/>
  <c r="M26" i="6" s="1"/>
  <c r="I26" i="6" s="1"/>
  <c r="S26" i="6" s="1"/>
  <c r="K20" i="6"/>
  <c r="K23" i="6"/>
  <c r="K24" i="6"/>
  <c r="N30" i="74"/>
  <c r="P30" i="74" s="1"/>
  <c r="Q30" i="74" s="1"/>
  <c r="S36" i="74"/>
  <c r="M36" i="74" s="1"/>
  <c r="N36" i="74" s="1"/>
  <c r="P36" i="74" s="1"/>
  <c r="Q36" i="74" s="1"/>
  <c r="Q43" i="74" s="1"/>
  <c r="D6" i="81"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E6" i="3" l="1"/>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3" i="77"/>
  <c r="D5" i="77" s="1"/>
  <c r="D16" i="43"/>
  <c r="C16" i="43" s="1"/>
  <c r="L38" i="9"/>
  <c r="B14" i="66" s="1"/>
  <c r="B1" i="66" s="1"/>
  <c r="D16" i="12"/>
  <c r="E6" i="6"/>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F10" i="81" s="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L47" i="68"/>
  <c r="M26" i="72"/>
  <c r="M27" i="72"/>
  <c r="J4" i="65"/>
  <c r="F37" i="72"/>
  <c r="M29" i="70"/>
  <c r="M22" i="70"/>
  <c r="F9" i="69"/>
  <c r="F26" i="72"/>
  <c r="F9" i="68"/>
  <c r="F16" i="70"/>
  <c r="M24" i="15"/>
  <c r="F36" i="69"/>
  <c r="J3" i="65"/>
  <c r="B14" i="67"/>
  <c r="F42" i="72"/>
  <c r="M29" i="68"/>
  <c r="M28" i="70"/>
  <c r="M6" i="71"/>
  <c r="F35" i="71"/>
  <c r="F40" i="15"/>
  <c r="M28" i="44"/>
  <c r="M27" i="68"/>
  <c r="L48" i="69"/>
  <c r="M11" i="44"/>
  <c r="F42" i="70"/>
  <c r="N4" i="65"/>
  <c r="M8" i="68"/>
  <c r="F13" i="15"/>
  <c r="M6" i="72"/>
  <c r="M31" i="44"/>
  <c r="M24" i="70"/>
  <c r="F6" i="71"/>
  <c r="F13" i="70"/>
  <c r="F16" i="15"/>
  <c r="J15" i="69"/>
  <c r="M24" i="69"/>
  <c r="C14" i="69"/>
  <c r="J15" i="71"/>
  <c r="J36" i="71"/>
  <c r="L47" i="71"/>
  <c r="F26" i="15"/>
  <c r="M29" i="15"/>
  <c r="L48" i="72"/>
  <c r="M6" i="70"/>
  <c r="M30" i="44"/>
  <c r="F36" i="70"/>
  <c r="L48" i="70"/>
  <c r="E11" i="67"/>
  <c r="M27" i="69"/>
  <c r="J17" i="44"/>
  <c r="F16" i="69"/>
  <c r="F16" i="71"/>
  <c r="J36" i="72"/>
  <c r="J36" i="15"/>
  <c r="M22" i="68"/>
  <c r="F9" i="15"/>
  <c r="F43" i="44"/>
  <c r="M21" i="68"/>
  <c r="I6" i="65"/>
  <c r="E13" i="67"/>
  <c r="F10" i="44"/>
  <c r="M9" i="69"/>
  <c r="M25" i="44"/>
  <c r="C19" i="44"/>
  <c r="F8" i="44"/>
  <c r="F36" i="15"/>
  <c r="E9" i="67"/>
  <c r="M21" i="71"/>
  <c r="J5" i="65"/>
  <c r="J36" i="70"/>
  <c r="M24" i="71"/>
  <c r="M26" i="68"/>
  <c r="M8" i="70"/>
  <c r="F7" i="71"/>
  <c r="C14" i="71"/>
  <c r="B11" i="67"/>
  <c r="C14" i="15"/>
  <c r="F37" i="70"/>
  <c r="E14" i="67"/>
  <c r="M9" i="15"/>
  <c r="F6" i="72"/>
  <c r="M8" i="15"/>
  <c r="L48" i="15"/>
  <c r="F38" i="68"/>
  <c r="F6" i="15"/>
  <c r="F7" i="72"/>
  <c r="L48" i="71"/>
  <c r="F36" i="68"/>
  <c r="F16" i="72"/>
  <c r="F7" i="69"/>
  <c r="J7" i="65"/>
  <c r="M24" i="68"/>
  <c r="M28" i="69"/>
  <c r="F40" i="69"/>
  <c r="M23" i="72"/>
  <c r="J15" i="68"/>
  <c r="M24" i="44"/>
  <c r="M29" i="44"/>
  <c r="F8" i="69"/>
  <c r="E10" i="67"/>
  <c r="F38" i="15"/>
  <c r="M8" i="72"/>
  <c r="M23" i="68"/>
  <c r="F6" i="69"/>
  <c r="F26" i="68"/>
  <c r="L48" i="68"/>
  <c r="F8" i="71"/>
  <c r="B9" i="67"/>
  <c r="M22" i="71"/>
  <c r="F13" i="67"/>
  <c r="J36" i="68"/>
  <c r="F9" i="67"/>
  <c r="F38" i="70"/>
  <c r="J6" i="65"/>
  <c r="E12" i="67"/>
  <c r="M9" i="72"/>
  <c r="F35" i="68"/>
  <c r="B8" i="67"/>
  <c r="F14" i="67"/>
  <c r="M8" i="69"/>
  <c r="F38" i="71"/>
  <c r="M24" i="72"/>
  <c r="F13" i="68"/>
  <c r="F12" i="67"/>
  <c r="L48" i="44"/>
  <c r="J15" i="72"/>
  <c r="F40" i="71"/>
  <c r="F6" i="68"/>
  <c r="F7" i="68"/>
  <c r="F37" i="68"/>
  <c r="N7" i="65"/>
  <c r="F8" i="67"/>
  <c r="F8" i="70"/>
  <c r="F37" i="69"/>
  <c r="F13" i="72"/>
  <c r="M10" i="44"/>
  <c r="M6" i="68"/>
  <c r="F43" i="70"/>
  <c r="M8" i="71"/>
  <c r="M9" i="68"/>
  <c r="M23" i="44"/>
  <c r="E8" i="67"/>
  <c r="F6" i="70"/>
  <c r="M29" i="72"/>
  <c r="C14" i="70"/>
  <c r="F11" i="67"/>
  <c r="F40" i="44"/>
  <c r="M9" i="70"/>
  <c r="F36" i="72"/>
  <c r="L47" i="15"/>
  <c r="M29" i="69"/>
  <c r="F7" i="70"/>
  <c r="M22" i="69"/>
  <c r="F38" i="44"/>
  <c r="F8" i="72"/>
  <c r="F26" i="69"/>
  <c r="F39" i="44"/>
  <c r="M22" i="15"/>
  <c r="N5" i="65"/>
  <c r="F13" i="69"/>
  <c r="F38" i="72"/>
  <c r="M23" i="69"/>
  <c r="M27" i="15"/>
  <c r="F13" i="71"/>
  <c r="F36" i="71"/>
  <c r="N6" i="65"/>
  <c r="F38" i="69"/>
  <c r="M28" i="68"/>
  <c r="M26" i="44"/>
  <c r="J15" i="15"/>
  <c r="F9" i="44"/>
  <c r="M22" i="72"/>
  <c r="I5" i="65"/>
  <c r="C14" i="72"/>
  <c r="F43" i="68"/>
  <c r="F9" i="72"/>
  <c r="M23" i="70"/>
  <c r="F40" i="70"/>
  <c r="F42" i="15"/>
  <c r="F9" i="71"/>
  <c r="N3" i="65"/>
  <c r="J36" i="69"/>
  <c r="M28" i="71"/>
  <c r="F43" i="69"/>
  <c r="M6" i="15"/>
  <c r="I4" i="65"/>
  <c r="M27" i="70"/>
  <c r="M9" i="71"/>
  <c r="F18" i="44"/>
  <c r="M23" i="71"/>
  <c r="L47" i="72"/>
  <c r="F37" i="44"/>
  <c r="F7" i="15"/>
  <c r="F42" i="69"/>
  <c r="F10" i="67"/>
  <c r="M29" i="71"/>
  <c r="J15" i="70"/>
  <c r="F15" i="44"/>
  <c r="B13" i="67"/>
  <c r="F26" i="71"/>
  <c r="M26" i="69"/>
  <c r="L47" i="70"/>
  <c r="F43" i="72"/>
  <c r="M26" i="71"/>
  <c r="F16" i="68"/>
  <c r="L49" i="44"/>
  <c r="F42" i="68"/>
  <c r="M8" i="44"/>
  <c r="M26" i="70"/>
  <c r="F37" i="15"/>
  <c r="F28" i="44"/>
  <c r="F8" i="15"/>
  <c r="B10" i="67"/>
  <c r="M23" i="15"/>
  <c r="I7" i="65"/>
  <c r="F40" i="72"/>
  <c r="F45" i="44"/>
  <c r="C14" i="68"/>
  <c r="I3" i="65"/>
  <c r="F43" i="71"/>
  <c r="M26" i="15"/>
  <c r="L47" i="69"/>
  <c r="M28" i="72"/>
  <c r="M6" i="69"/>
  <c r="F37" i="71"/>
  <c r="F9" i="70"/>
  <c r="F46" i="44"/>
  <c r="F40" i="68"/>
  <c r="F8" i="68"/>
  <c r="F26" i="70"/>
  <c r="F42" i="71"/>
  <c r="M28" i="15"/>
  <c r="B12" i="67"/>
  <c r="F43" i="15"/>
  <c r="F11" i="44"/>
  <c r="M27" i="71"/>
  <c r="I1" i="65" l="1"/>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46" i="15"/>
  <c r="L57" i="15"/>
  <c r="J53" i="15"/>
  <c r="Q53" i="15" s="1"/>
  <c r="I54" i="15"/>
  <c r="L60" i="15"/>
  <c r="Q58" i="15" s="1"/>
  <c r="J57" i="15"/>
  <c r="J55" i="15" s="1"/>
  <c r="J58" i="15" s="1"/>
  <c r="Q51" i="15" s="1"/>
  <c r="J59" i="15"/>
  <c r="F65" i="15"/>
  <c r="F50" i="72"/>
  <c r="L60" i="44"/>
  <c r="Q63" i="44" s="1"/>
  <c r="L59" i="44"/>
  <c r="Q62" i="44" s="1"/>
  <c r="C4" i="65"/>
  <c r="B39" i="1" s="1"/>
  <c r="F11" i="15" s="1"/>
  <c r="C10" i="15" s="1"/>
  <c r="C5" i="15" s="1"/>
  <c r="C33"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Q58" i="68"/>
  <c r="Q75" i="68"/>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6" i="68"/>
  <c r="C16" i="70"/>
  <c r="C17" i="71"/>
  <c r="F33" i="44"/>
  <c r="M21" i="72"/>
  <c r="F58" i="15"/>
  <c r="C16" i="71"/>
  <c r="M17" i="72"/>
  <c r="F58" i="70"/>
  <c r="C17" i="72"/>
  <c r="F58" i="72"/>
  <c r="C17" i="70"/>
  <c r="AE10" i="1"/>
  <c r="M17" i="15"/>
  <c r="M21" i="69"/>
  <c r="C16" i="72"/>
  <c r="F31" i="71"/>
  <c r="C17" i="15"/>
  <c r="F31" i="15"/>
  <c r="C16" i="44"/>
  <c r="E3" i="65"/>
  <c r="C17" i="68"/>
  <c r="M17" i="71"/>
  <c r="F31" i="68"/>
  <c r="F35" i="70"/>
  <c r="C18" i="44"/>
  <c r="C16" i="69"/>
  <c r="F58" i="69"/>
  <c r="M17" i="70"/>
  <c r="C17" i="69"/>
  <c r="E2" i="65"/>
  <c r="F31" i="70"/>
  <c r="C16" i="15"/>
  <c r="F58" i="68"/>
  <c r="F58" i="71"/>
  <c r="M17" i="69"/>
  <c r="F35" i="72"/>
  <c r="F31" i="69"/>
  <c r="F31" i="72"/>
  <c r="F35" i="69"/>
  <c r="M19" i="44"/>
  <c r="M17" i="68"/>
  <c r="M21" i="70"/>
  <c r="Q67" i="72" l="1"/>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C47" i="15" s="1"/>
  <c r="C59" i="15" s="1"/>
  <c r="M11" i="71"/>
  <c r="J10" i="71" s="1"/>
  <c r="J5" i="71" s="1"/>
  <c r="J26" i="71" s="1"/>
  <c r="Q74" i="69"/>
  <c r="C48" i="72"/>
  <c r="M11" i="70"/>
  <c r="J10" i="70" s="1"/>
  <c r="F11" i="68"/>
  <c r="C10"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F13" i="44"/>
  <c r="C12" i="44" s="1"/>
  <c r="C7" i="44" s="1"/>
  <c r="C40" i="44" s="1"/>
  <c r="O17" i="86"/>
  <c r="P17" i="86"/>
  <c r="G20" i="86" s="1"/>
  <c r="C5" i="70"/>
  <c r="C33" i="70" s="1"/>
  <c r="Q62" i="71"/>
  <c r="N17" i="86"/>
  <c r="C48" i="70"/>
  <c r="C48" i="69"/>
  <c r="J5" i="70"/>
  <c r="J24" i="70" s="1"/>
  <c r="O17" i="46"/>
  <c r="Q75" i="70"/>
  <c r="Q75" i="69"/>
  <c r="L46" i="70"/>
  <c r="C5" i="68"/>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32" i="68"/>
  <c r="C7" i="11"/>
  <c r="C18" i="11" s="1"/>
  <c r="K3" i="79"/>
  <c r="C38" i="15"/>
  <c r="C32"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M21" i="15"/>
  <c r="AE7" i="1"/>
  <c r="AE6" i="1"/>
  <c r="AE8" i="1"/>
  <c r="L52" i="44"/>
  <c r="F35" i="15"/>
  <c r="AE11" i="1"/>
  <c r="AE9" i="1"/>
  <c r="F41" i="71"/>
  <c r="C32" i="70" l="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C60" i="15"/>
  <c r="C65" i="15"/>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31" i="70"/>
  <c r="C26" i="70"/>
  <c r="C21" i="44"/>
  <c r="C22" i="44" s="1"/>
  <c r="C28" i="44" s="1"/>
  <c r="C20" i="68"/>
  <c r="C26" i="68" s="1"/>
  <c r="C34" i="15"/>
  <c r="C31" i="15" s="1"/>
  <c r="F62" i="15"/>
  <c r="C61" i="15" s="1"/>
  <c r="J20" i="15"/>
  <c r="M72" i="39"/>
  <c r="N70" i="39"/>
  <c r="N72" i="39" s="1"/>
  <c r="C26" i="72"/>
  <c r="R16" i="1"/>
  <c r="N65" i="40"/>
  <c r="N67" i="40" s="1"/>
  <c r="M67" i="40"/>
  <c r="F41" i="70"/>
  <c r="F41" i="69"/>
  <c r="F41" i="72"/>
  <c r="F41" i="68"/>
  <c r="F41" i="15"/>
  <c r="F68" i="72" l="1"/>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58" i="68"/>
  <c r="C27" i="86"/>
  <c r="C58" i="15"/>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B5" i="11"/>
  <c r="J9" i="39"/>
  <c r="F9" i="39"/>
  <c r="H9" i="39"/>
  <c r="D19" i="9"/>
  <c r="J19" i="15" l="1"/>
  <c r="J17" i="15" s="1"/>
  <c r="C36" i="15"/>
  <c r="C13" i="15"/>
  <c r="C55" i="15" s="1"/>
  <c r="C64" i="15" s="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13" i="72"/>
  <c r="C37" i="72" s="1"/>
  <c r="J14" i="72"/>
  <c r="J22" i="72" s="1"/>
  <c r="J19" i="72"/>
  <c r="J17" i="72" s="1"/>
  <c r="Q50" i="72"/>
  <c r="C56" i="72"/>
  <c r="C63" i="72" s="1"/>
  <c r="C36" i="72"/>
  <c r="C36" i="70"/>
  <c r="C56" i="70"/>
  <c r="C63" i="70" s="1"/>
  <c r="J14" i="70"/>
  <c r="J13" i="70" s="1"/>
  <c r="J23" i="70" s="1"/>
  <c r="C13" i="70"/>
  <c r="C37" i="70" s="1"/>
  <c r="Q50" i="70"/>
  <c r="B2" i="87"/>
  <c r="B5" i="87" s="1"/>
  <c r="B3" i="86"/>
  <c r="I8" i="81" s="1"/>
  <c r="C30" i="71"/>
  <c r="C39" i="71" s="1"/>
  <c r="C40" i="71" s="1"/>
  <c r="W9" i="40"/>
  <c r="C29" i="46"/>
  <c r="S5" i="46"/>
  <c r="T5" i="46" s="1"/>
  <c r="V5" i="46" s="1"/>
  <c r="S2" i="46"/>
  <c r="T2" i="46" s="1"/>
  <c r="V2" i="46" s="1"/>
  <c r="S3" i="46"/>
  <c r="T3" i="46" s="1"/>
  <c r="V3" i="46" s="1"/>
  <c r="S4" i="46"/>
  <c r="T4" i="46" s="1"/>
  <c r="V4" i="46" s="1"/>
  <c r="S6" i="46"/>
  <c r="T6" i="46" s="1"/>
  <c r="V6" i="46" s="1"/>
  <c r="S7" i="46"/>
  <c r="T7" i="46" s="1"/>
  <c r="V7" i="46" s="1"/>
  <c r="D113" i="46"/>
  <c r="J35" i="15"/>
  <c r="J13" i="69"/>
  <c r="J23" i="69" s="1"/>
  <c r="J16" i="69" s="1"/>
  <c r="J25" i="69" s="1"/>
  <c r="C55" i="71"/>
  <c r="C64" i="71" s="1"/>
  <c r="J14" i="68"/>
  <c r="C37" i="69"/>
  <c r="C30" i="69" s="1"/>
  <c r="C39" i="69" s="1"/>
  <c r="C40" i="69" s="1"/>
  <c r="Q71" i="15"/>
  <c r="C57" i="15"/>
  <c r="C66" i="15" s="1"/>
  <c r="C67" i="15" s="1"/>
  <c r="C70" i="15" s="1"/>
  <c r="C37" i="15"/>
  <c r="C30" i="15" s="1"/>
  <c r="C39" i="15" s="1"/>
  <c r="C40" i="15" s="1"/>
  <c r="C13" i="68"/>
  <c r="Q50" i="68"/>
  <c r="J19" i="68"/>
  <c r="J17" i="68" s="1"/>
  <c r="C36" i="68"/>
  <c r="C55" i="69"/>
  <c r="C64" i="69" s="1"/>
  <c r="C57" i="69" s="1"/>
  <c r="C66" i="69" s="1"/>
  <c r="C67" i="69" s="1"/>
  <c r="C70" i="69" s="1"/>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J13" i="72"/>
  <c r="J23" i="72" s="1"/>
  <c r="J35" i="72"/>
  <c r="L44" i="9"/>
  <c r="L51" i="71"/>
  <c r="D21" i="9"/>
  <c r="D20" i="9"/>
  <c r="Q71" i="69" l="1"/>
  <c r="J13" i="15"/>
  <c r="J23" i="15" s="1"/>
  <c r="J16" i="15" s="1"/>
  <c r="J25" i="15" s="1"/>
  <c r="C57" i="71"/>
  <c r="C66" i="71" s="1"/>
  <c r="C67" i="71" s="1"/>
  <c r="C70" i="71" s="1"/>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J39" i="70" s="1"/>
  <c r="J40" i="70" s="1"/>
  <c r="I16" i="81"/>
  <c r="I17" i="81" s="1"/>
  <c r="B3" i="87"/>
  <c r="K8" i="81" s="1"/>
  <c r="B4" i="87"/>
  <c r="Q70" i="71"/>
  <c r="C30" i="46"/>
  <c r="E30" i="46" s="1"/>
  <c r="C27" i="46" s="1"/>
  <c r="E29" i="46"/>
  <c r="G14" i="81" s="1"/>
  <c r="I20" i="81" s="1"/>
  <c r="J39" i="15"/>
  <c r="J40" i="15" s="1"/>
  <c r="Q70" i="15"/>
  <c r="Q69" i="15" s="1"/>
  <c r="C46" i="71"/>
  <c r="J39" i="69"/>
  <c r="J40" i="69" s="1"/>
  <c r="Q70" i="69"/>
  <c r="Q69" i="69" s="1"/>
  <c r="J22" i="68"/>
  <c r="J13" i="68"/>
  <c r="J23" i="68" s="1"/>
  <c r="C46" i="69"/>
  <c r="J16" i="72"/>
  <c r="J25" i="72" s="1"/>
  <c r="C55" i="68"/>
  <c r="C64" i="68" s="1"/>
  <c r="C57" i="68" s="1"/>
  <c r="C66" i="68" s="1"/>
  <c r="C67" i="68" s="1"/>
  <c r="C70" i="68" s="1"/>
  <c r="J35" i="68"/>
  <c r="C37" i="68"/>
  <c r="C30" i="68" s="1"/>
  <c r="C39" i="68" s="1"/>
  <c r="Q71" i="68"/>
  <c r="Q68" i="71"/>
  <c r="G53" i="39"/>
  <c r="H53" i="39" s="1"/>
  <c r="G54" i="39"/>
  <c r="H54" i="39" s="1"/>
  <c r="R50" i="39"/>
  <c r="E49" i="39"/>
  <c r="I54" i="39" s="1"/>
  <c r="J54" i="39" s="1"/>
  <c r="R45" i="40"/>
  <c r="E44" i="40"/>
  <c r="I53" i="39"/>
  <c r="J53" i="39" s="1"/>
  <c r="C43" i="44"/>
  <c r="C39" i="44"/>
  <c r="C32" i="44" s="1"/>
  <c r="C42" i="44" s="1"/>
  <c r="Q72" i="44"/>
  <c r="G49" i="40"/>
  <c r="H49" i="40" s="1"/>
  <c r="G48" i="40"/>
  <c r="H48" i="40" s="1"/>
  <c r="E10" i="43"/>
  <c r="Q66" i="69"/>
  <c r="Q76" i="69" s="1"/>
  <c r="C43" i="69"/>
  <c r="J42" i="69"/>
  <c r="J43" i="69" s="1"/>
  <c r="Q57" i="69"/>
  <c r="Q63" i="69" s="1"/>
  <c r="Q48" i="69"/>
  <c r="Q54" i="69" s="1"/>
  <c r="B2" i="69"/>
  <c r="B3" i="69" s="1"/>
  <c r="Q48" i="71"/>
  <c r="Q54" i="71" s="1"/>
  <c r="G10" i="43"/>
  <c r="B2" i="71"/>
  <c r="B3" i="71" s="1"/>
  <c r="Q66" i="71"/>
  <c r="Q76" i="71" s="1"/>
  <c r="C43" i="71"/>
  <c r="Q57" i="71"/>
  <c r="Q63" i="71" s="1"/>
  <c r="J42" i="71"/>
  <c r="J43" i="71" s="1"/>
  <c r="J15" i="44"/>
  <c r="J25" i="44" s="1"/>
  <c r="J24" i="44"/>
  <c r="C46" i="15"/>
  <c r="B2" i="15"/>
  <c r="B3" i="15" s="1"/>
  <c r="C10" i="43"/>
  <c r="Q66" i="15"/>
  <c r="Q76" i="15" s="1"/>
  <c r="Q48" i="15"/>
  <c r="Q54" i="15" s="1"/>
  <c r="C43" i="15"/>
  <c r="Q57" i="15"/>
  <c r="Q63" i="15" s="1"/>
  <c r="J42" i="15"/>
  <c r="J43" i="15" s="1"/>
  <c r="L51" i="15"/>
  <c r="L51" i="70"/>
  <c r="L51" i="69"/>
  <c r="F7" i="67"/>
  <c r="L51" i="68"/>
  <c r="C40" i="70" l="1"/>
  <c r="F10" i="43" s="1"/>
  <c r="Q68" i="69"/>
  <c r="C40" i="72"/>
  <c r="Q66" i="72" s="1"/>
  <c r="Q76" i="72" s="1"/>
  <c r="Q69" i="71"/>
  <c r="G17" i="81"/>
  <c r="Q69" i="72"/>
  <c r="J39" i="72"/>
  <c r="J40" i="72" s="1"/>
  <c r="Q69" i="70"/>
  <c r="G15" i="81"/>
  <c r="C46" i="70"/>
  <c r="E4" i="67"/>
  <c r="C26" i="46"/>
  <c r="Q68" i="15"/>
  <c r="Q68" i="70"/>
  <c r="J42" i="70"/>
  <c r="J43" i="70" s="1"/>
  <c r="B2" i="70"/>
  <c r="B3" i="70" s="1"/>
  <c r="C43" i="70"/>
  <c r="Q48" i="70"/>
  <c r="Q54" i="70" s="1"/>
  <c r="Q57" i="70"/>
  <c r="Q63" i="70" s="1"/>
  <c r="Q66" i="70"/>
  <c r="Q76" i="70" s="1"/>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Q57" i="72"/>
  <c r="Q63" i="72" s="1"/>
  <c r="Q48" i="72"/>
  <c r="Q54" i="72" s="1"/>
  <c r="E7" i="67"/>
  <c r="L51" i="72"/>
  <c r="C43" i="72" l="1"/>
  <c r="C46" i="72"/>
  <c r="Q68" i="72"/>
  <c r="J42" i="72"/>
  <c r="J43" i="72" s="1"/>
  <c r="H10" i="43"/>
  <c r="B2" i="72"/>
  <c r="B3" i="72" s="1"/>
  <c r="K16" i="81"/>
  <c r="K14" i="81"/>
  <c r="I26" i="81"/>
  <c r="E3" i="67"/>
  <c r="B2" i="46"/>
  <c r="C46" i="68"/>
  <c r="Q66" i="68"/>
  <c r="Q76" i="68" s="1"/>
  <c r="B2" i="68"/>
  <c r="B3" i="68" s="1"/>
  <c r="J42" i="68"/>
  <c r="J43" i="68" s="1"/>
  <c r="D10" i="43"/>
  <c r="Q48" i="68"/>
  <c r="Q54" i="68" s="1"/>
  <c r="C43" i="68"/>
  <c r="Q57" i="68"/>
  <c r="Q63" i="68" s="1"/>
  <c r="C6" i="43"/>
  <c r="C31" i="43" s="1"/>
  <c r="C32" i="43" s="1"/>
  <c r="B2" i="43" s="1"/>
  <c r="B3" i="43"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C19" i="9"/>
  <c r="B7" i="67"/>
  <c r="E5" i="89" l="1"/>
  <c r="K17" i="81"/>
  <c r="I22" i="81" s="1"/>
  <c r="K15" i="81"/>
  <c r="I28" i="81" s="1"/>
  <c r="L43" i="9"/>
  <c r="D22" i="9"/>
  <c r="G19" i="9"/>
  <c r="B2" i="67"/>
  <c r="B3" i="46"/>
  <c r="I5" i="81" s="1"/>
  <c r="B4" i="46"/>
  <c r="J5" i="81" s="1"/>
  <c r="I7" i="81" s="1"/>
  <c r="D4" i="46"/>
  <c r="B5" i="43"/>
  <c r="B4" i="43"/>
  <c r="B3" i="39"/>
  <c r="B5" i="39"/>
  <c r="B4" i="39"/>
  <c r="B4" i="40"/>
  <c r="N5" i="81" s="1"/>
  <c r="B3" i="40"/>
  <c r="M5" i="81" s="1"/>
  <c r="B5" i="40"/>
  <c r="C21" i="9"/>
  <c r="C20" i="9"/>
  <c r="H5" i="89" l="1"/>
  <c r="E12" i="89"/>
  <c r="G20" i="9"/>
  <c r="D5" i="81"/>
  <c r="G21" i="9"/>
  <c r="N43" i="9"/>
  <c r="G22" i="9"/>
  <c r="D4" i="78"/>
  <c r="C32" i="9"/>
  <c r="B4" i="67"/>
  <c r="B3" i="67"/>
  <c r="D5" i="78" l="1"/>
  <c r="D4" i="81"/>
  <c r="D13" i="81" s="1"/>
  <c r="D10" i="78"/>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<sst xmlns="http://schemas.openxmlformats.org/spreadsheetml/2006/main" count="10164" uniqueCount="3601">
  <si>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</si>
  <si>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</si>
  <si>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</si>
  <si>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</si>
  <si>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</si>
  <si>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</si>
  <si>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</si>
  <si>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</si>
  <si>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</si>
  <si>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</si>
  <si>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</si>
  <si>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</si>
  <si>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</si>
  <si>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</si>
  <si>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</si>
  <si>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</si>
  <si>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</si>
  <si>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</si>
  <si>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</si>
  <si>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</si>
  <si>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</si>
  <si>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</si>
  <si>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</si>
  <si>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</si>
  <si>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</si>
  <si>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</si>
  <si>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</si>
  <si>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</si>
  <si>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</si>
  <si>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</si>
  <si>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</si>
  <si>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</si>
  <si>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</si>
  <si>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</si>
  <si>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</si>
  <si>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</si>
  <si>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</si>
  <si>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</si>
  <si>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</si>
  <si>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</si>
  <si>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</si>
  <si>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</si>
  <si>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</si>
  <si>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</si>
  <si>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</si>
  <si>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</si>
  <si>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</si>
  <si>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</si>
  <si>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</si>
  <si>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</si>
  <si>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</si>
  <si>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</si>
  <si>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</si>
  <si>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</si>
  <si>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</si>
  <si>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</si>
  <si>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</si>
  <si>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</si>
  <si>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</si>
  <si>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</si>
  <si>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</si>
  <si>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</si>
  <si>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</si>
  <si>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</si>
  <si>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</si>
  <si>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</si>
  <si>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</si>
  <si>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</si>
  <si>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</si>
  <si>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</si>
  <si>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</si>
  <si>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</si>
  <si>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</si>
  <si>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</si>
  <si>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</si>
  <si>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</si>
  <si>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</si>
  <si>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</si>
  <si>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</si>
  <si>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</si>
  <si>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</si>
  <si>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</si>
  <si>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</si>
  <si>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</si>
  <si>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</si>
  <si>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</si>
  <si>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</si>
  <si>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</si>
  <si>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</si>
  <si>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</si>
  <si>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</si>
  <si>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</si>
  <si>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</si>
  <si>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</si>
  <si>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</si>
  <si>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</si>
  <si>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</si>
  <si>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</si>
  <si>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</si>
  <si>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</si>
  <si>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</si>
  <si>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</si>
  <si>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</si>
  <si>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</si>
  <si>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</si>
  <si>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</si>
  <si>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</si>
  <si>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</si>
  <si>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</si>
  <si>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</si>
  <si>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</si>
  <si>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</si>
  <si>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</si>
  <si>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</si>
  <si>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</si>
  <si>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</si>
  <si>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</si>
  <si>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</si>
  <si>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</si>
  <si>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</si>
  <si>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</si>
  <si>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</si>
  <si>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</si>
  <si>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</si>
  <si>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</si>
  <si>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</si>
  <si>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</si>
  <si>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</si>
  <si>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</si>
  <si>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</si>
  <si>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</si>
  <si>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</si>
  <si>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</si>
  <si>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</si>
  <si>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</si>
  <si>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</si>
  <si>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</si>
  <si>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</si>
  <si>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</si>
  <si>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</si>
  <si>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</si>
  <si>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</si>
  <si>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</si>
  <si>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</si>
  <si>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</si>
  <si>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</si>
  <si>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</si>
  <si>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</si>
  <si>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</si>
  <si>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</si>
  <si>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</si>
  <si>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</si>
  <si>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</si>
  <si>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</si>
  <si>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</si>
  <si>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</si>
  <si>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</si>
  <si>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</si>
  <si>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</si>
  <si>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</si>
  <si>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</si>
  <si>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</si>
  <si>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</si>
  <si>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</si>
  <si>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</si>
  <si>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</si>
  <si>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</si>
  <si>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</si>
  <si>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</si>
  <si>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</si>
  <si>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</si>
  <si>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</si>
  <si>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</si>
  <si>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</si>
  <si>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</si>
  <si>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</si>
  <si>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</si>
  <si>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</si>
  <si>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</si>
  <si>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</si>
  <si>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</si>
  <si>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</si>
  <si>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</si>
  <si>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</si>
  <si>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</si>
  <si>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</si>
  <si>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</si>
  <si>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</si>
  <si>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</si>
  <si>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</si>
  <si>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</si>
  <si>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</si>
  <si>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</si>
  <si>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</si>
  <si>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</si>
  <si>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</si>
  <si>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</si>
  <si>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</si>
  <si>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</si>
  <si>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</si>
  <si>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</si>
  <si>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</si>
  <si>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</si>
  <si>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</si>
  <si>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</si>
  <si>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</si>
  <si>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</si>
  <si>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</si>
  <si>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</si>
  <si>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</si>
  <si>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</si>
  <si>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</si>
  <si>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</si>
  <si>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</si>
  <si>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</si>
  <si>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</si>
  <si>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</si>
  <si>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</si>
  <si>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</si>
  <si>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</si>
  <si>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</si>
  <si>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</si>
  <si>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</si>
  <si>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</si>
  <si>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</si>
  <si>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</si>
  <si>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</si>
  <si>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</si>
  <si>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</si>
  <si>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</si>
  <si>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</si>
  <si>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</si>
  <si>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</si>
  <si>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</si>
  <si>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</si>
  <si>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</si>
  <si>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</si>
  <si>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</si>
  <si>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</si>
  <si>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</si>
  <si>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</si>
  <si>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</si>
  <si>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</si>
  <si>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</si>
  <si>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</si>
  <si>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</si>
  <si>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</si>
  <si>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</si>
  <si>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</si>
  <si>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</si>
  <si>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</si>
  <si>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</si>
  <si>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</si>
  <si>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</si>
  <si>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</si>
  <si>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</si>
  <si>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</si>
  <si>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</si>
  <si>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</si>
  <si>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</si>
  <si>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</si>
  <si>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</si>
  <si>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</si>
  <si>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</si>
  <si>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</si>
  <si>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</si>
  <si>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</si>
  <si>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</si>
  <si>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</si>
  <si>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</si>
  <si>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</si>
  <si>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</si>
  <si>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</si>
  <si>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</si>
  <si>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</si>
  <si>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</si>
  <si>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</si>
  <si>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</si>
  <si>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</si>
  <si>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</si>
  <si>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</si>
  <si>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</si>
  <si>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</si>
  <si>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</si>
  <si>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</si>
  <si>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</si>
  <si>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</si>
  <si>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</si>
  <si>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</si>
  <si>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</si>
  <si>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</si>
  <si>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</si>
  <si>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</si>
  <si>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</si>
  <si>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</si>
  <si>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</si>
  <si>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</si>
  <si>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</si>
  <si>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</si>
  <si>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</si>
  <si>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</si>
  <si>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</si>
  <si>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</si>
  <si>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</si>
  <si>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</si>
  <si>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</si>
  <si>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</si>
  <si>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</si>
  <si>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</si>
  <si>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</si>
  <si>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</si>
  <si>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</si>
  <si>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</si>
  <si>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</si>
  <si>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</si>
  <si>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</si>
  <si>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</si>
  <si>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</si>
  <si>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</si>
  <si>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</si>
  <si>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</si>
  <si>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</si>
  <si>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</si>
  <si>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</si>
  <si>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</si>
  <si>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</si>
  <si>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</si>
  <si>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</si>
  <si>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</si>
  <si>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</si>
  <si>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</si>
  <si>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</si>
  <si>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</si>
  <si>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</si>
  <si>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</si>
  <si>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</si>
  <si>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</si>
  <si>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</si>
  <si>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</si>
  <si>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</si>
  <si>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</si>
  <si>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</si>
  <si>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</si>
  <si>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</si>
  <si>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</si>
  <si>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</si>
  <si>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</si>
  <si>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</si>
  <si>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</si>
  <si>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</si>
  <si>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</si>
  <si>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</si>
  <si>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</si>
  <si>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</si>
  <si>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</si>
  <si>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</si>
  <si>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</si>
  <si>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</si>
  <si>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</si>
  <si>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</si>
  <si>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</si>
  <si>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</si>
  <si>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</si>
  <si>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</si>
  <si>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</si>
  <si>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</si>
  <si>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</si>
  <si>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</si>
  <si>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</si>
  <si>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</si>
  <si>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</si>
  <si>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</si>
  <si>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</si>
  <si>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</si>
  <si>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</si>
  <si>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</si>
  <si>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</si>
  <si>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</si>
  <si>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</si>
  <si>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</si>
  <si>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</si>
  <si>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</si>
  <si>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</si>
  <si>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</si>
  <si>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</si>
  <si>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</si>
  <si>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</si>
  <si>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</si>
  <si>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</si>
  <si>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</si>
  <si>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</si>
  <si>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</si>
  <si>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</si>
  <si>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</si>
  <si>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</si>
  <si>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</si>
  <si>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</si>
  <si>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</si>
  <si>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</si>
  <si>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</si>
  <si>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</si>
  <si>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</si>
  <si>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</si>
  <si>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</si>
  <si>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</si>
  <si>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</si>
  <si>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</si>
  <si>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</si>
  <si>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</si>
  <si>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</si>
  <si>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</si>
  <si>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</si>
  <si>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</si>
  <si>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</si>
  <si>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</si>
  <si>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</si>
  <si>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</si>
  <si>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</si>
  <si>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</si>
  <si>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</si>
  <si>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</si>
  <si>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</si>
  <si>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</si>
  <si>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</si>
  <si>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</si>
  <si>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</si>
  <si>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</si>
  <si>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</si>
  <si>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</si>
  <si>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</si>
  <si>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</si>
  <si>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</si>
  <si>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</si>
  <si>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</si>
  <si>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</si>
  <si>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</si>
  <si>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</si>
  <si>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</si>
  <si>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</si>
  <si>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</si>
  <si>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</si>
  <si>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</si>
  <si>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</si>
  <si>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</si>
  <si>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</si>
  <si>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</si>
  <si>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</si>
  <si>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</si>
  <si>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</si>
  <si>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</si>
  <si>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</si>
  <si>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</si>
  <si>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</si>
  <si>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</si>
  <si>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</si>
  <si>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</si>
  <si>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</si>
  <si>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</si>
  <si>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</si>
  <si>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</si>
  <si>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</si>
  <si>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</si>
  <si>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</si>
  <si>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</si>
  <si>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</si>
  <si>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</si>
  <si>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</si>
  <si>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</si>
  <si>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</si>
  <si>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</si>
  <si>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</si>
  <si>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</si>
  <si>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</si>
  <si>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</si>
  <si>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</si>
  <si>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</si>
  <si>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</si>
  <si>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</si>
  <si>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</si>
  <si>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</si>
  <si>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</si>
  <si>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</si>
  <si>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</si>
  <si>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</si>
  <si>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</si>
  <si>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</si>
  <si>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</si>
  <si>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</si>
  <si>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</si>
  <si>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</si>
  <si>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</si>
  <si>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</si>
  <si>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</si>
  <si>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</si>
  <si>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</si>
  <si>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</si>
  <si>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</si>
  <si>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</si>
  <si>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</si>
  <si>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</si>
  <si>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</si>
  <si>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</si>
  <si>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</si>
  <si>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</si>
  <si>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</si>
  <si>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</si>
  <si>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</si>
  <si>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</si>
  <si>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</si>
  <si>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</si>
  <si>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</si>
  <si>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</si>
  <si>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</si>
  <si>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</si>
  <si>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</si>
  <si>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</si>
  <si>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</si>
  <si>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</si>
  <si>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</si>
  <si>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</si>
  <si>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</si>
  <si>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</si>
  <si>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</si>
  <si>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</si>
  <si>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</si>
  <si>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</si>
  <si>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</si>
  <si>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</si>
  <si>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</si>
  <si>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</si>
  <si>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</si>
  <si>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</si>
  <si>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</si>
  <si>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</si>
  <si>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</si>
  <si>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</si>
  <si>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</si>
  <si>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</si>
  <si>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</si>
  <si>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</si>
  <si>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</si>
  <si>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</si>
  <si>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</si>
  <si>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</si>
  <si>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</si>
  <si>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</si>
  <si>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</si>
  <si>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</si>
  <si>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</si>
  <si>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</si>
  <si>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</si>
  <si>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</si>
  <si>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</si>
  <si>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</si>
  <si>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</si>
  <si>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</si>
  <si>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</si>
  <si>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</si>
  <si>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</si>
  <si>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</si>
  <si>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</si>
  <si>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</si>
  <si>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</si>
  <si>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</si>
  <si>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</si>
  <si>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</si>
  <si>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</si>
  <si>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</si>
  <si>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</si>
  <si>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</si>
  <si>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</si>
  <si>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</si>
  <si>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</si>
  <si>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</si>
  <si>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</si>
  <si>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</si>
  <si>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</si>
  <si>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</si>
  <si>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</si>
  <si>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</si>
  <si>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</si>
  <si>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</si>
  <si>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</si>
  <si>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</si>
  <si>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</si>
  <si>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</si>
  <si>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</si>
  <si>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</si>
  <si>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</si>
  <si>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</si>
  <si>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</si>
  <si>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</si>
  <si>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</si>
  <si>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</si>
  <si>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</si>
  <si>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</si>
  <si>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</si>
  <si>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</si>
  <si>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</si>
  <si>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</si>
  <si>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</si>
  <si>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</si>
  <si>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</si>
  <si>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</si>
  <si>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</si>
  <si>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</si>
  <si>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</si>
  <si>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</si>
  <si>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</si>
  <si>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</si>
  <si>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</si>
  <si>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</si>
  <si>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</si>
  <si>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</si>
  <si>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</si>
  <si>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</si>
  <si>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</si>
  <si>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</si>
  <si>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</si>
  <si>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</si>
  <si>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</si>
  <si>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</si>
  <si>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</si>
  <si>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</si>
  <si>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</si>
  <si>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</si>
  <si>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</si>
  <si>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</si>
  <si>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</si>
  <si>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</si>
  <si>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</si>
  <si>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</si>
  <si>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</si>
  <si>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</si>
  <si>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</si>
  <si>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</si>
  <si>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</si>
  <si>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</si>
  <si>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</si>
  <si>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</si>
  <si>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</si>
  <si>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</si>
  <si>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</si>
  <si>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</si>
  <si>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</si>
  <si>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</si>
  <si>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</si>
  <si>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</si>
  <si>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</si>
  <si>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</si>
  <si>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</si>
  <si>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</si>
  <si>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</si>
  <si>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</si>
  <si>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</si>
  <si>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</si>
  <si>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</si>
  <si>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</si>
  <si>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</si>
  <si>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</si>
  <si>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</si>
  <si>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</si>
  <si>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</si>
  <si>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</si>
  <si>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</si>
  <si>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</si>
  <si>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</si>
  <si>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</si>
  <si>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</si>
  <si>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</si>
  <si>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</si>
  <si>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</si>
  <si>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</si>
  <si>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</si>
  <si>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</si>
  <si>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</si>
  <si>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</si>
  <si>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</si>
  <si>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</si>
  <si>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</si>
  <si>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</si>
  <si>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</si>
  <si>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</si>
  <si>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</si>
  <si>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</si>
  <si>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</si>
  <si>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</si>
  <si>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</si>
  <si>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</si>
  <si>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</si>
  <si>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</si>
  <si>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</si>
  <si>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</si>
  <si>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</si>
  <si>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</si>
  <si>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</si>
  <si>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</si>
  <si>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</si>
  <si>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</si>
  <si>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</si>
  <si>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</si>
  <si>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</si>
  <si>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</si>
  <si>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</si>
  <si>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</si>
  <si>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</si>
  <si>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</si>
  <si>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</si>
  <si>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</si>
  <si>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</si>
  <si>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</si>
  <si>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</si>
  <si>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</si>
  <si>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</si>
  <si>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</si>
  <si>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</si>
  <si>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</si>
  <si>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</si>
  <si>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</si>
  <si>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</si>
  <si>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</si>
  <si>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</si>
  <si>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</si>
  <si>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</si>
  <si>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</si>
  <si>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</si>
  <si>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</si>
  <si>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</si>
  <si>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</si>
  <si>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</si>
  <si>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</si>
  <si>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</si>
  <si>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</si>
  <si>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</si>
  <si>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</si>
  <si>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</si>
  <si>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</si>
  <si>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</si>
  <si>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</si>
  <si>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</si>
  <si>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</si>
  <si>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</si>
  <si>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</si>
  <si>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</si>
  <si>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</si>
  <si>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</si>
  <si>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</si>
  <si>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</si>
  <si>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</si>
  <si>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</si>
  <si>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</si>
  <si>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</si>
  <si>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</si>
  <si>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</si>
  <si>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</si>
  <si>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</si>
  <si>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</si>
  <si>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</si>
  <si>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</si>
  <si>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</si>
  <si>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</si>
  <si>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</si>
  <si>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</si>
  <si>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</si>
  <si>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</si>
  <si>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</si>
  <si>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</si>
  <si>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</si>
  <si>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</si>
  <si>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</si>
  <si>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</si>
  <si>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</si>
  <si>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</si>
  <si>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</si>
  <si>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</si>
  <si>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</si>
  <si>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</si>
  <si>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</si>
  <si>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</si>
  <si>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</si>
  <si>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</si>
  <si>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</si>
  <si>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</si>
  <si>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</si>
  <si>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</si>
  <si>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</si>
  <si>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</si>
  <si>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</si>
  <si>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</si>
  <si>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</si>
  <si>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</si>
  <si>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</si>
  <si>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</si>
  <si>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</si>
  <si>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</si>
  <si>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</si>
  <si>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</si>
  <si>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</si>
  <si>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</si>
  <si>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</si>
  <si>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</si>
  <si>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</si>
  <si>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</si>
  <si>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</si>
  <si>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</si>
  <si>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</si>
  <si>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</si>
  <si>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</si>
  <si>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</si>
  <si>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</si>
  <si>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</si>
  <si>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</si>
  <si>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</si>
  <si>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</si>
  <si>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</si>
  <si>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</si>
  <si>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</si>
  <si>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</si>
  <si>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</si>
  <si>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</si>
  <si>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</si>
  <si>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</si>
  <si>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</si>
  <si>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</si>
  <si>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</si>
  <si>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</si>
  <si>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</si>
  <si>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</si>
  <si>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</si>
  <si>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</si>
  <si>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</si>
  <si>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</si>
  <si>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</si>
  <si>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</si>
  <si>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</si>
  <si>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</si>
  <si>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</si>
  <si>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</si>
  <si>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</si>
  <si>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</si>
  <si>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</si>
  <si>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</si>
  <si>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</si>
  <si>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</si>
  <si>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</si>
  <si>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</si>
  <si>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</si>
  <si>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</si>
  <si>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</si>
  <si>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</si>
  <si>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</si>
  <si>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</si>
  <si>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</si>
  <si>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</si>
  <si>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</si>
  <si>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</si>
  <si>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</si>
  <si>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</si>
  <si>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</si>
  <si>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</si>
  <si>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</si>
  <si>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</si>
  <si>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</si>
  <si>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</si>
  <si>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</si>
  <si>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</si>
  <si>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</si>
  <si>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</si>
  <si>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</si>
  <si>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</si>
  <si>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</si>
  <si>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</si>
  <si>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</si>
  <si>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</si>
  <si>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</si>
  <si>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</si>
  <si>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</si>
  <si>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</si>
  <si>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</si>
  <si>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</si>
  <si>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</si>
  <si>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</si>
  <si>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</si>
  <si>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</si>
  <si>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</si>
  <si>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</si>
  <si>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</si>
  <si>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</si>
  <si>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</si>
  <si>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</si>
  <si>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</si>
  <si>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</si>
  <si>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</si>
  <si>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</si>
  <si>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</si>
  <si>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</si>
  <si>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</si>
  <si>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</si>
  <si>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</si>
  <si>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</si>
  <si>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</si>
  <si>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</si>
  <si>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</si>
  <si>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</si>
  <si>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</si>
  <si>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</si>
  <si>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</si>
  <si>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</si>
  <si>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</si>
  <si>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</si>
  <si>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</si>
  <si>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</si>
  <si>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</si>
  <si>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</si>
  <si>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</si>
  <si>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</si>
  <si>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</si>
  <si>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</si>
  <si>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</si>
  <si>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</si>
  <si>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</si>
  <si>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</si>
  <si>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</si>
  <si>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</si>
  <si>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</si>
  <si>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</si>
  <si>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</si>
  <si>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</si>
  <si>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</si>
  <si>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</si>
  <si>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</si>
  <si>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</si>
  <si>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</si>
  <si>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</si>
  <si>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</si>
  <si>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</si>
  <si>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</si>
  <si>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</si>
  <si>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</si>
  <si>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</si>
  <si>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</si>
  <si>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</si>
  <si>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</si>
  <si>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</si>
  <si>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</si>
  <si>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</si>
  <si>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</si>
  <si>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</si>
  <si>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</si>
  <si>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</si>
  <si>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</si>
  <si>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</si>
  <si>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</si>
  <si>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</si>
  <si>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</si>
  <si>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</si>
  <si>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</si>
  <si>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</si>
  <si>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</si>
  <si>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</si>
  <si>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</si>
  <si>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</si>
  <si>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</si>
  <si>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</si>
  <si>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</si>
  <si>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</si>
  <si>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</si>
  <si>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</si>
  <si>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</si>
  <si>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</si>
  <si>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</si>
  <si>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</si>
  <si>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</si>
  <si>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</si>
  <si>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</si>
  <si>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</si>
  <si>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</si>
  <si>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</si>
  <si>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</si>
  <si>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</si>
  <si>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</si>
  <si>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</si>
  <si>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</si>
  <si>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</si>
  <si>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</si>
  <si>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</si>
  <si>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</si>
  <si>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</si>
  <si>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</si>
  <si>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</si>
  <si>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</si>
  <si>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</si>
  <si>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</si>
  <si>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</si>
  <si>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</si>
  <si>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</si>
  <si>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</si>
  <si>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</si>
  <si>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</si>
  <si>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</si>
  <si>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</si>
  <si>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</si>
  <si>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</si>
  <si>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</si>
  <si>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</si>
  <si>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</si>
  <si>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</si>
  <si>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</si>
  <si>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</si>
  <si>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</si>
  <si>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</si>
  <si>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</si>
  <si>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</si>
  <si>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</si>
  <si>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</si>
  <si>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</si>
  <si>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</si>
  <si>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</si>
  <si>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</si>
  <si>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</si>
  <si>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</si>
  <si>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</si>
  <si>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</si>
  <si>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</si>
  <si>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</si>
  <si>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</si>
  <si>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</si>
  <si>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</si>
  <si>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</si>
  <si>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</si>
  <si>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</si>
  <si>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</si>
  <si>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</si>
  <si>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</si>
  <si>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</si>
  <si>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</si>
  <si>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</si>
  <si>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</si>
  <si>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</si>
  <si>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</si>
  <si>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</si>
  <si>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</si>
  <si>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</si>
  <si>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</si>
  <si>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</si>
  <si>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</si>
  <si>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</si>
  <si>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</si>
  <si>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</si>
  <si>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</si>
  <si>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</si>
  <si>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</si>
  <si>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</si>
  <si>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</si>
  <si>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</si>
  <si>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</si>
  <si>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</si>
  <si>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</si>
  <si>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</si>
  <si>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</si>
  <si>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</si>
  <si>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</si>
  <si>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</si>
  <si>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</si>
  <si>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</si>
  <si>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</si>
  <si>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</si>
  <si>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</si>
  <si>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</si>
  <si>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</si>
  <si>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</si>
  <si>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</si>
  <si>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</si>
  <si>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</si>
  <si>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</si>
  <si>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</si>
  <si>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</si>
  <si>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</si>
  <si>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</si>
  <si>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</si>
  <si>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</si>
  <si>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</si>
  <si>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</si>
  <si>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</si>
  <si>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</si>
  <si>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</si>
  <si>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</si>
  <si>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</si>
  <si>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</si>
  <si>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</si>
  <si>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</si>
  <si>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</si>
  <si>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</si>
  <si>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</si>
  <si>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</si>
  <si>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</si>
  <si>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</si>
  <si>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</si>
  <si>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</si>
  <si>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</si>
  <si>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</si>
  <si>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</si>
  <si>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</si>
  <si>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</si>
  <si>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</si>
  <si>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</si>
  <si>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</si>
  <si>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</si>
  <si>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</si>
  <si>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</si>
  <si>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</si>
  <si>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</si>
  <si>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</si>
  <si>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</si>
  <si>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</si>
  <si>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</si>
  <si>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</si>
  <si>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</si>
  <si>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</si>
  <si>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</si>
  <si>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</si>
  <si>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</si>
  <si>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</si>
  <si>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</si>
  <si>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</si>
  <si>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</si>
  <si>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</si>
  <si>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</si>
  <si>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</si>
  <si>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</si>
  <si>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</si>
  <si>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</si>
  <si>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</si>
  <si>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</si>
  <si>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</si>
  <si>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</si>
  <si>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</si>
  <si>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</si>
  <si>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</si>
  <si>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</si>
  <si>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</si>
  <si>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</si>
  <si>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</si>
  <si>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</si>
  <si>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</si>
  <si>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</si>
  <si>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</si>
  <si>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</si>
  <si>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</si>
  <si>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</si>
  <si>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</si>
  <si>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</si>
  <si>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</si>
  <si>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</si>
  <si>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</si>
  <si>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</si>
  <si>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</si>
  <si>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</si>
  <si>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</si>
  <si>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</si>
  <si>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</si>
  <si>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</si>
  <si>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</si>
  <si>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</si>
  <si>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</si>
  <si>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</si>
  <si>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</si>
  <si>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</si>
  <si>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</si>
  <si>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</si>
  <si>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</si>
  <si>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</si>
  <si>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</si>
  <si>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</si>
  <si>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</si>
  <si>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</si>
  <si>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</si>
  <si>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</si>
  <si>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</si>
  <si>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</si>
  <si>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</si>
  <si>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</si>
  <si>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</si>
  <si>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</si>
  <si>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</si>
  <si>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</si>
  <si>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</si>
  <si>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</si>
  <si>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</si>
  <si>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</si>
  <si>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</si>
  <si>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</si>
  <si>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</si>
  <si>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</si>
  <si>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</si>
  <si>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</si>
  <si>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</si>
  <si>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</si>
  <si>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</si>
  <si>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</si>
  <si>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</si>
  <si>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</si>
  <si>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</si>
  <si>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</si>
  <si>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</si>
  <si>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</si>
  <si>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</si>
  <si>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</si>
  <si>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</si>
  <si>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</si>
  <si>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</si>
  <si>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</si>
  <si>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</si>
  <si>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</si>
  <si>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</si>
  <si>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</si>
  <si>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</si>
  <si>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</si>
  <si>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</si>
  <si>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</si>
  <si>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</si>
  <si>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</si>
  <si>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</si>
  <si>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</si>
  <si>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</si>
  <si>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</si>
  <si>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</si>
  <si>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</si>
  <si>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</si>
  <si>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</si>
  <si>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</si>
  <si>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</si>
  <si>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</si>
  <si>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</si>
  <si>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</si>
  <si>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</si>
  <si>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</si>
  <si>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</si>
  <si>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</si>
  <si>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</si>
  <si>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</si>
  <si>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</si>
  <si>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</si>
  <si>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</si>
  <si>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</si>
  <si>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</si>
  <si>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</si>
  <si>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</si>
  <si>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</si>
  <si>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</si>
  <si>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</si>
  <si>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</si>
  <si>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</si>
  <si>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</si>
  <si>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</si>
  <si>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</si>
  <si>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</si>
  <si>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</si>
  <si>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</si>
  <si>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</si>
  <si>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</si>
  <si>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</si>
  <si>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</si>
  <si>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</si>
  <si>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</si>
  <si>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</si>
  <si>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</si>
  <si>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</si>
  <si>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</si>
  <si>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</si>
  <si>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</si>
  <si>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</si>
  <si>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</si>
  <si>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</si>
  <si>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</si>
  <si>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</si>
  <si>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</si>
  <si>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</si>
  <si>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</si>
  <si>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</si>
  <si>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</si>
  <si>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</si>
  <si>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</si>
  <si>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</si>
  <si>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</si>
  <si>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</si>
  <si>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</si>
  <si>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</si>
  <si>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</si>
  <si>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</si>
  <si>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</si>
  <si>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</si>
  <si>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</si>
  <si>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</si>
  <si>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</si>
  <si>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</si>
  <si>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</si>
  <si>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</si>
  <si>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</si>
  <si>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</si>
  <si>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</si>
  <si>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</si>
  <si>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</si>
  <si>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</si>
  <si>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</si>
  <si>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</si>
  <si>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</si>
  <si>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</si>
  <si>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</si>
  <si>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</si>
  <si>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</si>
  <si>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</si>
  <si>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</si>
  <si>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</si>
  <si>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</si>
  <si>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</si>
  <si>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</si>
  <si>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</si>
  <si>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</si>
  <si>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</si>
  <si>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</si>
  <si>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</si>
  <si>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</si>
  <si>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</si>
  <si>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</si>
  <si>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</si>
  <si>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</si>
  <si>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</si>
  <si>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</si>
  <si>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</si>
  <si>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</si>
  <si>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</si>
  <si>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</si>
  <si>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</si>
  <si>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</si>
  <si>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</si>
  <si>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</si>
  <si>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</si>
  <si>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</si>
  <si>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</si>
  <si>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</si>
  <si>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</si>
  <si>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</si>
  <si>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</si>
  <si>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</si>
  <si>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</si>
  <si>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</si>
  <si>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</si>
  <si>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</si>
  <si>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</si>
  <si>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</si>
  <si>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</si>
  <si>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</si>
  <si>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</si>
  <si>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</si>
  <si>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</si>
  <si>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</si>
  <si>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</si>
  <si>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</si>
  <si>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</si>
  <si>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</si>
  <si>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</si>
  <si>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</si>
  <si>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</si>
  <si>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</si>
  <si>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</si>
  <si>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</si>
  <si>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</si>
  <si>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</si>
  <si>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</si>
  <si>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</si>
  <si>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</si>
  <si>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</si>
  <si>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</si>
  <si>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</si>
  <si>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</si>
  <si>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</si>
  <si>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</si>
  <si>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</si>
  <si>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</si>
  <si>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</si>
  <si>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</si>
  <si>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</si>
  <si>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</si>
  <si>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</si>
  <si>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</si>
  <si>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</si>
  <si>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</si>
  <si>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</si>
  <si>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</si>
  <si>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</si>
  <si>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</si>
  <si>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</si>
  <si>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</si>
  <si>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</si>
  <si>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</si>
  <si>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</si>
  <si>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</si>
  <si>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</si>
  <si>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</si>
  <si>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</si>
  <si>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</si>
  <si>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</si>
  <si>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</si>
  <si>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</si>
  <si>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</si>
  <si>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</si>
  <si>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</si>
  <si>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</si>
  <si>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</si>
  <si>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</si>
  <si>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</si>
  <si>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</si>
  <si>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</si>
  <si>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</si>
  <si>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</si>
  <si>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</si>
  <si>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</si>
  <si>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</si>
  <si>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</si>
  <si>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</si>
  <si>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</si>
  <si>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</si>
  <si>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</si>
  <si>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</si>
  <si>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</si>
  <si>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</si>
  <si>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</si>
  <si>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</si>
  <si>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</si>
  <si>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</si>
  <si>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</si>
  <si>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</si>
  <si>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</si>
  <si>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</si>
  <si>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</si>
  <si>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</si>
  <si>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</si>
  <si>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</si>
  <si>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</si>
  <si>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</si>
  <si>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</si>
  <si>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</si>
  <si>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</si>
  <si>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</si>
  <si>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</si>
  <si>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</si>
  <si>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</si>
  <si>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</si>
  <si>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</si>
  <si>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</si>
  <si>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</si>
  <si>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</si>
  <si>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</si>
  <si>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</si>
  <si>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</si>
  <si>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</si>
  <si>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</si>
  <si>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</si>
  <si>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</si>
  <si>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</si>
  <si>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</si>
  <si>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</si>
  <si>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</si>
  <si>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</si>
  <si>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</si>
  <si>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</si>
  <si>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</si>
  <si>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</si>
  <si>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</si>
  <si>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</si>
  <si>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</si>
  <si>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</si>
  <si>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</si>
  <si>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</si>
  <si>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</si>
  <si>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</si>
  <si>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</si>
  <si>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</si>
  <si>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</si>
  <si>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</si>
  <si>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</si>
  <si>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</si>
  <si>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</si>
  <si>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</si>
  <si>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</si>
  <si>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</si>
  <si>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</si>
  <si>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</si>
  <si>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</si>
  <si>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</si>
  <si>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</si>
  <si>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</si>
  <si>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</si>
  <si>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</si>
  <si>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</si>
  <si>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</si>
  <si>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</si>
  <si>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</si>
  <si>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</si>
  <si>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</si>
  <si>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</si>
  <si>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</si>
  <si>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</si>
  <si>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</si>
  <si>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</si>
  <si>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</si>
  <si>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</si>
  <si>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</si>
  <si>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</si>
  <si>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</si>
  <si>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</si>
  <si>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</si>
  <si>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</si>
  <si>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</si>
  <si>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</si>
  <si>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</si>
  <si>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</si>
  <si>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</si>
  <si>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</si>
  <si>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</si>
  <si>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</si>
  <si>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</si>
  <si>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</si>
  <si>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</si>
  <si>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</si>
  <si>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</si>
  <si>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</si>
  <si>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</si>
  <si>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</si>
  <si>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</si>
  <si>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</si>
  <si>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</si>
  <si>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</si>
  <si>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</si>
  <si>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</si>
  <si>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</si>
  <si>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</si>
  <si>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</si>
  <si>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</si>
  <si>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</si>
  <si>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</si>
  <si>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</si>
  <si>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</si>
  <si>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</si>
  <si>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</si>
  <si>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</si>
  <si>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</si>
  <si>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</si>
  <si>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</si>
  <si>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</si>
  <si>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</si>
  <si>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</si>
  <si>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</si>
  <si>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</si>
  <si>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</si>
  <si>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</si>
  <si>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</si>
  <si>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</si>
  <si>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</si>
  <si>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</si>
  <si>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</si>
  <si>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</si>
  <si>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</si>
  <si>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</si>
  <si>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</si>
  <si>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</si>
  <si>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</si>
  <si>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</si>
  <si>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</si>
  <si>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</si>
  <si>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</si>
  <si>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</si>
  <si>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</si>
  <si>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</si>
  <si>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</si>
  <si>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</si>
  <si>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</si>
  <si>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</si>
  <si>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</si>
  <si>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</si>
  <si>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</si>
  <si>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</si>
  <si>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</si>
  <si>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</si>
  <si>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</si>
  <si>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</si>
  <si>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</si>
  <si>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</si>
  <si>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</si>
  <si>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</si>
  <si>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</si>
  <si>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</si>
  <si>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</si>
  <si>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</si>
  <si>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</si>
  <si>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</si>
  <si>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</si>
  <si>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</si>
  <si>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</si>
  <si>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</si>
  <si>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</si>
  <si>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</si>
  <si>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</si>
  <si>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</si>
  <si>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</si>
  <si>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</si>
  <si>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</si>
  <si>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</si>
  <si>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</si>
  <si>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</si>
  <si>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</si>
  <si>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</si>
  <si>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</si>
  <si>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</si>
  <si>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</si>
  <si>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</si>
  <si>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</si>
  <si>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</si>
  <si>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</si>
  <si>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</si>
  <si>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</si>
  <si>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</si>
  <si>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</si>
  <si>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</si>
  <si>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</si>
  <si>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</si>
  <si>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</si>
  <si>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</si>
  <si>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</si>
  <si>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</si>
  <si>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</si>
  <si>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</si>
  <si>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</si>
  <si>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</si>
  <si>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</si>
  <si>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</si>
  <si>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</si>
  <si>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</si>
  <si>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</si>
  <si>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</si>
  <si>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</si>
  <si>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</si>
  <si>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</si>
  <si>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</si>
  <si>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</si>
  <si>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</si>
  <si>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</si>
  <si>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</si>
  <si>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</si>
  <si>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</si>
  <si>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</si>
  <si>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</si>
  <si>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</si>
  <si>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</si>
  <si>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</si>
  <si>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</si>
  <si>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</si>
  <si>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</si>
  <si>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</si>
  <si>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</si>
  <si>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</si>
  <si>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</si>
  <si>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</si>
  <si>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</si>
  <si>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</si>
  <si>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</si>
  <si>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</si>
  <si>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</si>
  <si>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</si>
  <si>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</si>
  <si>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</si>
  <si>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</si>
  <si>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</si>
  <si>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</si>
  <si>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</si>
  <si>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</si>
  <si>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</si>
  <si>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</si>
  <si>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</si>
  <si>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</si>
  <si>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</si>
  <si>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</si>
  <si>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</si>
  <si>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</si>
  <si>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</si>
  <si>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</si>
  <si>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</si>
  <si>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</si>
  <si>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</si>
  <si>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</si>
  <si>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</si>
  <si>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</si>
  <si>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</si>
  <si>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</si>
  <si>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</si>
  <si>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</si>
  <si>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</si>
  <si>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</si>
  <si>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</si>
  <si>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</si>
  <si>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</si>
  <si>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</si>
  <si>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</si>
  <si>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</si>
  <si>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</si>
  <si>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</si>
  <si>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</si>
  <si>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</si>
  <si>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</si>
  <si>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</si>
  <si>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</si>
  <si>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</si>
  <si>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</si>
  <si>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</si>
  <si>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</si>
  <si>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</si>
  <si>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</si>
  <si>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</si>
  <si>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</si>
  <si>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</si>
  <si>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</si>
  <si>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</si>
  <si>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</si>
  <si>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</si>
  <si>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</si>
  <si>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</si>
  <si>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</si>
  <si>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</si>
  <si>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</si>
  <si>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</si>
  <si>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</si>
  <si>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</si>
  <si>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</si>
  <si>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</si>
  <si>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</si>
  <si>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</si>
  <si>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</si>
  <si>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</si>
  <si>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</si>
  <si>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</si>
  <si>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</si>
  <si>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</si>
  <si>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</si>
  <si>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</si>
  <si>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</si>
  <si>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</si>
  <si>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</si>
  <si>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</si>
  <si>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</si>
  <si>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</si>
  <si>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</si>
  <si>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</si>
  <si>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</si>
  <si>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</si>
  <si>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</si>
  <si>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</si>
  <si>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</si>
  <si>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</si>
  <si>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</si>
  <si>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</si>
  <si>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</si>
  <si>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</si>
  <si>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</si>
  <si>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</si>
  <si>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</si>
  <si>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</si>
  <si>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</si>
  <si>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</si>
  <si>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</si>
  <si>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</si>
  <si>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</si>
  <si>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</si>
  <si>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</si>
  <si>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</si>
  <si>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</si>
  <si>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</si>
  <si>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</si>
  <si>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</si>
  <si>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</si>
  <si>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</si>
  <si>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</si>
  <si>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</si>
  <si>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</si>
  <si>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</si>
  <si>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</si>
  <si>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</si>
  <si>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</si>
  <si>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</si>
  <si>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</si>
  <si>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</si>
  <si>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</si>
  <si>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</si>
  <si>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</si>
  <si>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</si>
  <si>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</si>
  <si>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</si>
  <si>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</si>
  <si>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</si>
  <si>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</si>
  <si>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</si>
  <si>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</si>
  <si>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</si>
  <si>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</si>
  <si>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</si>
  <si>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</si>
  <si>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</si>
  <si>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</si>
  <si>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</si>
  <si>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</si>
  <si>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</si>
  <si>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</si>
  <si>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</si>
  <si>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</si>
  <si>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</si>
  <si>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</si>
  <si>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</si>
  <si>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</si>
  <si>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</si>
  <si>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</si>
  <si>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</si>
  <si>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</si>
  <si>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</si>
  <si>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</si>
  <si>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</si>
  <si>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</si>
  <si>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</si>
  <si>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</si>
  <si>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</si>
  <si>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</si>
  <si>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</si>
  <si>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</si>
  <si>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</si>
  <si>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</si>
  <si>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</si>
  <si>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</si>
  <si>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</si>
  <si>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</si>
  <si>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</si>
  <si>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</si>
  <si>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</si>
  <si>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</si>
  <si>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</si>
  <si>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</si>
  <si>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</si>
  <si>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</si>
  <si>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</si>
  <si>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</si>
  <si>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</si>
  <si>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</si>
  <si>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</si>
  <si>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</si>
  <si>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</si>
  <si>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</si>
  <si>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</si>
  <si>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</si>
  <si>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</si>
  <si>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</si>
  <si>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</si>
  <si>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</si>
  <si>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</si>
  <si>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</si>
  <si>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</si>
  <si>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</si>
  <si>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</si>
  <si>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</si>
  <si>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</si>
  <si>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</si>
  <si>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</si>
  <si>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</si>
  <si>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</si>
  <si>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</si>
  <si>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</si>
  <si>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</si>
  <si>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</si>
  <si>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</si>
  <si>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</si>
  <si>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</si>
  <si>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</si>
  <si>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</si>
  <si>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</si>
  <si>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</si>
  <si>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</si>
  <si>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</si>
  <si>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</si>
  <si>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</si>
  <si>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</si>
  <si>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</si>
  <si>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</si>
  <si>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</si>
  <si>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</si>
  <si>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</si>
  <si>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</si>
  <si>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</si>
  <si>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</si>
  <si>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</si>
  <si>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</si>
  <si>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</si>
  <si>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</si>
  <si>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</si>
  <si>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</si>
  <si>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</si>
  <si>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</si>
  <si>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</si>
  <si>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</si>
  <si>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</si>
  <si>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</si>
  <si>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</si>
  <si>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</si>
  <si>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</si>
  <si>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</si>
  <si>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</si>
  <si>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</si>
  <si>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</si>
  <si>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</si>
  <si>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</si>
  <si>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</si>
  <si>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</si>
  <si>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</si>
  <si>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</si>
  <si>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</si>
  <si>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</si>
  <si>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</si>
  <si>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</si>
  <si>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</si>
  <si>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</si>
  <si>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</si>
  <si>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</si>
  <si>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</si>
  <si>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</si>
  <si>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</si>
  <si>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</si>
  <si>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</si>
  <si>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</si>
  <si>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</si>
  <si>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</si>
  <si>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</si>
  <si>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</si>
  <si>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</si>
  <si>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</si>
  <si>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</si>
  <si>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</si>
  <si>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</si>
  <si>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</si>
  <si>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</si>
  <si>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</si>
  <si>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</si>
  <si>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</si>
  <si>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</si>
  <si>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</si>
  <si>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</si>
  <si>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</si>
  <si>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</si>
  <si>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</si>
  <si>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</si>
  <si>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</si>
  <si>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</si>
  <si>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</si>
  <si>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</si>
  <si>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</si>
  <si>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</si>
  <si>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</si>
  <si>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</si>
  <si>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</si>
  <si>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</si>
  <si>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</si>
  <si>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</si>
  <si>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</si>
  <si>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</si>
  <si>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</si>
  <si>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</si>
  <si>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</si>
  <si>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原件</t>
  </si>
  <si>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</si>
  <si>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</si>
  <si>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</si>
  <si>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</si>
  <si>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</si>
  <si>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</si>
  <si>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</si>
  <si>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</si>
  <si>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</si>
  <si>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</si>
  <si>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</si>
  <si>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</si>
  <si>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</si>
  <si>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</si>
  <si>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</si>
  <si>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</si>
  <si>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</si>
  <si>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</si>
  <si>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</si>
  <si>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</si>
  <si>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</si>
  <si>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</si>
  <si>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</si>
  <si>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</si>
  <si>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</si>
  <si>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</si>
  <si>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</si>
  <si>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</si>
  <si>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</si>
  <si>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</si>
  <si>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</si>
  <si>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</si>
  <si>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</si>
  <si>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</si>
  <si>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</si>
  <si>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</si>
  <si>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</si>
  <si>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</si>
  <si>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</si>
  <si>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</si>
  <si>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</si>
  <si>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</si>
  <si>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</si>
  <si>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</si>
  <si>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</si>
  <si>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</si>
  <si>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</si>
  <si>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</si>
  <si>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</si>
  <si>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</si>
  <si>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</si>
  <si>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</si>
  <si>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</si>
  <si>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</si>
  <si>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</si>
  <si>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</si>
  <si>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</si>
  <si>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</si>
  <si>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</si>
  <si>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</si>
  <si>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</si>
  <si>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</si>
  <si>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</si>
  <si>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</si>
  <si>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</si>
  <si>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</si>
  <si>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</si>
  <si>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</si>
  <si>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</si>
  <si>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</si>
  <si>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</si>
  <si>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</si>
  <si>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</si>
  <si>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</si>
  <si>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</si>
  <si>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</si>
  <si>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</si>
  <si>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</si>
  <si>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</si>
  <si>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</si>
  <si>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</si>
  <si>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</si>
  <si>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</si>
  <si>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</si>
  <si>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</si>
  <si>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</si>
  <si>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</si>
  <si>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</si>
  <si>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</si>
  <si>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</si>
  <si>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</si>
  <si>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</si>
  <si>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</si>
  <si>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</si>
  <si>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</si>
  <si>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</si>
  <si>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</si>
  <si>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</si>
  <si>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</si>
  <si>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</si>
  <si>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</si>
  <si>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</si>
  <si>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</si>
  <si>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</si>
  <si>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</si>
  <si>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</si>
  <si>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</si>
  <si>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</si>
  <si>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</si>
  <si>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</si>
  <si>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</si>
  <si>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</si>
  <si>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</si>
  <si>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</si>
  <si>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</si>
  <si>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</si>
  <si>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</si>
  <si>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</si>
  <si>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</si>
  <si>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</si>
  <si>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</si>
  <si>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</si>
  <si>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</si>
  <si>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</si>
  <si>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</si>
  <si>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</si>
  <si>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</si>
  <si>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</si>
  <si>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</si>
  <si>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</si>
  <si>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</si>
  <si>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</si>
  <si>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</si>
  <si>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</si>
  <si>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</si>
  <si>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</si>
  <si>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</si>
  <si>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</si>
  <si>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</si>
  <si>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</si>
  <si>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</si>
  <si>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</si>
  <si>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</si>
  <si>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</si>
  <si>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</si>
  <si>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</si>
  <si>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</si>
  <si>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</si>
  <si>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</si>
  <si>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</si>
  <si>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</si>
  <si>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</si>
  <si>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</si>
  <si>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</si>
  <si>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</si>
  <si>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</si>
  <si>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</si>
  <si>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</si>
  <si>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</si>
  <si>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</si>
  <si>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</si>
  <si>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</si>
  <si>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</si>
  <si>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</si>
  <si>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</si>
  <si>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</si>
  <si>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</si>
  <si>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</si>
  <si>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</si>
  <si>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</si>
  <si>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</si>
  <si>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</si>
  <si>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</si>
  <si>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</si>
  <si>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</si>
  <si>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</si>
  <si>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</si>
  <si>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</si>
  <si>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</si>
  <si>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</si>
  <si>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</si>
  <si>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</si>
  <si>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</si>
  <si>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</si>
  <si>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</si>
  <si>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</si>
  <si>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</si>
  <si>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</si>
  <si>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</si>
  <si>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</si>
  <si>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</si>
  <si>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</si>
  <si>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</si>
  <si>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</si>
  <si>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</si>
  <si>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</si>
  <si>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</si>
  <si>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</si>
  <si>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</si>
  <si>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</si>
  <si>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</si>
  <si>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</si>
  <si>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</si>
  <si>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</si>
  <si>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</si>
  <si>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</si>
  <si>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</si>
  <si>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</si>
  <si>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</si>
  <si>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</si>
  <si>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</si>
  <si>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</si>
  <si>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</si>
  <si>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</si>
  <si>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</si>
  <si>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</si>
  <si>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</si>
  <si>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</si>
  <si>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</si>
  <si>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</si>
  <si>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</si>
  <si>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</si>
  <si>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</si>
  <si>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</si>
  <si>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</si>
  <si>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</si>
  <si>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</si>
  <si>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</si>
  <si>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</si>
  <si>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</si>
  <si>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</si>
  <si>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</si>
  <si>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</si>
  <si>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</si>
  <si>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</si>
  <si>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</si>
  <si>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</si>
  <si>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</si>
  <si>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</si>
  <si>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</si>
  <si>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</si>
  <si>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</si>
  <si>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</si>
  <si>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</si>
  <si>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</si>
  <si>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</si>
  <si>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</si>
  <si>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</si>
  <si>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</si>
  <si>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</si>
  <si>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</si>
  <si>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</si>
  <si>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</si>
  <si>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</si>
  <si>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</si>
  <si>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</si>
  <si>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</si>
  <si>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</si>
  <si>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</si>
  <si>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</si>
  <si>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</si>
  <si>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</si>
  <si>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</si>
  <si>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</si>
  <si>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</si>
  <si>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</si>
  <si>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</si>
  <si>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</si>
  <si>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</si>
  <si>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</si>
  <si>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</si>
  <si>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</si>
  <si>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</si>
  <si>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</si>
  <si>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</si>
  <si>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</si>
  <si>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</si>
  <si>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</si>
  <si>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</si>
  <si>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</si>
  <si>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</si>
  <si>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</si>
  <si>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</si>
  <si>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</si>
  <si>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</si>
  <si>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</si>
  <si>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</si>
  <si>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</si>
  <si>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</si>
  <si>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</si>
  <si>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</si>
  <si>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</si>
  <si>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</si>
  <si>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</si>
  <si>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</si>
  <si>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</si>
  <si>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</si>
  <si>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</si>
  <si>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</si>
  <si>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</si>
  <si>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</si>
  <si>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</si>
  <si>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</si>
  <si>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</si>
  <si>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</si>
  <si>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</si>
  <si>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</si>
  <si>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</si>
  <si>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</si>
  <si>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</si>
  <si>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</si>
  <si>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</si>
  <si>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</si>
  <si>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</si>
  <si>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</si>
  <si>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</si>
  <si>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</si>
  <si>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</si>
  <si>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</si>
  <si>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</si>
  <si>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</si>
  <si>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</si>
  <si>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</si>
  <si>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</si>
  <si>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</si>
  <si>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</si>
  <si>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</si>
  <si>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</si>
  <si>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</si>
  <si>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</si>
  <si>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</si>
  <si>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</si>
  <si>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</si>
  <si>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</si>
  <si>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</si>
  <si>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</si>
  <si>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</si>
  <si>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</si>
  <si>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</si>
  <si>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</si>
  <si>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</si>
  <si>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</si>
  <si>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</si>
  <si>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</si>
  <si>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</si>
  <si>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</si>
  <si>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</si>
  <si>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</si>
  <si>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</si>
  <si>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</si>
  <si>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</si>
  <si>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</si>
  <si>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</si>
  <si>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</si>
  <si>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《不动产权证书》</t>
  </si>
  <si>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</si>
  <si>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</si>
  <si>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</si>
  <si>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</si>
  <si>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</si>
  <si>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</si>
  <si>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</si>
  <si>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</si>
  <si>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</si>
  <si>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</si>
  <si>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</si>
  <si>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</si>
  <si>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</si>
  <si>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</si>
  <si>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</si>
  <si>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</si>
  <si>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r>
      <rPr>
        <sz val="11"/>
        <color theme="1"/>
        <rFont val="楷体_GB2312"/>
        <family val="3"/>
        <charset val="134"/>
      </rPr>
      <t>请录依据文件名称：</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</si>
  <si>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</si>
  <si>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</si>
  <si>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</si>
  <si>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</si>
  <si>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</si>
  <si>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</si>
  <si>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</si>
  <si>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</si>
  <si>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</si>
  <si>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</si>
  <si>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</si>
  <si>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</si>
  <si>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</si>
  <si>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</si>
  <si>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</si>
  <si>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</si>
  <si>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</si>
  <si>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</si>
  <si>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</si>
  <si>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</si>
  <si>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</si>
  <si>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</si>
  <si>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</si>
  <si>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</si>
  <si>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</si>
  <si>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</si>
  <si>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</si>
  <si>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</si>
  <si>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</si>
  <si>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</si>
  <si>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</si>
  <si>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</si>
  <si>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</si>
  <si>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</si>
  <si>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</si>
  <si>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</si>
  <si>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</si>
  <si>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</si>
  <si>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</si>
  <si>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</si>
  <si>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</si>
  <si>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</si>
  <si>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</si>
  <si>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</si>
  <si>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</si>
  <si>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</si>
  <si>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</si>
  <si>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</si>
  <si>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</si>
  <si>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</si>
  <si>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</si>
  <si>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</si>
  <si>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</si>
  <si>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</si>
  <si>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</si>
  <si>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</si>
  <si>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</si>
  <si>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</si>
  <si>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</si>
  <si>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</si>
  <si>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</si>
  <si>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</si>
  <si>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</si>
  <si>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</si>
  <si>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</si>
  <si>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</si>
  <si>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</si>
  <si>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</si>
  <si>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</si>
  <si>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</si>
  <si>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</si>
  <si>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</si>
  <si>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</si>
  <si>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</si>
  <si>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</si>
  <si>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</si>
  <si>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</si>
  <si>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</si>
  <si>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</si>
  <si>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</si>
  <si>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</si>
  <si>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</si>
  <si>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</si>
  <si>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</si>
  <si>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</si>
  <si>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</si>
  <si>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</si>
  <si>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</si>
  <si>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</si>
  <si>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</si>
  <si>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</si>
  <si>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</si>
  <si>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</si>
  <si>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</si>
  <si>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</si>
  <si>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</si>
  <si>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</si>
  <si>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</si>
  <si>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</si>
  <si>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</si>
  <si>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</si>
  <si>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</si>
  <si>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</si>
  <si>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</si>
  <si>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</si>
  <si>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</si>
  <si>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</si>
  <si>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</si>
  <si>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</si>
  <si>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</si>
  <si>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</si>
  <si>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</si>
  <si>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</si>
  <si>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</si>
  <si>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</si>
  <si>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</si>
  <si>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</si>
  <si>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</si>
  <si>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</si>
  <si>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</si>
  <si>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</si>
  <si>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</si>
  <si>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</si>
  <si>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</si>
  <si>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</si>
  <si>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</si>
  <si>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</si>
  <si>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</si>
  <si>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</si>
  <si>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</si>
  <si>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</si>
  <si>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</si>
  <si>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</si>
  <si>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</si>
  <si>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</si>
  <si>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</si>
  <si>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</si>
  <si>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</si>
  <si>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</si>
  <si>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</si>
  <si>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</si>
  <si>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</si>
  <si>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</si>
  <si>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</si>
  <si>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</si>
  <si>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</si>
  <si>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</si>
  <si>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</si>
  <si>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</si>
  <si>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</si>
  <si>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</si>
  <si>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</si>
  <si>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</si>
  <si>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</si>
  <si>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</si>
  <si>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</si>
  <si>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</si>
  <si>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</si>
  <si>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</si>
  <si>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</si>
  <si>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</si>
  <si>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</si>
  <si>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</si>
  <si>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</si>
  <si>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</si>
  <si>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</si>
  <si>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</si>
  <si>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</si>
  <si>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</si>
  <si>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</si>
  <si>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</si>
  <si>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</si>
  <si>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</si>
  <si>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</si>
  <si>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</si>
  <si>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</si>
  <si>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</si>
  <si>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</si>
  <si>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</si>
  <si>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</si>
  <si>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</si>
  <si>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</si>
  <si>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</si>
  <si>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</si>
  <si>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</si>
  <si>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</si>
  <si>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</si>
  <si>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</si>
  <si>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</si>
  <si>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</si>
  <si>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</si>
  <si>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</si>
  <si>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</si>
  <si>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</si>
  <si>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</si>
  <si>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</si>
  <si>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</si>
  <si>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</si>
  <si>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</si>
  <si>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</si>
  <si>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</si>
  <si>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</si>
  <si>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</si>
  <si>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</si>
  <si>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</si>
  <si>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</si>
  <si>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</si>
  <si>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</si>
  <si>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</si>
  <si>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</si>
  <si>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</si>
  <si>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</si>
  <si>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</si>
  <si>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</si>
  <si>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</si>
  <si>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</si>
  <si>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</si>
  <si>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</si>
  <si>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</si>
  <si>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</si>
  <si>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</si>
  <si>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</si>
  <si>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</si>
  <si>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</si>
  <si>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</si>
  <si>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</si>
  <si>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</si>
  <si>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</si>
  <si>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</si>
  <si>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</si>
  <si>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</si>
  <si>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</si>
  <si>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</si>
  <si>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</si>
  <si>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</si>
  <si>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</si>
  <si>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</si>
  <si>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</si>
  <si>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</si>
  <si>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</si>
  <si>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</si>
  <si>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</si>
  <si>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</si>
  <si>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</si>
  <si>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</si>
  <si>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</si>
  <si>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</si>
  <si>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</si>
  <si>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</si>
  <si>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</si>
  <si>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</si>
  <si>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</si>
  <si>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</si>
  <si>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</si>
  <si>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</si>
  <si>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</si>
  <si>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</si>
  <si>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</si>
  <si>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</si>
  <si>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</si>
  <si>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</si>
  <si>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</si>
  <si>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</si>
  <si>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</si>
  <si>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</si>
  <si>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</si>
  <si>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</si>
  <si>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</si>
  <si>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</si>
  <si>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</si>
  <si>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</si>
  <si>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</si>
  <si>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</si>
  <si>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</si>
  <si>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</si>
  <si>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</si>
  <si>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</si>
  <si>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</si>
  <si>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</si>
  <si>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</si>
  <si>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</si>
  <si>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</si>
  <si>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</si>
  <si>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</si>
  <si>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</si>
  <si>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</si>
  <si>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</si>
  <si>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</si>
  <si>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</si>
  <si>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</si>
  <si>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</si>
  <si>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</si>
  <si>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</si>
  <si>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</si>
  <si>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</si>
  <si>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</si>
  <si>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</si>
  <si>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</si>
  <si>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</si>
  <si>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</si>
  <si>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</si>
  <si>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</si>
  <si>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</si>
  <si>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</si>
  <si>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</si>
  <si>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</si>
  <si>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</si>
  <si>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</si>
  <si>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</si>
  <si>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</si>
  <si>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</si>
  <si>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</si>
  <si>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</si>
  <si>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</si>
  <si>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</si>
  <si>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</si>
  <si>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</si>
  <si>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</si>
  <si>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8" type="noConversion"/>
  </si>
  <si>
    <t>封皮-委托估价方</t>
    <phoneticPr fontId="248" type="noConversion"/>
  </si>
  <si>
    <t>封皮-土地估价师</t>
    <phoneticPr fontId="248" type="noConversion"/>
  </si>
  <si>
    <t>封皮-土地估价报告编号</t>
    <phoneticPr fontId="248"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</si>
  <si>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</si>
  <si>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</si>
  <si>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</si>
  <si>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</si>
  <si>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</si>
  <si>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</si>
  <si>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</si>
  <si>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</si>
  <si>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</si>
  <si>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</si>
  <si>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</si>
  <si>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</si>
  <si>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</si>
  <si>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</si>
  <si>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8"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</si>
  <si>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</si>
  <si>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</si>
  <si>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</si>
  <si>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</si>
  <si>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</si>
  <si>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</si>
  <si>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</si>
  <si>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</si>
  <si>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</si>
  <si>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</si>
  <si>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</si>
  <si>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</si>
  <si>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</si>
  <si>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</si>
  <si>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</si>
  <si>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</si>
  <si>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</si>
  <si>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</si>
  <si>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</si>
  <si>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</si>
  <si>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</si>
  <si>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</si>
  <si>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</si>
  <si>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</si>
  <si>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</si>
  <si>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</si>
  <si>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8"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</si>
  <si>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</si>
  <si>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</si>
  <si>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</si>
  <si>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8" type="noConversion"/>
  </si>
  <si>
    <t>致函-估价结果-表-地号</t>
    <phoneticPr fontId="248" type="noConversion"/>
  </si>
  <si>
    <t>致函-估价结果-表-权属证号</t>
    <phoneticPr fontId="248" type="noConversion"/>
  </si>
  <si>
    <t>致函-估价结果-表-用途-1</t>
    <phoneticPr fontId="248" type="noConversion"/>
  </si>
  <si>
    <t>致函-估价结果-表-用途-2</t>
  </si>
  <si>
    <t>致函-估价结果-表-用途-3</t>
  </si>
  <si>
    <t>致函-估价结果-表-容积率-1</t>
    <phoneticPr fontId="248" type="noConversion"/>
  </si>
  <si>
    <t>致函-估价结果-表-容积率-2</t>
  </si>
  <si>
    <t>致函-估价结果-表-容积率-3</t>
  </si>
  <si>
    <t>致函-估价结果-表-开发程度-1</t>
    <phoneticPr fontId="248" type="noConversion"/>
  </si>
  <si>
    <t>致函-估价结果-表-开发程度-2</t>
  </si>
  <si>
    <t>致函-估价结果-表-年限</t>
    <phoneticPr fontId="248" type="noConversion"/>
  </si>
  <si>
    <t>致函-估价结果-表-土地</t>
    <phoneticPr fontId="248" type="noConversion"/>
  </si>
  <si>
    <t>致函-估价结果-表-建筑</t>
    <phoneticPr fontId="248" type="noConversion"/>
  </si>
  <si>
    <t>致函-估价结果-表-地面价</t>
    <phoneticPr fontId="248" type="noConversion"/>
  </si>
  <si>
    <t>致函-估价结果-表-楼面价</t>
    <phoneticPr fontId="248" type="noConversion"/>
  </si>
  <si>
    <t>致函-估价结果-表-总额</t>
    <phoneticPr fontId="248" type="noConversion"/>
  </si>
  <si>
    <t>致函-估价结果-表-抵押</t>
    <phoneticPr fontId="248" type="noConversion"/>
  </si>
  <si>
    <t>致函-估价结果-表-已注</t>
    <phoneticPr fontId="248" type="noConversion"/>
  </si>
  <si>
    <t>致函-估价结果-表-净值</t>
    <phoneticPr fontId="248"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</si>
  <si>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</si>
  <si>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</si>
  <si>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</si>
  <si>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</si>
  <si>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8" type="noConversion"/>
  </si>
  <si>
    <t>致函-估价结果-表-地号(标题）</t>
    <phoneticPr fontId="248" type="noConversion"/>
  </si>
  <si>
    <t>土地使用证编号/不动产权证书编号</t>
    <phoneticPr fontId="141" type="noConversion"/>
  </si>
  <si>
    <t>致函-估价结果-表-宗地名称</t>
    <phoneticPr fontId="248" type="noConversion"/>
  </si>
  <si>
    <t>致函-估价结果-表-权属证号(标题）</t>
    <phoneticPr fontId="248" type="noConversion"/>
  </si>
  <si>
    <t>致函-估价结果-表-年限(标题）</t>
    <phoneticPr fontId="248" type="noConversion"/>
  </si>
  <si>
    <t>致函-估价结果-表-土地(标题）</t>
    <phoneticPr fontId="248" type="noConversion"/>
  </si>
  <si>
    <t>致函-估价结果-表-建筑(标题）</t>
    <phoneticPr fontId="248" type="noConversion"/>
  </si>
  <si>
    <t>致函-估价结果-表-抵押（名称）</t>
    <phoneticPr fontId="248" type="noConversion"/>
  </si>
  <si>
    <t>致函-估价结果-表-已注（名称）</t>
    <phoneticPr fontId="248" type="noConversion"/>
  </si>
  <si>
    <t>致函-估价结果-表-净值（名称）</t>
    <phoneticPr fontId="248"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</si>
  <si>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</si>
  <si>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</si>
  <si>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</si>
  <si>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</si>
  <si>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</si>
  <si>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</si>
  <si>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</si>
  <si>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</si>
  <si>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</si>
  <si>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</si>
  <si>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</si>
  <si>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</si>
  <si>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</si>
  <si>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</si>
  <si>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</si>
  <si>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</si>
  <si>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</si>
  <si>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</si>
  <si>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</si>
  <si>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</si>
  <si>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</si>
  <si>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</si>
  <si>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</si>
  <si>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</si>
  <si>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</si>
  <si>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</si>
  <si>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</si>
  <si>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</si>
  <si>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</si>
  <si>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</si>
  <si>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</si>
  <si>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</si>
  <si>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</si>
  <si>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</si>
  <si>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</si>
  <si>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</si>
  <si>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</si>
  <si>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</si>
  <si>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</si>
  <si>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</si>
  <si>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</si>
  <si>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</si>
  <si>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8"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</si>
  <si>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</si>
  <si>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</si>
  <si>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</si>
  <si>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</si>
  <si>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</si>
  <si>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</si>
  <si>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</si>
  <si>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</si>
  <si>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</si>
  <si>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</si>
  <si>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</si>
  <si>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</si>
  <si>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</si>
  <si>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</si>
  <si>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</si>
  <si>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</si>
  <si>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</si>
  <si>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</si>
  <si>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</si>
  <si>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</si>
  <si>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</si>
  <si>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</si>
  <si>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</si>
  <si>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</si>
  <si>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</si>
  <si>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</si>
  <si>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</si>
  <si>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</si>
  <si>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</si>
  <si>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</si>
  <si>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</si>
  <si>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</si>
  <si>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</si>
  <si>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</si>
  <si>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</si>
  <si>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</si>
  <si>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</si>
  <si>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</si>
  <si>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</si>
  <si>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</si>
  <si>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</si>
  <si>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</si>
  <si>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</si>
  <si>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</si>
  <si>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</si>
  <si>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</si>
  <si>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</si>
  <si>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</si>
  <si>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</si>
  <si>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</si>
  <si>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</si>
  <si>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</si>
  <si>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</si>
  <si>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</si>
  <si>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</si>
  <si>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</si>
  <si>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</si>
  <si>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</si>
  <si>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</si>
  <si>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</si>
  <si>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</si>
  <si>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</si>
  <si>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</si>
  <si>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</si>
  <si>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</si>
  <si>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</si>
  <si>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</si>
  <si>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</si>
  <si>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</si>
  <si>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</si>
  <si>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</si>
  <si>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</si>
  <si>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</si>
  <si>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</si>
  <si>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</si>
  <si>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</si>
  <si>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</si>
  <si>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</si>
  <si>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</si>
  <si>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</si>
  <si>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</si>
  <si>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</si>
  <si>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</si>
  <si>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</si>
  <si>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</si>
  <si>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</si>
  <si>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</si>
  <si>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</si>
  <si>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</si>
  <si>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</si>
  <si>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</si>
  <si>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</si>
  <si>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</si>
  <si>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</si>
  <si>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</si>
  <si>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</si>
  <si>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</si>
  <si>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</si>
  <si>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</si>
  <si>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</si>
  <si>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土地估价师</t>
  </si>
  <si>
    <t>《国有土地使用证》[]</t>
    <phoneticPr fontId="10"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</si>
  <si>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</si>
  <si>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</si>
  <si>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</si>
  <si>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</si>
  <si>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</si>
  <si>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</si>
  <si>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</si>
  <si>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</si>
  <si>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</si>
  <si>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</si>
  <si>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</si>
  <si>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</si>
  <si>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</si>
  <si>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</si>
  <si>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</si>
  <si>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</si>
  <si>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</si>
  <si>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</si>
  <si>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</si>
  <si>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</si>
  <si>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</si>
  <si>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</si>
  <si>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</si>
  <si>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</si>
  <si>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</si>
  <si>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</si>
  <si>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</si>
  <si>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</si>
  <si>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</si>
  <si>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</si>
  <si>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</si>
  <si>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</si>
  <si>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</si>
  <si>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</si>
  <si>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</si>
  <si>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</si>
  <si>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</si>
  <si>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</si>
  <si>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</si>
  <si>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</si>
  <si>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</si>
  <si>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</si>
  <si>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</si>
  <si>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</si>
  <si>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</si>
  <si>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</si>
  <si>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</si>
  <si>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</si>
  <si>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</si>
  <si>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</si>
  <si>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</si>
  <si>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</si>
  <si>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</si>
  <si>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</si>
  <si>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</si>
  <si>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</si>
  <si>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</si>
  <si>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</si>
  <si>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</si>
  <si>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</si>
  <si>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</si>
  <si>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</si>
  <si>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</si>
  <si>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</si>
  <si>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</si>
  <si>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</si>
  <si>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</si>
  <si>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</si>
  <si>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</si>
  <si>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</si>
  <si>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</si>
  <si>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</si>
  <si>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建筑物资本化率</t>
    <phoneticPr fontId="65" type="noConversion"/>
  </si>
  <si>
    <t>收益还原法</t>
    <phoneticPr fontId="18" type="noConversion"/>
  </si>
  <si>
    <r>
      <rPr>
        <sz val="10"/>
        <color indexed="8"/>
        <rFont val="仿宋_GB2312"/>
        <family val="3"/>
        <charset val="134"/>
      </rPr>
      <t>收益年期</t>
    </r>
    <r>
      <rPr>
        <sz val="10"/>
        <color indexed="8"/>
        <rFont val="Arial"/>
        <family val="2"/>
      </rPr>
      <t>(n)</t>
    </r>
    <phoneticPr fontId="7" type="noConversion"/>
  </si>
  <si>
    <t>收益年期(n)</t>
    <phoneticPr fontId="7"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</si>
  <si>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7" type="noConversion"/>
  </si>
  <si>
    <t>2017-4</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</si>
  <si>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3" type="noConversion"/>
  </si>
  <si>
    <t>本行不参与计算</t>
    <phoneticPr fontId="2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</si>
  <si>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7" type="noConversion"/>
  </si>
  <si>
    <t>2017-3</t>
    <phoneticPr fontId="7" type="noConversion"/>
  </si>
  <si>
    <t>前8项之和</t>
    <phoneticPr fontId="19" type="noConversion"/>
  </si>
  <si>
    <t>(1-2-3)/[(1+（(1+利率）^建设期-1）+利润）*（1+契税及印花税率）]</t>
    <phoneticPr fontId="18" type="noConversion"/>
  </si>
  <si>
    <t>押金*一年期存款利率</t>
    <phoneticPr fontId="7" type="noConversion"/>
  </si>
  <si>
    <t>押金*一年期存款利率</t>
    <phoneticPr fontId="7" type="noConversion"/>
  </si>
  <si>
    <t>2018-2</t>
    <phoneticPr fontId="7" type="noConversion"/>
  </si>
  <si>
    <t>2018-1</t>
    <phoneticPr fontId="7" type="noConversion"/>
  </si>
  <si>
    <t>核定资产</t>
  </si>
  <si>
    <t>市场价格</t>
  </si>
  <si>
    <t>平房</t>
  </si>
  <si>
    <t>平房</t>
    <phoneticPr fontId="18" type="noConversion"/>
  </si>
  <si>
    <r>
      <t>2</t>
    </r>
    <r>
      <rPr>
        <sz val="11"/>
        <color theme="1"/>
        <rFont val="宋体"/>
        <family val="3"/>
        <charset val="134"/>
      </rPr>
      <t>层</t>
    </r>
    <phoneticPr fontId="18" type="noConversion"/>
  </si>
  <si>
    <r>
      <t>4</t>
    </r>
    <r>
      <rPr>
        <sz val="11"/>
        <color theme="1"/>
        <rFont val="宋体"/>
        <family val="3"/>
        <charset val="134"/>
      </rPr>
      <t>层</t>
    </r>
    <phoneticPr fontId="18" type="noConversion"/>
  </si>
  <si>
    <r>
      <t>5</t>
    </r>
    <r>
      <rPr>
        <sz val="11"/>
        <color theme="1"/>
        <rFont val="宋体"/>
        <family val="3"/>
        <charset val="134"/>
      </rPr>
      <t>层</t>
    </r>
    <phoneticPr fontId="18" type="noConversion"/>
  </si>
  <si>
    <r>
      <t>3</t>
    </r>
    <r>
      <rPr>
        <sz val="11"/>
        <color theme="1"/>
        <rFont val="宋体"/>
        <family val="3"/>
        <charset val="134"/>
      </rPr>
      <t>层</t>
    </r>
    <phoneticPr fontId="18" type="noConversion"/>
  </si>
  <si>
    <r>
      <t>6</t>
    </r>
    <r>
      <rPr>
        <sz val="11"/>
        <color theme="1"/>
        <rFont val="宋体"/>
        <family val="3"/>
        <charset val="134"/>
      </rPr>
      <t>层</t>
    </r>
    <phoneticPr fontId="18" type="noConversion"/>
  </si>
  <si>
    <t>地上</t>
  </si>
  <si>
    <t>2层</t>
  </si>
  <si>
    <t>3层</t>
  </si>
  <si>
    <t>4层</t>
  </si>
  <si>
    <t>5层</t>
  </si>
  <si>
    <t>6层</t>
  </si>
  <si>
    <t>地下</t>
  </si>
  <si>
    <t>戊类库房</t>
  </si>
  <si>
    <t>平房</t>
    <phoneticPr fontId="11" type="noConversion"/>
  </si>
  <si>
    <t>2层</t>
    <phoneticPr fontId="11" type="noConversion"/>
  </si>
  <si>
    <t>3层</t>
    <phoneticPr fontId="11" type="noConversion"/>
  </si>
  <si>
    <t>4层</t>
    <phoneticPr fontId="11" type="noConversion"/>
  </si>
  <si>
    <r>
      <t>5</t>
    </r>
    <r>
      <rPr>
        <sz val="11"/>
        <color indexed="8"/>
        <rFont val="宋体"/>
        <family val="3"/>
        <charset val="134"/>
      </rPr>
      <t>层</t>
    </r>
    <phoneticPr fontId="11" type="noConversion"/>
  </si>
  <si>
    <r>
      <t>6</t>
    </r>
    <r>
      <rPr>
        <sz val="11"/>
        <color indexed="8"/>
        <rFont val="宋体"/>
        <family val="3"/>
        <charset val="134"/>
      </rPr>
      <t>层</t>
    </r>
    <phoneticPr fontId="11" type="noConversion"/>
  </si>
  <si>
    <t>地下</t>
    <phoneticPr fontId="11" type="noConversion"/>
  </si>
  <si>
    <t>工业用地</t>
  </si>
  <si>
    <t>七通一平</t>
  </si>
  <si>
    <t>一致</t>
  </si>
  <si>
    <t>按公示增长率计算</t>
  </si>
  <si>
    <t>成新度</t>
  </si>
  <si>
    <t>出让</t>
  </si>
  <si>
    <t>容积率修正</t>
  </si>
  <si>
    <t>不动产收益法平</t>
  </si>
  <si>
    <t>不动产收益法平</t>
    <phoneticPr fontId="18" type="noConversion"/>
  </si>
  <si>
    <t>平</t>
    <phoneticPr fontId="7" type="noConversion"/>
  </si>
  <si>
    <r>
      <rPr>
        <sz val="11"/>
        <color theme="1"/>
        <rFont val="宋体"/>
        <family val="3"/>
        <charset val="134"/>
      </rPr>
      <t>不动产收益法</t>
    </r>
    <r>
      <rPr>
        <sz val="11"/>
        <color theme="1"/>
        <rFont val="Arial"/>
        <family val="2"/>
      </rPr>
      <t>2</t>
    </r>
    <phoneticPr fontId="18"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</si>
  <si>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</si>
  <si>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</si>
  <si>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</si>
  <si>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</si>
  <si>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</si>
  <si>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</si>
  <si>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</si>
  <si>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</si>
  <si>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</si>
  <si>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</si>
  <si>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</si>
  <si>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</si>
  <si>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1" type="noConversion"/>
  </si>
  <si>
    <r>
      <rPr>
        <b/>
        <sz val="12"/>
        <color theme="1"/>
        <rFont val="宋体"/>
        <family val="3"/>
        <charset val="134"/>
      </rPr>
      <t>树木种类</t>
    </r>
    <phoneticPr fontId="281" type="noConversion"/>
  </si>
  <si>
    <t>胸径（cm）</t>
    <phoneticPr fontId="281" type="noConversion"/>
  </si>
  <si>
    <t>单价（元）</t>
    <phoneticPr fontId="281" type="noConversion"/>
  </si>
  <si>
    <r>
      <rPr>
        <b/>
        <sz val="12"/>
        <color theme="1"/>
        <rFont val="宋体"/>
        <family val="3"/>
        <charset val="134"/>
      </rPr>
      <t>数量</t>
    </r>
    <phoneticPr fontId="281" type="noConversion"/>
  </si>
  <si>
    <t>总价（元）</t>
    <phoneticPr fontId="281" type="noConversion"/>
  </si>
  <si>
    <r>
      <t>20</t>
    </r>
    <r>
      <rPr>
        <sz val="12"/>
        <color theme="1"/>
        <rFont val="宋体"/>
        <family val="3"/>
        <charset val="134"/>
      </rPr>
      <t>以下</t>
    </r>
    <phoneticPr fontId="281" type="noConversion"/>
  </si>
  <si>
    <r>
      <rPr>
        <sz val="12"/>
        <color theme="1"/>
        <rFont val="宋体"/>
        <family val="3"/>
        <charset val="134"/>
      </rPr>
      <t>柏树</t>
    </r>
    <phoneticPr fontId="281" type="noConversion"/>
  </si>
  <si>
    <t>20-50</t>
    <phoneticPr fontId="281" type="noConversion"/>
  </si>
  <si>
    <r>
      <rPr>
        <sz val="12"/>
        <color theme="1"/>
        <rFont val="宋体"/>
        <family val="3"/>
        <charset val="134"/>
      </rPr>
      <t>椿树</t>
    </r>
    <phoneticPr fontId="281" type="noConversion"/>
  </si>
  <si>
    <r>
      <t>50</t>
    </r>
    <r>
      <rPr>
        <sz val="12"/>
        <color theme="1"/>
        <rFont val="宋体"/>
        <family val="3"/>
        <charset val="134"/>
      </rPr>
      <t>以上</t>
    </r>
    <phoneticPr fontId="281" type="noConversion"/>
  </si>
  <si>
    <r>
      <rPr>
        <sz val="12"/>
        <color theme="1"/>
        <rFont val="宋体"/>
        <family val="3"/>
        <charset val="134"/>
      </rPr>
      <t>海棠树</t>
    </r>
    <phoneticPr fontId="281" type="noConversion"/>
  </si>
  <si>
    <r>
      <rPr>
        <sz val="12"/>
        <color theme="1"/>
        <rFont val="宋体"/>
        <family val="3"/>
        <charset val="134"/>
      </rPr>
      <t>槐树</t>
    </r>
    <phoneticPr fontId="281" type="noConversion"/>
  </si>
  <si>
    <r>
      <rPr>
        <sz val="12"/>
        <color theme="1"/>
        <rFont val="宋体"/>
        <family val="3"/>
        <charset val="134"/>
      </rPr>
      <t>柳树</t>
    </r>
    <phoneticPr fontId="281" type="noConversion"/>
  </si>
  <si>
    <r>
      <rPr>
        <sz val="12"/>
        <color theme="1"/>
        <rFont val="宋体"/>
        <family val="3"/>
        <charset val="134"/>
      </rPr>
      <t>龙抓槐</t>
    </r>
    <phoneticPr fontId="281" type="noConversion"/>
  </si>
  <si>
    <r>
      <rPr>
        <sz val="12"/>
        <color theme="1"/>
        <rFont val="宋体"/>
        <family val="3"/>
        <charset val="134"/>
      </rPr>
      <t>桑树</t>
    </r>
    <phoneticPr fontId="281" type="noConversion"/>
  </si>
  <si>
    <r>
      <rPr>
        <sz val="12"/>
        <color theme="1"/>
        <rFont val="宋体"/>
        <family val="3"/>
        <charset val="134"/>
      </rPr>
      <t>山楂树</t>
    </r>
    <phoneticPr fontId="281" type="noConversion"/>
  </si>
  <si>
    <r>
      <rPr>
        <sz val="12"/>
        <color theme="1"/>
        <rFont val="宋体"/>
        <family val="3"/>
        <charset val="134"/>
      </rPr>
      <t>柿子树</t>
    </r>
    <phoneticPr fontId="281" type="noConversion"/>
  </si>
  <si>
    <r>
      <rPr>
        <sz val="12"/>
        <color theme="1"/>
        <rFont val="宋体"/>
        <family val="3"/>
        <charset val="134"/>
      </rPr>
      <t>松树</t>
    </r>
    <phoneticPr fontId="281" type="noConversion"/>
  </si>
  <si>
    <r>
      <rPr>
        <sz val="12"/>
        <color theme="1"/>
        <rFont val="宋体"/>
        <family val="3"/>
        <charset val="134"/>
      </rPr>
      <t>桃树</t>
    </r>
    <phoneticPr fontId="281" type="noConversion"/>
  </si>
  <si>
    <r>
      <rPr>
        <sz val="12"/>
        <color theme="1"/>
        <rFont val="宋体"/>
        <family val="3"/>
        <charset val="134"/>
      </rPr>
      <t>梧桐树</t>
    </r>
    <phoneticPr fontId="281" type="noConversion"/>
  </si>
  <si>
    <r>
      <rPr>
        <sz val="12"/>
        <color theme="1"/>
        <rFont val="宋体"/>
        <family val="3"/>
        <charset val="134"/>
      </rPr>
      <t>雪松</t>
    </r>
    <phoneticPr fontId="281" type="noConversion"/>
  </si>
  <si>
    <r>
      <rPr>
        <sz val="12"/>
        <color theme="1"/>
        <rFont val="宋体"/>
        <family val="3"/>
        <charset val="134"/>
      </rPr>
      <t>紫藤萝</t>
    </r>
    <phoneticPr fontId="281" type="noConversion"/>
  </si>
  <si>
    <r>
      <rPr>
        <sz val="12"/>
        <color theme="1"/>
        <rFont val="宋体"/>
        <family val="3"/>
        <charset val="134"/>
      </rPr>
      <t>蔟</t>
    </r>
    <phoneticPr fontId="281" type="noConversion"/>
  </si>
  <si>
    <r>
      <rPr>
        <sz val="12"/>
        <color theme="1"/>
        <rFont val="宋体"/>
        <family val="3"/>
        <charset val="134"/>
      </rPr>
      <t>小叶黄杨</t>
    </r>
    <phoneticPr fontId="281" type="noConversion"/>
  </si>
  <si>
    <r>
      <t>1m</t>
    </r>
    <r>
      <rPr>
        <sz val="12"/>
        <color theme="1"/>
        <rFont val="宋体"/>
        <family val="3"/>
        <charset val="134"/>
      </rPr>
      <t>圆</t>
    </r>
    <phoneticPr fontId="281" type="noConversion"/>
  </si>
  <si>
    <r>
      <t>100x1</t>
    </r>
    <r>
      <rPr>
        <sz val="12"/>
        <color theme="1"/>
        <rFont val="宋体"/>
        <family val="3"/>
        <charset val="134"/>
      </rPr>
      <t>㎡</t>
    </r>
    <phoneticPr fontId="281" type="noConversion"/>
  </si>
  <si>
    <r>
      <rPr>
        <sz val="12"/>
        <color theme="1"/>
        <rFont val="宋体"/>
        <family val="3"/>
        <charset val="134"/>
      </rPr>
      <t>杨树</t>
    </r>
    <phoneticPr fontId="281" type="noConversion"/>
  </si>
  <si>
    <r>
      <rPr>
        <sz val="12"/>
        <color theme="1"/>
        <rFont val="宋体"/>
        <family val="3"/>
        <charset val="134"/>
      </rPr>
      <t>银杏树</t>
    </r>
    <phoneticPr fontId="281" type="noConversion"/>
  </si>
  <si>
    <r>
      <rPr>
        <sz val="12"/>
        <color theme="1"/>
        <rFont val="宋体"/>
        <family val="3"/>
        <charset val="134"/>
      </rPr>
      <t>榆树</t>
    </r>
    <phoneticPr fontId="281" type="noConversion"/>
  </si>
  <si>
    <r>
      <rPr>
        <sz val="12"/>
        <color theme="1"/>
        <rFont val="宋体"/>
        <family val="3"/>
        <charset val="134"/>
      </rPr>
      <t>玉兰树</t>
    </r>
    <phoneticPr fontId="281" type="noConversion"/>
  </si>
  <si>
    <r>
      <rPr>
        <sz val="12"/>
        <color theme="1"/>
        <rFont val="宋体"/>
        <family val="3"/>
        <charset val="134"/>
      </rPr>
      <t>紫玉兰</t>
    </r>
    <phoneticPr fontId="281" type="noConversion"/>
  </si>
  <si>
    <t>01-04</t>
    <phoneticPr fontId="237" type="noConversion"/>
  </si>
  <si>
    <t>01-02</t>
    <phoneticPr fontId="237" type="noConversion"/>
  </si>
  <si>
    <t>01-05</t>
    <phoneticPr fontId="237" type="noConversion"/>
  </si>
  <si>
    <t>01-03</t>
    <phoneticPr fontId="237" type="noConversion"/>
  </si>
  <si>
    <t>01-06</t>
    <phoneticPr fontId="237"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</si>
  <si>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</si>
  <si>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</si>
  <si>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</si>
  <si>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7"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</si>
  <si>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</si>
  <si>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</si>
  <si>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7" type="noConversion"/>
  </si>
  <si>
    <r>
      <rPr>
        <sz val="11"/>
        <color theme="1"/>
        <rFont val="宋体"/>
        <family val="3"/>
        <charset val="134"/>
      </rPr>
      <t>平</t>
    </r>
    <phoneticPr fontId="237" type="noConversion"/>
  </si>
  <si>
    <r>
      <rPr>
        <sz val="11"/>
        <color theme="1"/>
        <rFont val="宋体"/>
        <family val="3"/>
        <charset val="134"/>
      </rPr>
      <t>砖木</t>
    </r>
    <phoneticPr fontId="237" type="noConversion"/>
  </si>
  <si>
    <r>
      <rPr>
        <sz val="11"/>
        <color theme="1"/>
        <rFont val="宋体"/>
        <family val="3"/>
        <charset val="134"/>
      </rPr>
      <t>钢混</t>
    </r>
    <phoneticPr fontId="237" type="noConversion"/>
  </si>
  <si>
    <r>
      <rPr>
        <sz val="11"/>
        <color theme="1"/>
        <rFont val="宋体"/>
        <family val="3"/>
        <charset val="134"/>
      </rPr>
      <t>地下室</t>
    </r>
    <phoneticPr fontId="237"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</si>
  <si>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</si>
  <si>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</si>
  <si>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</si>
  <si>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</si>
  <si>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</si>
  <si>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</si>
  <si>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</si>
  <si>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</si>
  <si>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</si>
  <si>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</si>
  <si>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7" type="noConversion"/>
  </si>
  <si>
    <t>办公楼</t>
    <phoneticPr fontId="237" type="noConversion"/>
  </si>
  <si>
    <t>食堂</t>
    <phoneticPr fontId="237" type="noConversion"/>
  </si>
  <si>
    <t>浴室</t>
    <phoneticPr fontId="237" type="noConversion"/>
  </si>
  <si>
    <t>宿舍楼</t>
    <phoneticPr fontId="237" type="noConversion"/>
  </si>
  <si>
    <t>仓库</t>
    <phoneticPr fontId="237" type="noConversion"/>
  </si>
  <si>
    <t>销售办公室</t>
    <phoneticPr fontId="237" type="noConversion"/>
  </si>
  <si>
    <t>小车库</t>
    <phoneticPr fontId="237" type="noConversion"/>
  </si>
  <si>
    <t>休息室</t>
    <phoneticPr fontId="237" type="noConversion"/>
  </si>
  <si>
    <r>
      <rPr>
        <sz val="11"/>
        <color theme="1"/>
        <rFont val="宋体"/>
        <family val="3"/>
        <charset val="134"/>
      </rPr>
      <t>包装</t>
    </r>
    <r>
      <rPr>
        <sz val="11"/>
        <color theme="1"/>
        <rFont val="Arial"/>
        <family val="2"/>
      </rPr>
      <t>+</t>
    </r>
    <r>
      <rPr>
        <sz val="11"/>
        <color theme="1"/>
        <rFont val="宋体"/>
        <family val="3"/>
        <charset val="134"/>
      </rPr>
      <t>酒库</t>
    </r>
    <phoneticPr fontId="237" type="noConversion"/>
  </si>
  <si>
    <t>大车库</t>
    <phoneticPr fontId="237" type="noConversion"/>
  </si>
  <si>
    <t>包材库</t>
    <phoneticPr fontId="237" type="noConversion"/>
  </si>
  <si>
    <t>叉车修理间</t>
    <phoneticPr fontId="237" type="noConversion"/>
  </si>
  <si>
    <t>水泵房</t>
    <phoneticPr fontId="237" type="noConversion"/>
  </si>
  <si>
    <t>配电室</t>
    <phoneticPr fontId="237" type="noConversion"/>
  </si>
  <si>
    <t>发芽</t>
    <phoneticPr fontId="237" type="noConversion"/>
  </si>
  <si>
    <t>空压冷冻</t>
    <phoneticPr fontId="237" type="noConversion"/>
  </si>
  <si>
    <t>加工间</t>
    <phoneticPr fontId="237" type="noConversion"/>
  </si>
  <si>
    <t>工程部</t>
    <phoneticPr fontId="237" type="noConversion"/>
  </si>
  <si>
    <t>卸麦间（铁路）</t>
    <phoneticPr fontId="237" type="noConversion"/>
  </si>
  <si>
    <t>化工库</t>
    <phoneticPr fontId="237" type="noConversion"/>
  </si>
  <si>
    <t>机修车间</t>
    <phoneticPr fontId="237" type="noConversion"/>
  </si>
  <si>
    <t>备件库</t>
    <phoneticPr fontId="237" type="noConversion"/>
  </si>
  <si>
    <t>锅炉房</t>
    <phoneticPr fontId="237" type="noConversion"/>
  </si>
  <si>
    <t>糖化</t>
    <phoneticPr fontId="237" type="noConversion"/>
  </si>
  <si>
    <t>单方重置现价（元）</t>
    <phoneticPr fontId="237" type="noConversion"/>
  </si>
  <si>
    <t>合计</t>
    <phoneticPr fontId="237" type="noConversion"/>
  </si>
  <si>
    <t>白皮松（松）</t>
    <phoneticPr fontId="281"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</si>
  <si>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7"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</si>
  <si>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7" type="noConversion"/>
  </si>
  <si>
    <t>用于生产经营的非住宅房屋的月租金</t>
    <phoneticPr fontId="237" type="noConversion"/>
  </si>
  <si>
    <t>合计</t>
    <phoneticPr fontId="237" type="noConversion"/>
  </si>
  <si>
    <t>合计（万元）</t>
    <phoneticPr fontId="237" type="noConversion"/>
  </si>
  <si>
    <t>天数（天）</t>
    <phoneticPr fontId="237" type="noConversion"/>
  </si>
  <si>
    <t>面积（平方米）</t>
    <phoneticPr fontId="237" type="noConversion"/>
  </si>
  <si>
    <t>日租金（元/平方米）</t>
    <phoneticPr fontId="237" type="noConversion"/>
  </si>
  <si>
    <r>
      <t>2</t>
    </r>
    <r>
      <rPr>
        <sz val="11"/>
        <color theme="1"/>
        <rFont val="宋体"/>
        <family val="3"/>
        <charset val="134"/>
        <scheme val="minor"/>
      </rPr>
      <t>017年净利润</t>
    </r>
    <phoneticPr fontId="237" type="noConversion"/>
  </si>
  <si>
    <t>月净利润</t>
    <phoneticPr fontId="237" type="noConversion"/>
  </si>
  <si>
    <t>年度</t>
    <phoneticPr fontId="237" type="noConversion"/>
  </si>
  <si>
    <t>月度</t>
    <phoneticPr fontId="237" type="noConversion"/>
  </si>
  <si>
    <t>——</t>
    <phoneticPr fontId="237" type="noConversion"/>
  </si>
  <si>
    <t>修正系数</t>
    <phoneticPr fontId="237" type="noConversion"/>
  </si>
  <si>
    <t>合计（万元）</t>
    <phoneticPr fontId="237" type="noConversion"/>
  </si>
  <si>
    <r>
      <t>前12个月</t>
    </r>
    <r>
      <rPr>
        <sz val="11"/>
        <color theme="1"/>
        <rFont val="宋体"/>
        <family val="3"/>
        <charset val="134"/>
        <scheme val="minor"/>
      </rPr>
      <t>平均净利润</t>
    </r>
    <phoneticPr fontId="237" type="noConversion"/>
  </si>
  <si>
    <t>员工月生活补助</t>
    <phoneticPr fontId="237" type="noConversion"/>
  </si>
  <si>
    <t>人数</t>
    <phoneticPr fontId="237" type="noConversion"/>
  </si>
  <si>
    <t>补偿金额(元/月）</t>
    <phoneticPr fontId="237" type="noConversion"/>
  </si>
  <si>
    <t>停产停业补偿期限</t>
    <phoneticPr fontId="237" type="noConversion"/>
  </si>
  <si>
    <t>期限（月）</t>
    <phoneticPr fontId="237" type="noConversion"/>
  </si>
  <si>
    <t>被征收房屋容积率小于0.5的修正</t>
    <phoneticPr fontId="237" type="noConversion"/>
  </si>
  <si>
    <t>搬迁费</t>
    <phoneticPr fontId="237" type="noConversion"/>
  </si>
  <si>
    <t>建筑面积</t>
    <phoneticPr fontId="237" type="noConversion"/>
  </si>
  <si>
    <t>补偿标准（元/平方米）</t>
    <phoneticPr fontId="237" type="noConversion"/>
  </si>
  <si>
    <t>合计（万元）</t>
    <phoneticPr fontId="237" type="noConversion"/>
  </si>
  <si>
    <t>征收补偿安置费</t>
  </si>
  <si>
    <t>停产停业补助费</t>
  </si>
  <si>
    <t>搬迁补助费</t>
  </si>
  <si>
    <t>评估结果一览表</t>
    <phoneticPr fontId="237" type="noConversion"/>
  </si>
  <si>
    <t>序号</t>
    <phoneticPr fontId="237" type="noConversion"/>
  </si>
  <si>
    <t>项目名称</t>
    <phoneticPr fontId="237" type="noConversion"/>
  </si>
  <si>
    <t>附属物</t>
    <phoneticPr fontId="237" type="noConversion"/>
  </si>
  <si>
    <t>建筑物</t>
    <phoneticPr fontId="237" type="noConversion"/>
  </si>
  <si>
    <t>价格（万元）</t>
    <phoneticPr fontId="237" type="noConversion"/>
  </si>
  <si>
    <t>合计</t>
    <phoneticPr fontId="237" type="noConversion"/>
  </si>
  <si>
    <t>项目名称</t>
    <phoneticPr fontId="237" type="noConversion"/>
  </si>
  <si>
    <t>规划用途</t>
    <phoneticPr fontId="237" type="noConversion"/>
  </si>
  <si>
    <t>市政条件</t>
    <phoneticPr fontId="237" type="noConversion"/>
  </si>
  <si>
    <t>卸煤间</t>
    <phoneticPr fontId="237" type="noConversion"/>
  </si>
  <si>
    <t>砖混</t>
    <phoneticPr fontId="237" type="noConversion"/>
  </si>
  <si>
    <t>1</t>
    <phoneticPr fontId="237" type="noConversion"/>
  </si>
  <si>
    <t>3</t>
    <phoneticPr fontId="237" type="noConversion"/>
  </si>
  <si>
    <t>框架</t>
    <phoneticPr fontId="237" type="noConversion"/>
  </si>
  <si>
    <t>营业室</t>
    <phoneticPr fontId="237" type="noConversion"/>
  </si>
  <si>
    <t>油库及附属设施</t>
    <phoneticPr fontId="237" type="noConversion"/>
  </si>
  <si>
    <t>钢架瓦楞铁</t>
    <phoneticPr fontId="237" type="noConversion"/>
  </si>
  <si>
    <t>合计</t>
    <phoneticPr fontId="237" type="noConversion"/>
  </si>
  <si>
    <t>污水处理厂</t>
    <phoneticPr fontId="237" type="noConversion"/>
  </si>
  <si>
    <t>砖混</t>
    <phoneticPr fontId="237" type="noConversion"/>
  </si>
  <si>
    <t>1</t>
    <phoneticPr fontId="237" type="noConversion"/>
  </si>
  <si>
    <t>地磅房（中衡）</t>
    <phoneticPr fontId="237" type="noConversion"/>
  </si>
  <si>
    <t>序号</t>
    <phoneticPr fontId="237" type="noConversion"/>
  </si>
  <si>
    <t>日期</t>
    <phoneticPr fontId="237" type="noConversion"/>
  </si>
  <si>
    <t>土地面积</t>
    <phoneticPr fontId="237" type="noConversion"/>
  </si>
  <si>
    <t>土地开发补偿费</t>
    <phoneticPr fontId="237" type="noConversion"/>
  </si>
  <si>
    <t>昌平区北七家镇[中心起步区（海鶄落新村建设）项目一期]HQL-02、04、07、08、12、13、14、16、17、18地块F1住宅混合公建、A33基础教育、U17邮政设施、R2二类居住、F81绿隔产业用地（配建“限价商品住房”）项目</t>
    <phoneticPr fontId="237" type="noConversion"/>
  </si>
  <si>
    <t>单价</t>
    <phoneticPr fontId="237" type="noConversion"/>
  </si>
  <si>
    <t>七通一平</t>
    <phoneticPr fontId="237" type="noConversion"/>
  </si>
  <si>
    <t>坐落</t>
    <phoneticPr fontId="237" type="noConversion"/>
  </si>
  <si>
    <t>翡翠家园</t>
    <phoneticPr fontId="237" type="noConversion"/>
  </si>
  <si>
    <t>国瑞熙墅</t>
    <phoneticPr fontId="237" type="noConversion"/>
  </si>
  <si>
    <t>国瑞熙院</t>
    <phoneticPr fontId="237" type="noConversion"/>
  </si>
  <si>
    <t>昌平区北七家镇GTZ-05-1、GTZ-07、GTZ-09地块（沟自头寸储备开发项目西侧地块）R2二类居住、A33基础教育、B4综合性商业金融服务业用地（配建“限价商品住房”）</t>
    <phoneticPr fontId="237" type="noConversion"/>
  </si>
  <si>
    <t>R2二类居住、B4综合性商业金融服务业用地</t>
    <phoneticPr fontId="237" type="noConversion"/>
  </si>
  <si>
    <t>R2二类居住、A33基础教育、B4综合性商业金融服务业用地</t>
    <phoneticPr fontId="237" type="noConversion"/>
  </si>
  <si>
    <t>F1住宅混合公建、R2二类居住、F81绿隔产业用地</t>
    <phoneticPr fontId="237" type="noConversion"/>
  </si>
  <si>
    <t>未来融尚家园</t>
    <phoneticPr fontId="237"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</si>
  <si>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7" type="noConversion"/>
  </si>
  <si>
    <t>昌平区北七家镇（未来科技城南区）CP07-0600-0049、0062地块F1住宅混合公建用地（配建“人才公共租赁住房”）</t>
    <phoneticPr fontId="237" type="noConversion"/>
  </si>
  <si>
    <t>F1住宅混合公建用地</t>
    <phoneticPr fontId="237" type="noConversion"/>
  </si>
  <si>
    <t>成本逼近法</t>
  </si>
  <si>
    <t>一般</t>
  </si>
  <si>
    <t>较好</t>
  </si>
  <si>
    <t>较差</t>
  </si>
  <si>
    <t>好</t>
  </si>
  <si>
    <t>土地使用权(出让）</t>
    <phoneticPr fontId="237" type="noConversion"/>
  </si>
  <si>
    <t>土地使用权(划拨）</t>
    <phoneticPr fontId="237" type="noConversion"/>
  </si>
  <si>
    <t>有规证</t>
    <phoneticPr fontId="237" type="noConversion"/>
  </si>
  <si>
    <t>01-02</t>
    <phoneticPr fontId="237" type="noConversion"/>
  </si>
  <si>
    <t>易拉罐暂存库</t>
    <phoneticPr fontId="237" type="noConversion"/>
  </si>
  <si>
    <t>彩钢</t>
    <phoneticPr fontId="237" type="noConversion"/>
  </si>
  <si>
    <t>1</t>
    <phoneticPr fontId="237" type="noConversion"/>
  </si>
  <si>
    <t>成品麦芽暂存库</t>
    <phoneticPr fontId="237" type="noConversion"/>
  </si>
  <si>
    <t>酒库大棚</t>
    <phoneticPr fontId="237" type="noConversion"/>
  </si>
  <si>
    <t>钢架</t>
    <phoneticPr fontId="237" type="noConversion"/>
  </si>
  <si>
    <t>1</t>
    <phoneticPr fontId="237" type="noConversion"/>
  </si>
  <si>
    <t>冷冻简易房</t>
    <phoneticPr fontId="237" type="noConversion"/>
  </si>
  <si>
    <t>彩钢</t>
    <phoneticPr fontId="237" type="noConversion"/>
  </si>
  <si>
    <t>易拉罐空罐库</t>
    <phoneticPr fontId="237" type="noConversion"/>
  </si>
  <si>
    <t>易拉罐杀菌机房</t>
    <phoneticPr fontId="237" type="noConversion"/>
  </si>
  <si>
    <t>洗瓶场（棚，未封）</t>
    <phoneticPr fontId="237" type="noConversion"/>
  </si>
  <si>
    <t>扎啤空桶库</t>
    <phoneticPr fontId="237" type="noConversion"/>
  </si>
  <si>
    <t>扎啤车间</t>
    <phoneticPr fontId="237" type="noConversion"/>
  </si>
  <si>
    <t>砖混</t>
    <phoneticPr fontId="237" type="noConversion"/>
  </si>
  <si>
    <t>扎啤成品库</t>
    <phoneticPr fontId="237" type="noConversion"/>
  </si>
  <si>
    <t>5升桶生产车间</t>
    <phoneticPr fontId="237" type="noConversion"/>
  </si>
  <si>
    <t>油库及附属设施</t>
    <phoneticPr fontId="237" type="noConversion"/>
  </si>
  <si>
    <t>销售办公房</t>
    <phoneticPr fontId="237" type="noConversion"/>
  </si>
  <si>
    <t>警队休息室</t>
    <phoneticPr fontId="237" type="noConversion"/>
  </si>
  <si>
    <t>绿化队休息室</t>
    <phoneticPr fontId="237" type="noConversion"/>
  </si>
  <si>
    <t>基建库房</t>
    <phoneticPr fontId="237" type="noConversion"/>
  </si>
  <si>
    <t>西门岗</t>
    <phoneticPr fontId="237" type="noConversion"/>
  </si>
  <si>
    <t>传达室</t>
    <phoneticPr fontId="237" type="noConversion"/>
  </si>
  <si>
    <t>自行车棚（内）</t>
    <phoneticPr fontId="237" type="noConversion"/>
  </si>
  <si>
    <t>扎啤临时库房</t>
    <phoneticPr fontId="237" type="noConversion"/>
  </si>
  <si>
    <t>包材库办公室</t>
    <phoneticPr fontId="237" type="noConversion"/>
  </si>
  <si>
    <t>酒糟干燥车间</t>
    <phoneticPr fontId="237" type="noConversion"/>
  </si>
  <si>
    <t>铁道值班室</t>
    <phoneticPr fontId="237" type="noConversion"/>
  </si>
  <si>
    <t>浴室旁地泵房东</t>
    <phoneticPr fontId="237" type="noConversion"/>
  </si>
  <si>
    <t>浴室旁地泵房西</t>
    <phoneticPr fontId="237" type="noConversion"/>
  </si>
  <si>
    <t>包装休息室</t>
    <phoneticPr fontId="237" type="noConversion"/>
  </si>
  <si>
    <t>硅土压力间</t>
    <phoneticPr fontId="237" type="noConversion"/>
  </si>
  <si>
    <t>销售办公室对面</t>
    <phoneticPr fontId="237" type="noConversion"/>
  </si>
  <si>
    <t>临建</t>
    <phoneticPr fontId="237" type="noConversion"/>
  </si>
  <si>
    <t>没证没规划</t>
    <phoneticPr fontId="237" type="noConversion"/>
  </si>
  <si>
    <t>建筑物（有房产证）</t>
    <phoneticPr fontId="237" type="noConversion"/>
  </si>
  <si>
    <t>建筑物（无房产证，有规证）</t>
    <phoneticPr fontId="237" type="noConversion"/>
  </si>
  <si>
    <t>建筑物（无房产证，无规证）</t>
    <phoneticPr fontId="237" type="noConversion"/>
  </si>
  <si>
    <t>划拨土地面积</t>
    <phoneticPr fontId="237" type="noConversion"/>
  </si>
  <si>
    <t>企业所得税</t>
    <phoneticPr fontId="237" type="noConversion"/>
  </si>
  <si>
    <t>1季度</t>
    <phoneticPr fontId="237" type="noConversion"/>
  </si>
  <si>
    <t>2季度</t>
    <phoneticPr fontId="237" type="noConversion"/>
  </si>
  <si>
    <t>3季度</t>
    <phoneticPr fontId="237" type="noConversion"/>
  </si>
  <si>
    <t>4季度</t>
    <phoneticPr fontId="237" type="noConversion"/>
  </si>
  <si>
    <t>——</t>
    <phoneticPr fontId="237" type="noConversion"/>
  </si>
  <si>
    <t>自定义容积率</t>
  </si>
  <si>
    <t>名称</t>
    <phoneticPr fontId="237" type="noConversion"/>
  </si>
  <si>
    <t>序号</t>
    <phoneticPr fontId="237" type="noConversion"/>
  </si>
  <si>
    <t>围墙（砖）</t>
    <phoneticPr fontId="237" type="noConversion"/>
  </si>
  <si>
    <t>单位</t>
    <phoneticPr fontId="237" type="noConversion"/>
  </si>
  <si>
    <t>米</t>
    <phoneticPr fontId="237" type="noConversion"/>
  </si>
  <si>
    <t>平方米</t>
    <phoneticPr fontId="237"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</si>
  <si>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</si>
  <si>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</si>
  <si>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7" type="noConversion"/>
  </si>
  <si>
    <r>
      <t>表</t>
    </r>
    <r>
      <rPr>
        <sz val="10"/>
        <rFont val="Times New Roman"/>
        <family val="1"/>
      </rPr>
      <t>4-6-3</t>
    </r>
    <phoneticPr fontId="7" type="noConversion"/>
  </si>
  <si>
    <t>金额单位：人民币元</t>
    <phoneticPr fontId="7" type="noConversion"/>
  </si>
  <si>
    <t>序号</t>
    <phoneticPr fontId="7" type="noConversion"/>
  </si>
  <si>
    <r>
      <t xml:space="preserve"> </t>
    </r>
    <r>
      <rPr>
        <sz val="10"/>
        <rFont val="宋体"/>
        <family val="3"/>
        <charset val="134"/>
      </rPr>
      <t>名称</t>
    </r>
    <phoneticPr fontId="7" type="noConversion"/>
  </si>
  <si>
    <t>使用单位</t>
    <phoneticPr fontId="7" type="noConversion"/>
  </si>
  <si>
    <t>对应房屋建筑物楼号或栋号</t>
    <phoneticPr fontId="281" type="noConversion"/>
  </si>
  <si>
    <r>
      <t xml:space="preserve">长度
</t>
    </r>
    <r>
      <rPr>
        <sz val="10"/>
        <rFont val="Times New Roman"/>
        <family val="1"/>
      </rPr>
      <t>(m)</t>
    </r>
    <phoneticPr fontId="7" type="noConversion"/>
  </si>
  <si>
    <r>
      <t xml:space="preserve">漕深
</t>
    </r>
    <r>
      <rPr>
        <sz val="10"/>
        <rFont val="Times New Roman"/>
        <family val="1"/>
      </rPr>
      <t>(m)</t>
    </r>
    <phoneticPr fontId="7"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</si>
  <si>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7" type="noConversion"/>
  </si>
  <si>
    <t>材质</t>
    <phoneticPr fontId="7" type="noConversion"/>
  </si>
  <si>
    <t>绝缘方式</t>
    <phoneticPr fontId="7" type="noConversion"/>
  </si>
  <si>
    <t>建成年月</t>
    <phoneticPr fontId="7" type="noConversion"/>
  </si>
  <si>
    <t>审计前账面值</t>
  </si>
  <si>
    <t>账面价值</t>
  </si>
  <si>
    <t>评估价值</t>
    <phoneticPr fontId="7" type="noConversion"/>
  </si>
  <si>
    <r>
      <t>增值率</t>
    </r>
    <r>
      <rPr>
        <sz val="10"/>
        <rFont val="Times New Roman"/>
        <family val="1"/>
      </rPr>
      <t>%</t>
    </r>
    <phoneticPr fontId="7" type="noConversion"/>
  </si>
  <si>
    <t>备注</t>
    <phoneticPr fontId="7" type="noConversion"/>
  </si>
  <si>
    <t>原值</t>
    <phoneticPr fontId="7" type="noConversion"/>
  </si>
  <si>
    <t>净值</t>
    <phoneticPr fontId="7" type="noConversion"/>
  </si>
  <si>
    <r>
      <t>成新率</t>
    </r>
    <r>
      <rPr>
        <sz val="10"/>
        <rFont val="Times New Roman"/>
        <family val="1"/>
      </rPr>
      <t>%</t>
    </r>
    <phoneticPr fontId="7" type="noConversion"/>
  </si>
  <si>
    <t>包装车间大瓶天窗通风</t>
  </si>
  <si>
    <t>包装部</t>
    <phoneticPr fontId="7" type="noConversion"/>
  </si>
  <si>
    <t>4#线车间钢窗改塑钢窗(311.43m2)</t>
  </si>
  <si>
    <t>框架结构</t>
  </si>
  <si>
    <t>4#天窗改造</t>
  </si>
  <si>
    <t>小瓶线地沟</t>
  </si>
  <si>
    <t>3#线车间钢窗改塑钢窗 (311.43m3)</t>
  </si>
  <si>
    <t>3#天窗改造</t>
  </si>
  <si>
    <t>清酒间墙面涂层(270m2)</t>
  </si>
  <si>
    <t>酿造部</t>
    <phoneticPr fontId="7" type="noConversion"/>
  </si>
  <si>
    <t>酒花库改造吊顶保温</t>
  </si>
  <si>
    <t>上水管 (3210m) 89</t>
  </si>
  <si>
    <t>公用工程</t>
    <phoneticPr fontId="7" type="noConversion"/>
  </si>
  <si>
    <t>铸铁管</t>
  </si>
  <si>
    <t>路 灯 (130个) 89</t>
  </si>
  <si>
    <t>暖气管 (10778m)</t>
  </si>
  <si>
    <t>砼</t>
  </si>
  <si>
    <t>污水管 (2917m)</t>
  </si>
  <si>
    <t>污水场进退管(880m)</t>
  </si>
  <si>
    <t>成品库屋面防水(6390m2)</t>
  </si>
  <si>
    <t>生产部</t>
    <phoneticPr fontId="7" type="noConversion"/>
  </si>
  <si>
    <t>西场地道路工程(588.4m2)</t>
  </si>
  <si>
    <t>甁箱车间</t>
    <phoneticPr fontId="7"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</si>
  <si>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</si>
  <si>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</si>
  <si>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</si>
  <si>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</si>
  <si>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</si>
  <si>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</si>
  <si>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</si>
  <si>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</si>
  <si>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</si>
  <si>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</si>
  <si>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</si>
  <si>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</si>
  <si>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</si>
  <si>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</si>
  <si>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</si>
  <si>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</si>
  <si>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</si>
  <si>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</si>
  <si>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</si>
  <si>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</si>
  <si>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</si>
  <si>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</si>
  <si>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</si>
  <si>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</si>
  <si>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7" type="noConversion"/>
  </si>
  <si>
    <t>营业室电缆改造</t>
  </si>
  <si>
    <t>食品中心大厅装饰</t>
  </si>
  <si>
    <t>风机房</t>
  </si>
  <si>
    <t>工程部</t>
    <phoneticPr fontId="7" type="noConversion"/>
  </si>
  <si>
    <t>中间池</t>
  </si>
  <si>
    <r>
      <t>（14*8.8*4.5）m</t>
    </r>
    <r>
      <rPr>
        <sz val="9"/>
        <rFont val="宋体"/>
        <family val="3"/>
        <charset val="134"/>
      </rPr>
      <t>3</t>
    </r>
    <phoneticPr fontId="7" type="noConversion"/>
  </si>
  <si>
    <t>调节池</t>
  </si>
  <si>
    <t>工程部</t>
    <phoneticPr fontId="7" type="noConversion"/>
  </si>
  <si>
    <r>
      <t>（18*35*4/2）m</t>
    </r>
    <r>
      <rPr>
        <sz val="9"/>
        <rFont val="宋体"/>
        <family val="3"/>
        <charset val="134"/>
      </rPr>
      <t>3</t>
    </r>
    <phoneticPr fontId="7" type="noConversion"/>
  </si>
  <si>
    <t>事故池</t>
  </si>
  <si>
    <r>
      <t>（20*10.9*4.5）m</t>
    </r>
    <r>
      <rPr>
        <sz val="9"/>
        <rFont val="宋体"/>
        <family val="3"/>
        <charset val="134"/>
      </rPr>
      <t>3</t>
    </r>
    <phoneticPr fontId="7" type="noConversion"/>
  </si>
  <si>
    <t>二沉池</t>
  </si>
  <si>
    <t>初沉池</t>
  </si>
  <si>
    <t>雨水井</t>
  </si>
  <si>
    <r>
      <t>（4*4*5）</t>
    </r>
    <r>
      <rPr>
        <sz val="9"/>
        <rFont val="宋体"/>
        <family val="3"/>
        <charset val="134"/>
      </rPr>
      <t>m3</t>
    </r>
    <phoneticPr fontId="7" type="noConversion"/>
  </si>
  <si>
    <t>营业室改造</t>
    <phoneticPr fontId="7" type="noConversion"/>
  </si>
  <si>
    <t>生产部</t>
    <phoneticPr fontId="7" type="noConversion"/>
  </si>
  <si>
    <t>3号线地面改造</t>
    <phoneticPr fontId="7" type="noConversion"/>
  </si>
  <si>
    <t>包装部</t>
    <phoneticPr fontId="7" type="noConversion"/>
  </si>
  <si>
    <t>宿舍楼暖气改造</t>
    <phoneticPr fontId="7" type="noConversion"/>
  </si>
  <si>
    <t>人行部</t>
    <phoneticPr fontId="7" type="noConversion"/>
  </si>
  <si>
    <t>宿舍水管改造</t>
    <phoneticPr fontId="7" type="noConversion"/>
  </si>
  <si>
    <t>食堂装修改造</t>
    <phoneticPr fontId="7" type="noConversion"/>
  </si>
  <si>
    <t xml:space="preserve"> 实验室装修</t>
  </si>
  <si>
    <t>品管部</t>
    <phoneticPr fontId="7" type="noConversion"/>
  </si>
  <si>
    <t>办公区外墙粉刷工程</t>
    <phoneticPr fontId="7" type="noConversion"/>
  </si>
  <si>
    <t>公用工程</t>
    <phoneticPr fontId="7" type="noConversion"/>
  </si>
  <si>
    <t>1,37,2</t>
    <phoneticPr fontId="281" type="noConversion"/>
  </si>
  <si>
    <t>包装车间屋面粉刷</t>
    <phoneticPr fontId="7" type="noConversion"/>
  </si>
  <si>
    <t>酿造罐区屋面粉刷</t>
    <phoneticPr fontId="7" type="noConversion"/>
  </si>
  <si>
    <t>酿造部</t>
    <phoneticPr fontId="7" type="noConversion"/>
  </si>
  <si>
    <t>3#4#线地沟地面改造</t>
  </si>
  <si>
    <t>生产区外墙粉刷</t>
    <phoneticPr fontId="7" type="noConversion"/>
  </si>
  <si>
    <t>17,36,21,20</t>
    <phoneticPr fontId="281" type="noConversion"/>
  </si>
  <si>
    <r>
      <rPr>
        <sz val="10"/>
        <rFont val="宋体"/>
        <family val="3"/>
        <charset val="134"/>
      </rPr>
      <t>合</t>
    </r>
    <r>
      <rPr>
        <sz val="10"/>
        <rFont val="Times New Roman"/>
        <family val="1"/>
      </rPr>
      <t xml:space="preserve">         </t>
    </r>
    <r>
      <rPr>
        <sz val="10"/>
        <rFont val="宋体"/>
        <family val="3"/>
        <charset val="134"/>
      </rPr>
      <t>计</t>
    </r>
    <phoneticPr fontId="7" type="noConversion"/>
  </si>
  <si>
    <t>减：减值准备</t>
    <phoneticPr fontId="7" type="noConversion"/>
  </si>
  <si>
    <r>
      <t>合</t>
    </r>
    <r>
      <rPr>
        <sz val="10"/>
        <rFont val="Times New Roman"/>
        <family val="1"/>
      </rPr>
      <t xml:space="preserve">            </t>
    </r>
    <r>
      <rPr>
        <sz val="10"/>
        <rFont val="宋体"/>
        <family val="3"/>
        <charset val="134"/>
      </rPr>
      <t>计</t>
    </r>
    <phoneticPr fontId="7" type="noConversion"/>
  </si>
  <si>
    <t>成新率</t>
    <phoneticPr fontId="237" type="noConversion"/>
  </si>
  <si>
    <t>分值</t>
    <phoneticPr fontId="237" type="noConversion"/>
  </si>
  <si>
    <t>分数</t>
    <phoneticPr fontId="237" type="noConversion"/>
  </si>
  <si>
    <t>炉渣地面（石灰焦渣）</t>
    <phoneticPr fontId="237" type="noConversion"/>
  </si>
  <si>
    <t>合计</t>
    <phoneticPr fontId="237" type="noConversion"/>
  </si>
  <si>
    <t>金额（万元）</t>
    <phoneticPr fontId="237" type="noConversion"/>
  </si>
  <si>
    <t>年度</t>
    <phoneticPr fontId="7" type="noConversion"/>
  </si>
  <si>
    <t>项目名称</t>
  </si>
  <si>
    <t>开发主体</t>
  </si>
  <si>
    <t>项目类型</t>
  </si>
  <si>
    <t>规划用途</t>
  </si>
  <si>
    <t>市政条件</t>
  </si>
  <si>
    <t>土地面积（公顷）</t>
    <phoneticPr fontId="281" type="noConversion"/>
  </si>
  <si>
    <t>建筑规模  （万平方米）</t>
  </si>
  <si>
    <t>土地开发成本总价（万元）</t>
    <phoneticPr fontId="7" type="noConversion"/>
  </si>
  <si>
    <t>土地开发成本构成情况</t>
    <phoneticPr fontId="7" type="noConversion"/>
  </si>
  <si>
    <t>项目整体</t>
    <phoneticPr fontId="281" type="noConversion"/>
  </si>
  <si>
    <t>土地取得费</t>
    <phoneticPr fontId="281" type="noConversion"/>
  </si>
  <si>
    <t>征地补偿及相关税费</t>
    <phoneticPr fontId="291" type="noConversion"/>
  </si>
  <si>
    <t>拆迁补偿及相关费用</t>
    <phoneticPr fontId="291" type="noConversion"/>
  </si>
  <si>
    <t>征地拆迁不可预见费</t>
    <phoneticPr fontId="291" type="noConversion"/>
  </si>
  <si>
    <t>回迁安置房成本</t>
  </si>
  <si>
    <t>征地补偿及相关税费地面单价（元/平方米）</t>
    <phoneticPr fontId="291" type="noConversion"/>
  </si>
  <si>
    <t>拆迁补偿及相关费用地面单价（元/平方米）</t>
    <phoneticPr fontId="291" type="noConversion"/>
  </si>
  <si>
    <t>总用地</t>
  </si>
  <si>
    <t>建设用地</t>
  </si>
  <si>
    <t>名称</t>
    <phoneticPr fontId="281" type="noConversion"/>
  </si>
  <si>
    <t>过会年度</t>
    <phoneticPr fontId="281" type="noConversion"/>
  </si>
  <si>
    <t>土地开发成本总价（万元）</t>
    <phoneticPr fontId="281" type="noConversion"/>
  </si>
  <si>
    <t>总成本地面单价（元/平方米）</t>
    <phoneticPr fontId="281" type="noConversion"/>
  </si>
  <si>
    <t>土地取得费【征地补偿及相关税费、拆迁补偿及相关费用】（万元）</t>
    <phoneticPr fontId="281" type="noConversion"/>
  </si>
  <si>
    <t>取得费地面单价（元/平方米）</t>
    <phoneticPr fontId="281" type="noConversion"/>
  </si>
  <si>
    <t>c</t>
    <phoneticPr fontId="237" type="noConversion"/>
  </si>
  <si>
    <t>亚林西居住区土地一级开发项目二期（地块7）</t>
    <phoneticPr fontId="7" type="noConversion"/>
  </si>
  <si>
    <t>北京市土地整理储备中心、北京市土地整理储备中心丰台区分中心</t>
    <phoneticPr fontId="7" type="noConversion"/>
  </si>
  <si>
    <t>一级开发</t>
    <phoneticPr fontId="7" type="noConversion"/>
  </si>
  <si>
    <t>住宅混合公建、商业金融、教育配套用地</t>
    <phoneticPr fontId="7" type="noConversion"/>
  </si>
  <si>
    <t>七通一平（通路、通上水（自来水、中水）、通下水（雨水、污水）、通电（仅含管沟）、通讯（电信）、通燃气、通热力），以上工作由北京京投新兴投资有限公司负责于二级竞得人竣工验收前完成。</t>
    <phoneticPr fontId="7"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</si>
  <si>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7" type="noConversion"/>
  </si>
  <si>
    <t>亚林西居住区土地一级开发项目</t>
    <phoneticPr fontId="281" type="noConversion"/>
  </si>
  <si>
    <t>2013年</t>
    <phoneticPr fontId="281"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</si>
  <si>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7" type="noConversion"/>
  </si>
  <si>
    <t>地铁九号线六里桥西站上盖土地一级开发项目</t>
    <phoneticPr fontId="7" type="noConversion"/>
  </si>
  <si>
    <t>北京市基础设施投资有限公司</t>
    <phoneticPr fontId="7" type="noConversion"/>
  </si>
  <si>
    <t>一级开发</t>
    <phoneticPr fontId="7" type="noConversion"/>
  </si>
  <si>
    <t>其他类多功能用地</t>
    <phoneticPr fontId="7" type="noConversion"/>
  </si>
  <si>
    <t>临时三通一平（通路、通临时用水、通临时用电），已全部完成。</t>
    <phoneticPr fontId="7"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</si>
  <si>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7" type="noConversion"/>
  </si>
  <si>
    <t>地铁九号线六里桥西站上盖土地一级开发项目</t>
    <phoneticPr fontId="281" type="noConversion"/>
  </si>
  <si>
    <t>2015年</t>
    <phoneticPr fontId="281" type="noConversion"/>
  </si>
  <si>
    <t>同前</t>
    <phoneticPr fontId="281" type="noConversion"/>
  </si>
  <si>
    <t>b</t>
    <phoneticPr fontId="237" type="noConversion"/>
  </si>
  <si>
    <t>城乡一体化槐房村和新宫村旧村改造项目3-6宗NY-35\NY-39\NY-49\NY-50\NY-53\NY-54\NY-55\NY-57\L-01</t>
    <phoneticPr fontId="7" type="noConversion"/>
  </si>
  <si>
    <t>北京中苑盛世投资管理公司</t>
    <phoneticPr fontId="7" type="noConversion"/>
  </si>
  <si>
    <t>一级开发</t>
    <phoneticPr fontId="7" type="noConversion"/>
  </si>
  <si>
    <t>R2\R5\C1\C3\C9</t>
    <phoneticPr fontId="7"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</si>
  <si>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7"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</si>
  <si>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7" type="noConversion"/>
  </si>
  <si>
    <t>丰台区城乡一体化槐房村和新宫村旧村改造项目</t>
    <phoneticPr fontId="281" type="noConversion"/>
  </si>
  <si>
    <t>2015年</t>
    <phoneticPr fontId="281" type="noConversion"/>
  </si>
  <si>
    <t>653.95（含代拆405.94）</t>
    <phoneticPr fontId="281" type="noConversion"/>
  </si>
  <si>
    <t>同前</t>
    <phoneticPr fontId="281" type="noConversion"/>
  </si>
  <si>
    <t>北京丽泽金融商务区南区土地一级开发项目D-01、02、07、08、16、17、18地块</t>
    <phoneticPr fontId="7" type="noConversion"/>
  </si>
  <si>
    <t>北京丽泽开发建设有限公司</t>
    <phoneticPr fontId="7" type="noConversion"/>
  </si>
  <si>
    <t>商业金融、F3多功能</t>
    <phoneticPr fontId="7" type="noConversion"/>
  </si>
  <si>
    <t xml:space="preserve">临时三通一平（通施工临时用水、通施工临时用电、通可供施工车辆通行的道路，场地基本平整），以上工作由北京丽泽开发建设有限公司负责于项目入市前完成。
</t>
    <phoneticPr fontId="7"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</si>
  <si>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7" type="noConversion"/>
  </si>
  <si>
    <t>北京丽泽金融商务区南区土地一级开发项目</t>
    <phoneticPr fontId="281" type="noConversion"/>
  </si>
  <si>
    <t>2016年</t>
  </si>
  <si>
    <t>丰台区青龙湖郊野休闲社区项目（二期）</t>
    <phoneticPr fontId="7" type="noConversion"/>
  </si>
  <si>
    <t>北京新鸿基盛城置业集团有限公司</t>
    <phoneticPr fontId="7" type="noConversion"/>
  </si>
  <si>
    <t>居住及配套设施用地、机构养老设施用地、商业用地</t>
    <phoneticPr fontId="7" type="noConversion"/>
  </si>
  <si>
    <t>七通一平（通路、通上水（自来水、中水）、通下水（雨水、污水）、通电（仅含管沟）、通讯（电信）、通燃气、通热力，场地基本平整），以上工作由北京新鸿基盛城置业集团有限公司负责于二级竣工验收前完成。</t>
    <phoneticPr fontId="7"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</si>
  <si>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7" type="noConversion"/>
  </si>
  <si>
    <t>丰台区青龙湖郊野休闲社区项目（二期）</t>
    <phoneticPr fontId="281" type="noConversion"/>
  </si>
  <si>
    <t>丰台区城乡一体化大红门旧村改造项目DHM-07、DHM-09地块</t>
    <phoneticPr fontId="7" type="noConversion"/>
  </si>
  <si>
    <t>北京市土地整理储备中心丰台区分中心</t>
    <phoneticPr fontId="7" type="noConversion"/>
  </si>
  <si>
    <t>F2公建混合住宅用地、F3其他类多功能用地</t>
    <phoneticPr fontId="7" type="noConversion"/>
  </si>
  <si>
    <t>市政建设程度为临时三通（通施工临时用水、通施工临时用电、通可供施工车辆通行的道路）和场地基本平整，以上由北京鑫红海房地产开发有限公司负责于土地入市前完成。</t>
    <phoneticPr fontId="7"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</si>
  <si>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7" type="noConversion"/>
  </si>
  <si>
    <t>丰台区城乡一体化大红门旧村改造项目</t>
    <phoneticPr fontId="281" type="noConversion"/>
  </si>
  <si>
    <t>234.67（含代拆53）</t>
    <phoneticPr fontId="281" type="noConversion"/>
  </si>
  <si>
    <t>a</t>
    <phoneticPr fontId="237" type="noConversion"/>
  </si>
  <si>
    <t>丰台区城乡一体化周庄子村旧村改造项目ZZZ-01、L03、L04、L05、12、26地块</t>
    <phoneticPr fontId="281" type="noConversion"/>
  </si>
  <si>
    <t xml:space="preserve">北京市土地整理储备中心丰台区分中心
</t>
    <phoneticPr fontId="7" type="noConversion"/>
  </si>
  <si>
    <t>居住、绿隔产业、文化娱乐、市政设施、教育用地等</t>
    <phoneticPr fontId="7" type="noConversion"/>
  </si>
  <si>
    <t>市政建设程度为临时三通（通施工临时用水、通施工临时用电、通可供施工车辆通行的道路）和场地基本平整，由北京庄兴房地产开发有限公司负责于土地入市前完成。</t>
    <phoneticPr fontId="7"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</si>
  <si>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7" type="noConversion"/>
  </si>
  <si>
    <t>丰台区城乡一体化周庄子村旧村改造项目</t>
    <phoneticPr fontId="281" type="noConversion"/>
  </si>
  <si>
    <t>附属物（树木）</t>
    <phoneticPr fontId="237"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</si>
  <si>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</si>
  <si>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</si>
  <si>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</si>
  <si>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</si>
  <si>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</si>
  <si>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</si>
  <si>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</si>
  <si>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</si>
  <si>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</si>
  <si>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</si>
  <si>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</si>
  <si>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</si>
  <si>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</si>
  <si>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</si>
  <si>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</si>
  <si>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</si>
  <si>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</si>
  <si>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</si>
  <si>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</si>
  <si>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</si>
  <si>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</si>
  <si>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</si>
  <si>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</si>
  <si>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</si>
  <si>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</si>
  <si>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7"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</si>
  <si>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7" type="noConversion"/>
  </si>
  <si>
    <t>五星青岛啤酒厂</t>
    <phoneticPr fontId="32" type="noConversion"/>
  </si>
  <si>
    <t>正常</t>
  </si>
  <si>
    <t>工业</t>
    <phoneticPr fontId="32" type="noConversion"/>
  </si>
  <si>
    <t>仓储</t>
  </si>
  <si>
    <t>仓储</t>
    <phoneticPr fontId="32" type="noConversion"/>
  </si>
  <si>
    <t>估价对象位于海淀区，区域工业成熟度一般，产业集聚程度一般</t>
    <phoneticPr fontId="7" type="noConversion"/>
  </si>
  <si>
    <t>估价对象所在区域公共配套设施齐备情况好</t>
    <phoneticPr fontId="7" type="noConversion"/>
  </si>
  <si>
    <t>七通</t>
  </si>
  <si>
    <t>七通</t>
    <phoneticPr fontId="7" type="noConversion"/>
  </si>
  <si>
    <t>该区域内没有污染型企业，绿化情况教好，卫生条件教好，整体环境状况较好</t>
    <phoneticPr fontId="7" type="noConversion"/>
  </si>
  <si>
    <t>五通</t>
  </si>
  <si>
    <t>六通</t>
  </si>
  <si>
    <t>三通</t>
  </si>
  <si>
    <t>三通</t>
    <phoneticPr fontId="32" type="noConversion"/>
  </si>
  <si>
    <t>七通</t>
    <phoneticPr fontId="32" type="noConversion"/>
  </si>
  <si>
    <t>多面临街</t>
  </si>
  <si>
    <t>城市支路</t>
    <phoneticPr fontId="25" type="noConversion"/>
  </si>
  <si>
    <t>六级</t>
    <phoneticPr fontId="25" type="noConversion"/>
  </si>
  <si>
    <t>顺义新城第26街区南部</t>
    <phoneticPr fontId="7" type="noConversion"/>
  </si>
  <si>
    <t>城市快速路</t>
  </si>
  <si>
    <t>城市快速路</t>
    <phoneticPr fontId="32" type="noConversion"/>
  </si>
  <si>
    <t>主</t>
    <phoneticPr fontId="32" type="noConversion"/>
  </si>
  <si>
    <t>次</t>
    <phoneticPr fontId="32" type="noConversion"/>
  </si>
  <si>
    <t>支</t>
  </si>
  <si>
    <t>支</t>
    <phoneticPr fontId="32" type="noConversion"/>
  </si>
  <si>
    <t>六级</t>
    <phoneticPr fontId="32" type="noConversion"/>
  </si>
  <si>
    <t>八级</t>
    <phoneticPr fontId="32" type="noConversion"/>
  </si>
  <si>
    <t>较规则</t>
  </si>
  <si>
    <t>较规则</t>
    <phoneticPr fontId="32" type="noConversion"/>
  </si>
  <si>
    <t>差</t>
  </si>
  <si>
    <t>六通</t>
    <phoneticPr fontId="32" type="noConversion"/>
  </si>
  <si>
    <t>五通</t>
    <phoneticPr fontId="32" type="noConversion"/>
  </si>
  <si>
    <t>四通</t>
    <phoneticPr fontId="32" type="noConversion"/>
  </si>
  <si>
    <t>自然平整</t>
  </si>
  <si>
    <t>自然平整</t>
    <phoneticPr fontId="32"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</si>
  <si>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</si>
  <si>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道路（沥青）</t>
    <phoneticPr fontId="237" type="noConversion"/>
  </si>
  <si>
    <t>平方米</t>
    <phoneticPr fontId="237" type="noConversion"/>
  </si>
  <si>
    <t>基准地价法</t>
    <phoneticPr fontId="237" type="noConversion"/>
  </si>
  <si>
    <t>成本法</t>
    <phoneticPr fontId="237" type="noConversion"/>
  </si>
  <si>
    <t>比较法</t>
    <phoneticPr fontId="237" type="noConversion"/>
  </si>
  <si>
    <t>出让</t>
    <phoneticPr fontId="237" type="noConversion"/>
  </si>
  <si>
    <t>划拨</t>
    <phoneticPr fontId="237" type="noConversion"/>
  </si>
  <si>
    <t>出让土地面积</t>
    <phoneticPr fontId="237" type="noConversion"/>
  </si>
  <si>
    <t>建面</t>
    <phoneticPr fontId="237" type="noConversion"/>
  </si>
  <si>
    <t>楼面单价</t>
    <phoneticPr fontId="237" type="noConversion"/>
  </si>
  <si>
    <t>地面单价</t>
    <phoneticPr fontId="237" type="noConversion"/>
  </si>
  <si>
    <t>总价（万元）</t>
    <phoneticPr fontId="237" type="noConversion"/>
  </si>
  <si>
    <t>附属物（院墙院地喷泉）</t>
    <phoneticPr fontId="237" type="noConversion"/>
  </si>
  <si>
    <t>海淀区西三旗建材城中路2号</t>
    <phoneticPr fontId="10" type="noConversion"/>
  </si>
  <si>
    <t>顺义区赵全营镇SY19-0107-0001至0003(即SY10-0107-6003)地块</t>
    <phoneticPr fontId="237" type="noConversion"/>
  </si>
  <si>
    <t>算数平均</t>
    <phoneticPr fontId="237" type="noConversion"/>
  </si>
  <si>
    <t xml:space="preserve">永丰产业基地（新）园区土地一级开发项目H地块
</t>
    <phoneticPr fontId="281" type="noConversion"/>
  </si>
  <si>
    <t>土地总面积（公顷）</t>
    <phoneticPr fontId="281" type="noConversion"/>
  </si>
  <si>
    <t>土地取得费地面单价（元）</t>
    <phoneticPr fontId="291" type="noConversion"/>
  </si>
  <si>
    <t>成交地面</t>
    <phoneticPr fontId="237" type="noConversion"/>
  </si>
  <si>
    <t>划拨</t>
    <phoneticPr fontId="237" type="noConversion"/>
  </si>
  <si>
    <t>部分收储面积</t>
    <phoneticPr fontId="237" type="noConversion"/>
  </si>
  <si>
    <t>比例</t>
    <phoneticPr fontId="237" type="noConversion"/>
  </si>
  <si>
    <t>整体</t>
    <phoneticPr fontId="237" type="noConversion"/>
  </si>
  <si>
    <t>市场比较法</t>
    <phoneticPr fontId="237" type="noConversion"/>
  </si>
  <si>
    <t>部分</t>
    <phoneticPr fontId="237" type="noConversion"/>
  </si>
  <si>
    <t>出让（整体）</t>
    <phoneticPr fontId="237" type="noConversion"/>
  </si>
  <si>
    <t>出让（部分）</t>
    <phoneticPr fontId="237" type="noConversion"/>
  </si>
  <si>
    <t>合计（整体）</t>
    <phoneticPr fontId="237" type="noConversion"/>
  </si>
  <si>
    <t>合计</t>
    <phoneticPr fontId="237" type="noConversion"/>
  </si>
  <si>
    <t>1-5月</t>
    <phoneticPr fontId="237" type="noConversion"/>
  </si>
  <si>
    <t>2018年1-5月净利润</t>
    <phoneticPr fontId="237" type="noConversion"/>
  </si>
  <si>
    <t>金龙喷泉</t>
    <phoneticPr fontId="237" type="noConversion"/>
  </si>
  <si>
    <t>个</t>
    <phoneticPr fontId="237" type="noConversion"/>
  </si>
  <si>
    <t>围栏</t>
    <phoneticPr fontId="237" type="noConversion"/>
  </si>
  <si>
    <t>米</t>
    <phoneticPr fontId="237" type="noConversion"/>
  </si>
  <si>
    <t>道路（混凝土）</t>
    <phoneticPr fontId="237" type="noConversion"/>
  </si>
  <si>
    <t>平方米</t>
    <phoneticPr fontId="237" type="noConversion"/>
  </si>
  <si>
    <t>树木</t>
    <phoneticPr fontId="237" type="noConversion"/>
  </si>
  <si>
    <t>棵</t>
    <phoneticPr fontId="237" type="noConversion"/>
  </si>
  <si>
    <t>数量</t>
    <phoneticPr fontId="237" type="noConversion"/>
  </si>
  <si>
    <t>基准地价修正系数法、成本法</t>
    <phoneticPr fontId="237" type="noConversion"/>
  </si>
  <si>
    <t>搬迁补偿费用</t>
    <phoneticPr fontId="237" type="noConversion"/>
  </si>
  <si>
    <t>土地收购补偿价格</t>
    <phoneticPr fontId="237" type="noConversion"/>
  </si>
  <si>
    <t>补偿价格参照《房地产估价规范》[GB/T 50291-2015]、《北京市房屋重置成新价评估技术标准》[北估秘（2016）001号]进行评估。</t>
    <phoneticPr fontId="237" type="noConversion"/>
  </si>
  <si>
    <t>补偿价格参照《北京市房屋重置成新价评估技术标准》[北估秘（2016）001号]进行评估。</t>
    <phoneticPr fontId="237" type="noConversion"/>
  </si>
  <si>
    <t>无法恢复使用的设施设备应为委托估价方或不动产权利人提供的全部设备资料清单，于估价期日的重置成新价格。</t>
    <phoneticPr fontId="237" type="noConversion"/>
  </si>
  <si>
    <t>【1】至【6】项之和</t>
    <phoneticPr fontId="237" type="noConversion"/>
  </si>
  <si>
    <t>补偿费用参照《关于国有土地上房屋征收与补偿中有关事项的通
知》[京建法（2012）19号]确定。非住宅按50元/建筑平方米搬迁、临时安置补偿费确定，需要搬迁重新安装的空调、电话移机费。</t>
    <phoneticPr fontId="237"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</si>
  <si>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7" type="noConversion"/>
  </si>
  <si>
    <t>——</t>
    <phoneticPr fontId="237" type="noConversion"/>
  </si>
  <si>
    <t>合计</t>
    <phoneticPr fontId="237" type="noConversion"/>
  </si>
  <si>
    <t>序号</t>
    <phoneticPr fontId="237" type="noConversion"/>
  </si>
  <si>
    <t>项目</t>
    <phoneticPr fontId="237" type="noConversion"/>
  </si>
  <si>
    <t>总价（万元）</t>
    <phoneticPr fontId="237" type="noConversion"/>
  </si>
  <si>
    <t>备注</t>
    <phoneticPr fontId="237" type="noConversion"/>
  </si>
  <si>
    <t>基数</t>
    <phoneticPr fontId="237" type="noConversion"/>
  </si>
  <si>
    <t>建（构）筑物价格</t>
    <phoneticPr fontId="237" type="noConversion"/>
  </si>
  <si>
    <t>84574㎡</t>
    <phoneticPr fontId="237" type="noConversion"/>
  </si>
  <si>
    <t>附属物价格</t>
    <phoneticPr fontId="237" type="noConversion"/>
  </si>
  <si>
    <t>无法恢复使用的设施设备补偿价</t>
    <phoneticPr fontId="237" type="noConversion"/>
  </si>
  <si>
    <t>因土地收购造成的停产停业损失补偿费用</t>
    <phoneticPr fontId="237" type="noConversion"/>
  </si>
  <si>
    <t>60473.5㎡</t>
    <phoneticPr fontId="237" type="noConversion"/>
  </si>
  <si>
    <t xml:space="preserve">永丰产业基地（新）园区土地一级开发项目G地块
</t>
    <phoneticPr fontId="281" type="noConversion"/>
  </si>
  <si>
    <t>安宁庄钢材市场及周边地区改造项目</t>
    <phoneticPr fontId="281" type="noConversion"/>
  </si>
  <si>
    <t>项目名称</t>
    <phoneticPr fontId="281" type="noConversion"/>
  </si>
  <si>
    <t>序号</t>
    <phoneticPr fontId="281" type="noConversion"/>
  </si>
  <si>
    <t>A</t>
    <phoneticPr fontId="281" type="noConversion"/>
  </si>
  <si>
    <t>B</t>
    <phoneticPr fontId="281" type="noConversion"/>
  </si>
  <si>
    <t>C</t>
    <phoneticPr fontId="281" type="noConversion"/>
  </si>
  <si>
    <t>土地取得费地面单价（元）</t>
    <phoneticPr fontId="291" type="noConversion"/>
  </si>
  <si>
    <t>序号</t>
    <phoneticPr fontId="237" type="noConversion"/>
  </si>
  <si>
    <t>项目名称</t>
    <phoneticPr fontId="237" type="noConversion"/>
  </si>
  <si>
    <t>土地总面积（公顷）</t>
    <phoneticPr fontId="237" type="noConversion"/>
  </si>
  <si>
    <t>土地取得费地面单价（元）</t>
    <phoneticPr fontId="237" type="noConversion"/>
  </si>
  <si>
    <t>安宁庄钢材市场及周边地区改造项目</t>
    <phoneticPr fontId="237"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</si>
  <si>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7"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</si>
  <si>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7"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</si>
  <si>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</si>
  <si>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</si>
  <si>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</si>
  <si>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</si>
  <si>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</si>
  <si>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</si>
  <si>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7" type="noConversion"/>
  </si>
  <si>
    <t>陈颖</t>
  </si>
  <si>
    <t>停产停业损失补偿费=（用于生产经营的非住宅房屋的月租金+月净利润×修正系数+员工月生活补助）×停产停业补偿期限</t>
    <phoneticPr fontId="237" type="noConversion"/>
  </si>
  <si>
    <t>1-1</t>
    <phoneticPr fontId="237" type="noConversion"/>
  </si>
  <si>
    <t>1-2</t>
    <phoneticPr fontId="237" type="noConversion"/>
  </si>
  <si>
    <t>土地使用权价格（出让）</t>
    <phoneticPr fontId="237" type="noConversion"/>
  </si>
  <si>
    <t>土地使用权价格（划拨）</t>
    <phoneticPr fontId="237" type="noConversion"/>
  </si>
  <si>
    <r>
      <t>182153.37</t>
    </r>
    <r>
      <rPr>
        <sz val="11"/>
        <color theme="1"/>
        <rFont val="宋体"/>
        <family val="3"/>
        <charset val="134"/>
      </rPr>
      <t>㎡</t>
    </r>
    <phoneticPr fontId="237" type="noConversion"/>
  </si>
  <si>
    <r>
      <t>10879.7</t>
    </r>
    <r>
      <rPr>
        <sz val="11"/>
        <color theme="1"/>
        <rFont val="宋体"/>
        <family val="3"/>
        <charset val="134"/>
      </rPr>
      <t>㎡</t>
    </r>
    <phoneticPr fontId="237"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</si>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</sst>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s>
  <cellStyleXfs count="22">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5" fillId="0" borderId="0"/>
    <xf numFmtId="0" fontId="4" fillId="0" borderId="0">
      <alignment vertical="center"/>
    </xf>
    <xf numFmtId="0" fontId="284" fillId="0" borderId="0" applyNumberFormat="0" applyFill="0" applyBorder="0" applyAlignment="0" applyProtection="0">
      <alignment vertical="center"/>
    </xf>
    <xf numFmtId="0" fontId="3" fillId="0" borderId="0">
      <alignment vertical="center"/>
    </xf>
    <xf numFmtId="0" fontId="285" fillId="0" borderId="0" applyNumberFormat="0" applyFill="0" applyBorder="0" applyAlignment="0" applyProtection="0">
      <alignment vertical="top"/>
      <protection locked="0"/>
    </xf>
    <xf numFmtId="0" fontId="2" fillId="0" borderId="0">
      <alignment vertical="center"/>
    </xf>
    <xf numFmtId="0" fontId="289" fillId="0" borderId="0"/>
    <xf numFmtId="0" fontId="289" fillId="0" borderId="0"/>
  </cellStyleXfs>
  <cellXfs count="3888">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80" fontId="80" fillId="0" borderId="2" xfId="0" applyNumberFormat="1" applyFont="1" applyBorder="1" applyAlignment="1" applyProtection="1">
      <alignment horizontal="center" vertical="center" wrapText="1"/>
      <protection locked="0"/>
    </xf>
    <xf numFmtId="180"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7"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7" fontId="80" fillId="5" borderId="6" xfId="0" applyNumberFormat="1" applyFont="1" applyFill="1" applyBorder="1" applyAlignment="1" applyProtection="1">
      <alignment horizontal="center" vertical="center" wrapText="1"/>
    </xf>
    <xf numFmtId="177" fontId="80" fillId="5" borderId="7" xfId="0" applyNumberFormat="1" applyFont="1" applyFill="1" applyBorder="1" applyAlignment="1" applyProtection="1">
      <alignment horizontal="center" vertical="center" wrapText="1"/>
    </xf>
    <xf numFmtId="177" fontId="80" fillId="5" borderId="8" xfId="0" applyNumberFormat="1" applyFont="1" applyFill="1" applyBorder="1" applyAlignment="1" applyProtection="1">
      <alignment horizontal="center" vertical="center" wrapText="1"/>
    </xf>
    <xf numFmtId="177" fontId="80" fillId="5" borderId="9" xfId="0" applyNumberFormat="1" applyFont="1" applyFill="1" applyBorder="1" applyAlignment="1" applyProtection="1">
      <alignment horizontal="center" vertical="center" wrapText="1"/>
    </xf>
    <xf numFmtId="177" fontId="80" fillId="5" borderId="10" xfId="0" applyNumberFormat="1" applyFont="1" applyFill="1" applyBorder="1" applyAlignment="1" applyProtection="1">
      <alignment horizontal="center" vertical="center" wrapText="1"/>
    </xf>
    <xf numFmtId="177" fontId="80" fillId="5" borderId="5" xfId="0" applyNumberFormat="1" applyFont="1" applyFill="1" applyBorder="1" applyAlignment="1" applyProtection="1">
      <alignment horizontal="center" vertical="center" wrapText="1"/>
    </xf>
    <xf numFmtId="177" fontId="80" fillId="5" borderId="11" xfId="0" applyNumberFormat="1" applyFont="1" applyFill="1" applyBorder="1" applyAlignment="1" applyProtection="1">
      <alignment horizontal="center" vertical="center" wrapText="1"/>
    </xf>
    <xf numFmtId="177" fontId="80" fillId="5" borderId="12" xfId="0" applyNumberFormat="1" applyFont="1" applyFill="1" applyBorder="1" applyAlignment="1" applyProtection="1">
      <alignment horizontal="center" vertical="center" wrapText="1"/>
    </xf>
    <xf numFmtId="177"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80"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80" fontId="80" fillId="5" borderId="8" xfId="0" applyNumberFormat="1" applyFont="1" applyFill="1" applyBorder="1" applyAlignment="1" applyProtection="1">
      <alignment horizontal="center" vertical="center"/>
    </xf>
    <xf numFmtId="180"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80"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80"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80"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80"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80" fontId="80" fillId="5" borderId="20" xfId="0" applyNumberFormat="1" applyFont="1" applyFill="1" applyBorder="1" applyAlignment="1" applyProtection="1">
      <alignment horizontal="center" vertical="center" wrapText="1"/>
    </xf>
    <xf numFmtId="180" fontId="80" fillId="5" borderId="21" xfId="0" applyNumberFormat="1" applyFont="1" applyFill="1" applyBorder="1" applyAlignment="1" applyProtection="1">
      <alignment horizontal="center" vertical="center" wrapText="1"/>
    </xf>
    <xf numFmtId="180"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80"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7" fontId="80" fillId="0" borderId="21" xfId="0" applyNumberFormat="1" applyFont="1" applyFill="1" applyBorder="1" applyAlignment="1" applyProtection="1">
      <alignment horizontal="center" vertical="center" wrapText="1"/>
      <protection locked="0"/>
    </xf>
    <xf numFmtId="177" fontId="80" fillId="5" borderId="21" xfId="0" applyNumberFormat="1" applyFont="1" applyFill="1" applyBorder="1" applyAlignment="1" applyProtection="1">
      <alignment horizontal="center" vertical="center" wrapText="1"/>
    </xf>
    <xf numFmtId="177"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7" fontId="75" fillId="5" borderId="2" xfId="0" applyNumberFormat="1" applyFont="1" applyFill="1" applyBorder="1" applyAlignment="1" applyProtection="1">
      <alignment horizontal="center" vertical="center" wrapText="1"/>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77" fontId="75"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7"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7"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7"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7"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7"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7" fontId="87" fillId="5" borderId="29" xfId="2" applyNumberFormat="1" applyFont="1" applyFill="1" applyBorder="1" applyAlignment="1" applyProtection="1">
      <alignment horizontal="center" vertical="center"/>
    </xf>
    <xf numFmtId="177"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80"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7"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8"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8" fontId="75" fillId="0" borderId="9" xfId="2" applyNumberFormat="1" applyFont="1" applyFill="1" applyBorder="1" applyAlignment="1" applyProtection="1">
      <alignment vertical="center"/>
      <protection locked="0"/>
    </xf>
    <xf numFmtId="177"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1"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80"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8"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80"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8" fontId="75" fillId="2" borderId="5" xfId="2" applyNumberFormat="1" applyFont="1" applyFill="1" applyBorder="1" applyAlignment="1" applyProtection="1">
      <alignment vertical="center"/>
      <protection locked="0"/>
    </xf>
    <xf numFmtId="180" fontId="88" fillId="5" borderId="2" xfId="2" applyNumberFormat="1" applyFont="1" applyFill="1" applyBorder="1" applyAlignment="1" applyProtection="1">
      <alignment horizontal="center" vertical="center"/>
    </xf>
    <xf numFmtId="181" fontId="88" fillId="5" borderId="2" xfId="2" applyNumberFormat="1" applyFont="1" applyFill="1" applyBorder="1" applyAlignment="1" applyProtection="1">
      <alignment horizontal="center" vertical="center"/>
    </xf>
    <xf numFmtId="182"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80"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2"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2"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7"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80"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7" fontId="88" fillId="5" borderId="1" xfId="2" applyNumberFormat="1" applyFont="1" applyFill="1" applyBorder="1" applyAlignment="1" applyProtection="1">
      <alignment vertical="center" wrapText="1"/>
    </xf>
    <xf numFmtId="177" fontId="88" fillId="0" borderId="7" xfId="2" applyNumberFormat="1" applyFont="1" applyFill="1" applyBorder="1" applyAlignment="1" applyProtection="1">
      <alignment horizontal="center" vertical="center"/>
      <protection locked="0"/>
    </xf>
    <xf numFmtId="177" fontId="88" fillId="5" borderId="11" xfId="2" applyNumberFormat="1" applyFont="1" applyFill="1" applyBorder="1" applyAlignment="1" applyProtection="1">
      <alignment vertical="center" wrapText="1"/>
    </xf>
    <xf numFmtId="177" fontId="75" fillId="0" borderId="12" xfId="2" applyNumberFormat="1" applyFont="1" applyFill="1" applyBorder="1" applyAlignment="1" applyProtection="1">
      <alignment horizontal="center" vertical="center"/>
      <protection locked="0"/>
    </xf>
    <xf numFmtId="177" fontId="75" fillId="5" borderId="11" xfId="2" applyNumberFormat="1" applyFont="1" applyFill="1" applyBorder="1" applyAlignment="1" applyProtection="1">
      <alignment vertical="center" wrapText="1"/>
    </xf>
    <xf numFmtId="177" fontId="88" fillId="5" borderId="12" xfId="2" applyNumberFormat="1" applyFont="1" applyFill="1" applyBorder="1" applyAlignment="1" applyProtection="1">
      <alignment horizontal="center" vertical="center"/>
    </xf>
    <xf numFmtId="177" fontId="88" fillId="5" borderId="43" xfId="2" applyNumberFormat="1" applyFont="1" applyFill="1" applyBorder="1" applyAlignment="1" applyProtection="1">
      <alignment vertical="center" wrapText="1"/>
    </xf>
    <xf numFmtId="177"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2" fontId="80" fillId="0" borderId="12" xfId="0" applyNumberFormat="1" applyFont="1" applyFill="1" applyBorder="1" applyAlignment="1" applyProtection="1">
      <alignment horizontal="center" vertical="center"/>
      <protection locked="0"/>
    </xf>
    <xf numFmtId="182"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182" fontId="80" fillId="0" borderId="51" xfId="0" applyNumberFormat="1" applyFont="1" applyFill="1" applyBorder="1" applyAlignment="1" applyProtection="1">
      <alignment horizontal="center" vertical="center"/>
      <protection locked="0"/>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3"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9"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80"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2"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8"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8"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8"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8"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8"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8"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90"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2"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90"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8"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5" fontId="80" fillId="6" borderId="2" xfId="0" applyNumberFormat="1" applyFont="1" applyFill="1" applyBorder="1" applyAlignment="1" applyProtection="1">
      <alignment horizontal="center" vertical="center" wrapText="1"/>
      <protection locked="0"/>
    </xf>
    <xf numFmtId="185"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5" fontId="80" fillId="0" borderId="2" xfId="0" applyNumberFormat="1" applyFont="1" applyFill="1" applyBorder="1" applyAlignment="1" applyProtection="1">
      <alignment horizontal="center"/>
      <protection locked="0"/>
    </xf>
    <xf numFmtId="185" fontId="80" fillId="0" borderId="12" xfId="0" applyNumberFormat="1" applyFont="1" applyFill="1" applyBorder="1" applyAlignment="1" applyProtection="1">
      <alignment horizontal="center"/>
      <protection locked="0"/>
    </xf>
    <xf numFmtId="177" fontId="156" fillId="5" borderId="2" xfId="0" applyNumberFormat="1" applyFont="1" applyFill="1" applyBorder="1" applyAlignment="1" applyProtection="1">
      <alignment horizontal="center" vertical="center"/>
    </xf>
    <xf numFmtId="177"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5"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8" fontId="80" fillId="5" borderId="2" xfId="0"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xf>
    <xf numFmtId="182"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8" fontId="79" fillId="5" borderId="2" xfId="2" applyNumberFormat="1" applyFont="1" applyFill="1" applyBorder="1" applyAlignment="1" applyProtection="1">
      <alignment horizontal="center"/>
    </xf>
    <xf numFmtId="0" fontId="79" fillId="5" borderId="2" xfId="2" applyFont="1" applyFill="1" applyBorder="1" applyAlignment="1" applyProtection="1"/>
    <xf numFmtId="178"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8" fontId="79" fillId="5" borderId="2" xfId="2" applyNumberFormat="1" applyFont="1" applyFill="1" applyBorder="1" applyAlignment="1" applyProtection="1">
      <alignment vertical="center"/>
    </xf>
    <xf numFmtId="178" fontId="79" fillId="5" borderId="8" xfId="2" applyNumberFormat="1" applyFont="1" applyFill="1" applyBorder="1" applyAlignment="1" applyProtection="1">
      <alignment vertical="center"/>
    </xf>
    <xf numFmtId="178"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178"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8"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6" fontId="79" fillId="5" borderId="2" xfId="0" applyNumberFormat="1" applyFont="1" applyFill="1" applyBorder="1" applyAlignment="1" applyProtection="1">
      <alignment horizontal="right" vertical="center"/>
    </xf>
    <xf numFmtId="178"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8"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5"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2" fontId="160" fillId="5" borderId="2" xfId="0" applyNumberFormat="1" applyFont="1" applyFill="1" applyBorder="1" applyAlignment="1" applyProtection="1">
      <alignment horizontal="center"/>
    </xf>
    <xf numFmtId="186" fontId="160" fillId="5" borderId="2" xfId="0" applyNumberFormat="1" applyFont="1" applyFill="1" applyBorder="1" applyAlignment="1" applyProtection="1">
      <alignment horizontal="center" vertical="center"/>
    </xf>
    <xf numFmtId="178"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8"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8" fontId="105" fillId="5" borderId="14" xfId="0" applyNumberFormat="1" applyFont="1" applyFill="1" applyBorder="1" applyAlignment="1" applyProtection="1">
      <alignment horizontal="center" vertical="center"/>
    </xf>
    <xf numFmtId="178"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5"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8"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4"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4"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4"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5"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5"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5"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2" fontId="88" fillId="5" borderId="5" xfId="0" applyNumberFormat="1" applyFont="1" applyFill="1" applyBorder="1" applyAlignment="1" applyProtection="1">
      <alignment horizontal="center" vertical="center"/>
    </xf>
    <xf numFmtId="182"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7"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5"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8"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80"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80"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8"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8"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8"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8"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8" fontId="90" fillId="5" borderId="2" xfId="2" applyNumberFormat="1" applyFont="1" applyFill="1" applyBorder="1" applyAlignment="1" applyProtection="1">
      <alignment horizontal="center" vertical="center"/>
    </xf>
    <xf numFmtId="178"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8" fontId="117" fillId="5" borderId="2" xfId="2" applyNumberFormat="1" applyFont="1" applyFill="1" applyBorder="1" applyAlignment="1" applyProtection="1">
      <alignment horizontal="center" vertical="center"/>
    </xf>
    <xf numFmtId="178"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80"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8" fontId="99" fillId="5" borderId="44" xfId="2" applyNumberFormat="1" applyFont="1" applyFill="1" applyBorder="1" applyAlignment="1" applyProtection="1">
      <alignment horizontal="center" vertical="center"/>
    </xf>
    <xf numFmtId="180"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8"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2"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2"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2"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80"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2" fontId="80" fillId="5" borderId="51" xfId="0" applyNumberFormat="1" applyFont="1" applyFill="1" applyBorder="1" applyAlignment="1" applyProtection="1">
      <alignment horizontal="center" vertical="center"/>
    </xf>
    <xf numFmtId="182" fontId="89" fillId="5" borderId="10" xfId="0" applyNumberFormat="1" applyFont="1" applyFill="1" applyBorder="1" applyAlignment="1" applyProtection="1">
      <alignment horizontal="center" vertical="center"/>
    </xf>
    <xf numFmtId="182" fontId="80" fillId="5" borderId="12" xfId="0" applyNumberFormat="1" applyFont="1" applyFill="1" applyBorder="1" applyAlignment="1" applyProtection="1">
      <alignment horizontal="center" vertical="center"/>
    </xf>
    <xf numFmtId="182"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3"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80"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80"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2"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5"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2"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2"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2"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8" fontId="75" fillId="5" borderId="57" xfId="0" applyNumberFormat="1" applyFont="1" applyFill="1" applyBorder="1" applyAlignment="1" applyProtection="1">
      <alignment horizontal="center" vertical="center" wrapText="1"/>
    </xf>
    <xf numFmtId="188"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80"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80"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7" fontId="75" fillId="5" borderId="43" xfId="0" applyNumberFormat="1" applyFont="1" applyFill="1" applyBorder="1" applyAlignment="1" applyProtection="1">
      <alignment vertical="center"/>
    </xf>
    <xf numFmtId="177"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80"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8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80" fontId="44" fillId="5" borderId="2" xfId="5" applyNumberFormat="1" applyFont="1" applyFill="1" applyBorder="1" applyAlignment="1" applyProtection="1">
      <alignment horizontal="center" vertical="center" wrapText="1"/>
    </xf>
    <xf numFmtId="180" fontId="149" fillId="0" borderId="0" xfId="5" applyNumberFormat="1" applyProtection="1">
      <alignment vertical="center"/>
    </xf>
    <xf numFmtId="0" fontId="101" fillId="5" borderId="10" xfId="3" applyFont="1" applyFill="1" applyBorder="1" applyAlignment="1" applyProtection="1">
      <alignment horizontal="right" vertical="center"/>
    </xf>
    <xf numFmtId="180" fontId="88" fillId="5" borderId="2" xfId="3" applyNumberFormat="1" applyFont="1" applyFill="1" applyBorder="1" applyAlignment="1" applyProtection="1">
      <alignment horizontal="center" vertical="center" wrapText="1"/>
    </xf>
    <xf numFmtId="178"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6"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6"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9" fontId="149" fillId="5" borderId="6" xfId="3" applyNumberFormat="1" applyFill="1" applyBorder="1" applyAlignment="1" applyProtection="1">
      <alignment horizontal="center" vertical="center"/>
    </xf>
    <xf numFmtId="179" fontId="149" fillId="5" borderId="29" xfId="3" applyNumberFormat="1" applyFill="1" applyBorder="1" applyAlignment="1" applyProtection="1">
      <alignment horizontal="center" vertical="center"/>
    </xf>
    <xf numFmtId="179"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9" fontId="149" fillId="5" borderId="2" xfId="3" applyNumberFormat="1" applyFill="1" applyBorder="1" applyAlignment="1" applyProtection="1">
      <alignment horizontal="center" vertical="center"/>
    </xf>
    <xf numFmtId="179" fontId="149" fillId="5" borderId="5" xfId="3" applyNumberFormat="1" applyFill="1" applyBorder="1" applyAlignment="1" applyProtection="1">
      <alignment horizontal="center" vertical="center"/>
    </xf>
    <xf numFmtId="179"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9" fontId="149" fillId="5" borderId="45" xfId="3" applyNumberFormat="1" applyFill="1" applyBorder="1" applyAlignment="1" applyProtection="1">
      <alignment horizontal="center" vertical="center"/>
    </xf>
    <xf numFmtId="179" fontId="149" fillId="5" borderId="44" xfId="3" applyNumberFormat="1" applyFill="1" applyBorder="1" applyAlignment="1" applyProtection="1">
      <alignment horizontal="center" vertical="center"/>
    </xf>
    <xf numFmtId="179"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5"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xf>
    <xf numFmtId="178" fontId="174" fillId="5" borderId="2" xfId="3" applyNumberFormat="1" applyFont="1" applyFill="1" applyBorder="1" applyAlignment="1" applyProtection="1">
      <alignment horizontal="center" vertical="center"/>
    </xf>
    <xf numFmtId="186" fontId="174" fillId="5" borderId="2" xfId="3" applyNumberFormat="1" applyFont="1" applyFill="1" applyBorder="1" applyAlignment="1" applyProtection="1">
      <alignment horizontal="center" vertical="center" wrapText="1"/>
    </xf>
    <xf numFmtId="185" fontId="168" fillId="5" borderId="21" xfId="3" applyNumberFormat="1" applyFont="1" applyFill="1" applyBorder="1" applyAlignment="1" applyProtection="1">
      <alignment horizontal="center" vertical="center" wrapText="1"/>
    </xf>
    <xf numFmtId="180"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7"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80" fontId="80" fillId="5" borderId="0" xfId="0" applyNumberFormat="1" applyFont="1" applyFill="1" applyBorder="1" applyAlignment="1" applyProtection="1">
      <alignment horizontal="center" vertical="center" wrapText="1"/>
    </xf>
    <xf numFmtId="180" fontId="83" fillId="5" borderId="0" xfId="0" applyNumberFormat="1" applyFont="1" applyFill="1" applyBorder="1" applyAlignment="1" applyProtection="1">
      <alignment horizontal="center" vertical="center" wrapText="1"/>
    </xf>
    <xf numFmtId="177"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80"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80"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80"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80"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8"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1"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8" fontId="88" fillId="3" borderId="9" xfId="0" applyNumberFormat="1" applyFont="1" applyFill="1" applyBorder="1" applyAlignment="1" applyProtection="1">
      <alignment horizontal="center" vertical="center"/>
    </xf>
    <xf numFmtId="188" fontId="88" fillId="3" borderId="9" xfId="0" applyNumberFormat="1" applyFont="1" applyFill="1" applyBorder="1" applyAlignment="1" applyProtection="1">
      <alignment horizontal="center" vertical="center" wrapText="1"/>
    </xf>
    <xf numFmtId="188" fontId="88" fillId="3" borderId="2" xfId="0" applyNumberFormat="1" applyFont="1" applyFill="1" applyBorder="1" applyAlignment="1" applyProtection="1">
      <alignment horizontal="center" vertical="center" wrapText="1"/>
    </xf>
    <xf numFmtId="188" fontId="88" fillId="0" borderId="0" xfId="0" applyNumberFormat="1" applyFont="1" applyFill="1" applyAlignment="1" applyProtection="1">
      <alignment horizontal="center" vertical="center"/>
    </xf>
    <xf numFmtId="182"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7"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80" fontId="79" fillId="5" borderId="47" xfId="0" applyNumberFormat="1" applyFont="1" applyFill="1" applyBorder="1" applyAlignment="1" applyProtection="1">
      <alignment vertical="center"/>
    </xf>
    <xf numFmtId="180" fontId="79" fillId="5" borderId="44" xfId="0" applyNumberFormat="1" applyFont="1" applyFill="1" applyBorder="1" applyAlignment="1" applyProtection="1">
      <alignment vertical="center"/>
    </xf>
    <xf numFmtId="180"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0" fontId="90" fillId="0" borderId="25" xfId="2" applyNumberFormat="1" applyFont="1" applyFill="1" applyBorder="1" applyAlignment="1" applyProtection="1">
      <alignment horizontal="center" vertical="center"/>
      <protection locked="0"/>
    </xf>
    <xf numFmtId="182" fontId="80" fillId="0" borderId="7" xfId="0" applyNumberFormat="1" applyFont="1" applyFill="1" applyBorder="1" applyAlignment="1" applyProtection="1">
      <alignment horizontal="center" vertical="center"/>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6" fontId="90" fillId="5" borderId="3" xfId="3" applyNumberFormat="1" applyFont="1" applyFill="1" applyBorder="1" applyAlignment="1" applyProtection="1">
      <alignment horizontal="center" vertical="center" wrapText="1"/>
    </xf>
    <xf numFmtId="186"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2"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7"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7"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2"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8"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8" fontId="88" fillId="8" borderId="0" xfId="0" applyNumberFormat="1" applyFont="1" applyFill="1" applyAlignment="1" applyProtection="1">
      <alignment horizontal="center" vertical="center"/>
    </xf>
    <xf numFmtId="182" fontId="88" fillId="8" borderId="0" xfId="0" applyNumberFormat="1" applyFont="1" applyFill="1" applyAlignment="1" applyProtection="1">
      <alignment horizontal="center" vertical="center"/>
    </xf>
    <xf numFmtId="178"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8" fontId="88" fillId="5" borderId="16" xfId="0" applyNumberFormat="1" applyFont="1" applyFill="1" applyBorder="1" applyAlignment="1" applyProtection="1">
      <alignment horizontal="center" vertical="center"/>
    </xf>
    <xf numFmtId="188" fontId="88" fillId="5" borderId="16" xfId="0" applyNumberFormat="1" applyFont="1" applyFill="1" applyBorder="1" applyAlignment="1" applyProtection="1">
      <alignment horizontal="center" vertical="center" wrapText="1"/>
    </xf>
    <xf numFmtId="188"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8" fontId="88" fillId="5" borderId="9" xfId="0" applyNumberFormat="1" applyFont="1" applyFill="1" applyBorder="1" applyAlignment="1" applyProtection="1">
      <alignment horizontal="center" vertical="center"/>
    </xf>
    <xf numFmtId="188" fontId="88" fillId="5" borderId="9" xfId="0" applyNumberFormat="1" applyFont="1" applyFill="1" applyBorder="1" applyAlignment="1" applyProtection="1">
      <alignment horizontal="center" vertical="center" wrapText="1"/>
    </xf>
    <xf numFmtId="188"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5"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5" fontId="156" fillId="0" borderId="44" xfId="0" applyNumberFormat="1" applyFont="1" applyFill="1" applyBorder="1" applyAlignment="1" applyProtection="1">
      <alignment horizontal="center"/>
      <protection locked="0"/>
    </xf>
    <xf numFmtId="185" fontId="80" fillId="0" borderId="44" xfId="0" applyNumberFormat="1" applyFont="1" applyFill="1" applyBorder="1" applyAlignment="1" applyProtection="1">
      <alignment horizontal="center"/>
      <protection locked="0"/>
    </xf>
    <xf numFmtId="185" fontId="80" fillId="0" borderId="46" xfId="0" applyNumberFormat="1" applyFont="1" applyFill="1" applyBorder="1" applyAlignment="1" applyProtection="1">
      <alignment horizontal="center"/>
      <protection locked="0"/>
    </xf>
    <xf numFmtId="178" fontId="80" fillId="5" borderId="44" xfId="0" applyNumberFormat="1" applyFont="1" applyFill="1" applyBorder="1" applyAlignment="1" applyProtection="1">
      <alignment horizontal="center" vertical="center" wrapText="1"/>
    </xf>
    <xf numFmtId="186"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0" fontId="82" fillId="8" borderId="19" xfId="0" applyFont="1" applyFill="1" applyBorder="1" applyAlignment="1" applyProtection="1">
      <alignment vertical="center" wrapText="1"/>
      <protection locked="0"/>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0" fontId="82" fillId="8" borderId="8" xfId="0" applyFont="1" applyFill="1" applyBorder="1" applyAlignment="1" applyProtection="1">
      <alignment vertical="center" wrapText="1"/>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8" fontId="82" fillId="6" borderId="2" xfId="2" applyNumberFormat="1" applyFont="1" applyFill="1" applyBorder="1" applyAlignment="1" applyProtection="1">
      <alignment horizontal="center" vertical="center"/>
      <protection locked="0"/>
    </xf>
    <xf numFmtId="180"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4"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4" fontId="191" fillId="0" borderId="12" xfId="0" applyNumberFormat="1" applyFont="1" applyFill="1" applyBorder="1" applyAlignment="1" applyProtection="1">
      <alignment horizontal="left" vertical="center" shrinkToFit="1"/>
      <protection locked="0"/>
    </xf>
    <xf numFmtId="184"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2"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80"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4"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9"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2"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6"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9" fontId="110" fillId="5" borderId="12" xfId="0" applyNumberFormat="1" applyFont="1" applyFill="1" applyBorder="1" applyAlignment="1" applyProtection="1">
      <alignment horizontal="center" vertical="center"/>
    </xf>
    <xf numFmtId="179"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9"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8"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8"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7"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80"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80"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80"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80"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176"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80"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8"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5"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8" fontId="105" fillId="5" borderId="0" xfId="0" applyNumberFormat="1" applyFont="1" applyFill="1" applyBorder="1" applyAlignment="1" applyProtection="1">
      <alignment horizontal="center" vertical="center"/>
      <protection locked="0"/>
    </xf>
    <xf numFmtId="182"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8" fontId="88" fillId="5" borderId="0" xfId="0" applyNumberFormat="1" applyFont="1" applyFill="1" applyAlignment="1" applyProtection="1">
      <alignment horizontal="center" vertical="center"/>
      <protection locked="0"/>
    </xf>
    <xf numFmtId="182" fontId="88" fillId="5" borderId="0" xfId="0" applyNumberFormat="1" applyFont="1" applyFill="1" applyAlignment="1" applyProtection="1">
      <alignment horizontal="center" vertical="center"/>
      <protection locked="0"/>
    </xf>
    <xf numFmtId="177" fontId="88" fillId="5" borderId="0" xfId="0" applyNumberFormat="1" applyFont="1" applyFill="1" applyAlignment="1" applyProtection="1">
      <alignment horizontal="center" vertical="center"/>
      <protection locked="0"/>
    </xf>
    <xf numFmtId="188" fontId="109" fillId="5" borderId="0" xfId="0" applyNumberFormat="1" applyFont="1" applyFill="1" applyAlignment="1" applyProtection="1">
      <alignment horizontal="center" vertical="center"/>
      <protection locked="0"/>
    </xf>
    <xf numFmtId="182"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8" fontId="88" fillId="8" borderId="0" xfId="0" applyNumberFormat="1" applyFont="1" applyFill="1" applyAlignment="1" applyProtection="1">
      <alignment horizontal="center" vertical="center"/>
      <protection locked="0"/>
    </xf>
    <xf numFmtId="182"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8" fontId="88" fillId="0" borderId="0" xfId="0" applyNumberFormat="1" applyFont="1" applyFill="1" applyAlignment="1" applyProtection="1">
      <alignment horizontal="center" vertical="center"/>
      <protection locked="0"/>
    </xf>
    <xf numFmtId="182"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8" fontId="88" fillId="5" borderId="0" xfId="0" applyNumberFormat="1" applyFont="1" applyFill="1" applyBorder="1" applyAlignment="1" applyProtection="1">
      <alignment horizontal="center"/>
      <protection locked="0"/>
    </xf>
    <xf numFmtId="182"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7" fontId="75" fillId="5" borderId="2" xfId="0" applyNumberFormat="1" applyFont="1" applyFill="1" applyBorder="1" applyProtection="1">
      <alignment vertical="center"/>
    </xf>
    <xf numFmtId="178" fontId="134" fillId="5" borderId="11" xfId="2" applyNumberFormat="1" applyFont="1" applyFill="1" applyBorder="1" applyAlignment="1" applyProtection="1">
      <alignment horizontal="left" vertical="center"/>
    </xf>
    <xf numFmtId="178"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8" fontId="75" fillId="5" borderId="2" xfId="2" applyNumberFormat="1" applyFont="1" applyFill="1" applyBorder="1" applyAlignment="1" applyProtection="1">
      <alignment vertical="center"/>
    </xf>
    <xf numFmtId="178" fontId="75" fillId="5" borderId="5" xfId="2" applyNumberFormat="1" applyFont="1" applyFill="1" applyBorder="1" applyAlignment="1" applyProtection="1">
      <alignment vertical="center"/>
    </xf>
    <xf numFmtId="178" fontId="75" fillId="5" borderId="11" xfId="2"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182" fontId="84" fillId="5" borderId="2" xfId="0" applyNumberFormat="1" applyFont="1" applyFill="1" applyBorder="1" applyAlignment="1" applyProtection="1">
      <alignment horizontal="center" vertical="center"/>
    </xf>
    <xf numFmtId="180" fontId="75" fillId="5" borderId="43" xfId="2" applyNumberFormat="1" applyFont="1" applyFill="1" applyBorder="1" applyAlignment="1" applyProtection="1">
      <alignment horizontal="center" vertical="center"/>
    </xf>
    <xf numFmtId="178"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2" fontId="75" fillId="5" borderId="2" xfId="0" applyNumberFormat="1" applyFont="1" applyFill="1" applyBorder="1" applyAlignment="1" applyProtection="1">
      <alignment vertical="center"/>
    </xf>
    <xf numFmtId="182" fontId="75" fillId="5" borderId="5" xfId="0" applyNumberFormat="1" applyFont="1" applyFill="1" applyBorder="1" applyAlignment="1" applyProtection="1">
      <alignment vertical="center"/>
    </xf>
    <xf numFmtId="182" fontId="75" fillId="5" borderId="12" xfId="0" applyNumberFormat="1" applyFont="1" applyFill="1" applyBorder="1" applyAlignment="1" applyProtection="1">
      <alignment vertical="center"/>
    </xf>
    <xf numFmtId="182" fontId="75" fillId="5" borderId="2" xfId="0" applyNumberFormat="1" applyFont="1" applyFill="1" applyBorder="1" applyAlignment="1" applyProtection="1">
      <alignment horizontal="center" vertical="center"/>
    </xf>
    <xf numFmtId="182"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8"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4"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4" fontId="218" fillId="0" borderId="2" xfId="7" applyNumberFormat="1" applyFont="1" applyFill="1" applyBorder="1" applyAlignment="1">
      <alignment horizontal="right" vertical="center"/>
    </xf>
    <xf numFmtId="184"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4"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7"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2"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3"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2"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3"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3"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80"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8"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2"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8"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8"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8"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8"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2"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2"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2"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2" fontId="89" fillId="5" borderId="90" xfId="0" applyNumberFormat="1" applyFont="1" applyFill="1" applyBorder="1" applyAlignment="1" applyProtection="1">
      <alignment horizontal="center" vertical="center"/>
    </xf>
    <xf numFmtId="182"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2"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5" fontId="161" fillId="12" borderId="120" xfId="10" applyNumberFormat="1" applyFont="1" applyFill="1" applyBorder="1" applyAlignment="1">
      <alignment horizontal="center" vertical="center" wrapText="1"/>
    </xf>
    <xf numFmtId="185"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8" fontId="156" fillId="0" borderId="0" xfId="10" applyNumberFormat="1" applyFont="1">
      <alignment vertical="center"/>
    </xf>
    <xf numFmtId="182" fontId="156" fillId="0" borderId="122" xfId="10" applyNumberFormat="1" applyFont="1" applyBorder="1">
      <alignment vertical="center"/>
    </xf>
    <xf numFmtId="182" fontId="156" fillId="0" borderId="0" xfId="10" applyNumberFormat="1" applyFont="1">
      <alignment vertical="center"/>
    </xf>
    <xf numFmtId="185"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5" fontId="161" fillId="12" borderId="124" xfId="10" applyNumberFormat="1" applyFont="1" applyFill="1" applyBorder="1" applyAlignment="1">
      <alignment horizontal="center" vertical="center" wrapText="1"/>
    </xf>
    <xf numFmtId="185"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5"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8"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5" fontId="161" fillId="12" borderId="130" xfId="10" applyNumberFormat="1" applyFont="1" applyFill="1" applyBorder="1" applyAlignment="1">
      <alignment horizontal="center" vertical="center" wrapText="1"/>
    </xf>
    <xf numFmtId="185" fontId="161" fillId="12" borderId="134" xfId="10" applyNumberFormat="1" applyFont="1" applyFill="1" applyBorder="1" applyAlignment="1">
      <alignment horizontal="center" vertical="center" wrapText="1"/>
    </xf>
    <xf numFmtId="185" fontId="156" fillId="14" borderId="0" xfId="10" applyNumberFormat="1" applyFont="1" applyFill="1" applyAlignment="1">
      <alignment horizontal="center" vertical="center"/>
    </xf>
    <xf numFmtId="185"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8"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9"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9"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78"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8"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1" fontId="156" fillId="6" borderId="0" xfId="10" applyNumberFormat="1" applyFont="1" applyFill="1" applyAlignment="1">
      <alignment horizontal="center" vertical="center"/>
    </xf>
    <xf numFmtId="0" fontId="156" fillId="6" borderId="122" xfId="10" applyFont="1" applyFill="1" applyBorder="1">
      <alignment vertical="center"/>
    </xf>
    <xf numFmtId="179"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1" fontId="162" fillId="0" borderId="0" xfId="10" applyNumberFormat="1" applyFont="1" applyAlignment="1">
      <alignment horizontal="center" vertical="center"/>
    </xf>
    <xf numFmtId="181"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6"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2"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179"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5"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7"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9"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9"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8"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5"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5" fontId="80" fillId="0" borderId="2" xfId="0" applyNumberFormat="1" applyFont="1" applyFill="1" applyBorder="1" applyAlignment="1" applyProtection="1">
      <alignment horizontal="center" vertical="center"/>
      <protection locked="0"/>
    </xf>
    <xf numFmtId="185"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5" fontId="80" fillId="0" borderId="44" xfId="0" applyNumberFormat="1" applyFont="1" applyFill="1" applyBorder="1" applyAlignment="1" applyProtection="1">
      <alignment horizontal="center" vertical="center"/>
      <protection locked="0"/>
    </xf>
    <xf numFmtId="185"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2"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8"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8"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6" fontId="80" fillId="5" borderId="9" xfId="0"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8" fontId="80" fillId="5" borderId="56" xfId="2" applyNumberFormat="1" applyFont="1" applyFill="1" applyBorder="1" applyAlignment="1" applyProtection="1">
      <alignment vertical="center"/>
    </xf>
    <xf numFmtId="185"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1" fontId="143" fillId="0" borderId="0" xfId="0" applyNumberFormat="1" applyFont="1" applyAlignment="1" applyProtection="1">
      <alignment horizontal="right" vertical="center" shrinkToFit="1"/>
      <protection locked="0"/>
    </xf>
    <xf numFmtId="0" fontId="255" fillId="0" borderId="0" xfId="0" applyFont="1" applyAlignment="1" applyProtection="1">
      <alignment horizontal="left" vertical="center" wrapText="1"/>
      <protection locked="0"/>
    </xf>
    <xf numFmtId="0" fontId="255"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4"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1"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6"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6" fillId="5" borderId="24" xfId="0" applyFont="1" applyFill="1" applyBorder="1" applyAlignment="1" applyProtection="1">
      <alignment vertical="center" wrapText="1"/>
    </xf>
    <xf numFmtId="184"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80"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5" fontId="156" fillId="5" borderId="2" xfId="3" applyNumberFormat="1" applyFont="1" applyFill="1" applyBorder="1" applyAlignment="1" applyProtection="1">
      <alignment horizontal="center" vertical="center"/>
    </xf>
    <xf numFmtId="178"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8"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7" fillId="5" borderId="0" xfId="4" applyNumberFormat="1" applyFont="1" applyFill="1" applyAlignment="1">
      <alignment horizontal="center"/>
    </xf>
    <xf numFmtId="0" fontId="258" fillId="5" borderId="0" xfId="4" applyFont="1" applyFill="1" applyAlignment="1">
      <alignment horizontal="left"/>
    </xf>
    <xf numFmtId="14" fontId="257" fillId="5" borderId="0" xfId="4" applyNumberFormat="1" applyFont="1" applyFill="1" applyAlignment="1">
      <alignment horizontal="center"/>
    </xf>
    <xf numFmtId="0" fontId="257" fillId="5" borderId="0" xfId="4" applyFont="1" applyFill="1"/>
    <xf numFmtId="0" fontId="257" fillId="0" borderId="0" xfId="4" applyFont="1"/>
    <xf numFmtId="0" fontId="257" fillId="0" borderId="0" xfId="0" applyFont="1" applyAlignment="1"/>
    <xf numFmtId="0" fontId="259" fillId="5" borderId="0" xfId="4" applyFont="1" applyFill="1"/>
    <xf numFmtId="0" fontId="260" fillId="5" borderId="0" xfId="4" applyFont="1" applyFill="1"/>
    <xf numFmtId="0" fontId="259"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4"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2"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80" fontId="263"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1" fontId="218" fillId="0" borderId="2" xfId="7" applyNumberFormat="1" applyFont="1" applyFill="1" applyBorder="1" applyAlignment="1">
      <alignment horizontal="right" vertical="center"/>
    </xf>
    <xf numFmtId="184" fontId="218" fillId="0" borderId="2" xfId="7" applyNumberFormat="1" applyFont="1" applyFill="1" applyBorder="1" applyAlignment="1">
      <alignment horizontal="center" vertical="center"/>
    </xf>
    <xf numFmtId="191"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21" fillId="6" borderId="21" xfId="0" applyFont="1" applyFill="1" applyBorder="1" applyAlignment="1" applyProtection="1">
      <alignment horizontal="center" vertical="center" wrapText="1"/>
      <protection locked="0"/>
    </xf>
    <xf numFmtId="177"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7" fontId="15" fillId="0" borderId="2" xfId="0" applyNumberFormat="1" applyFont="1" applyBorder="1" applyAlignment="1" applyProtection="1">
      <alignment horizontal="center" vertical="center" wrapText="1"/>
      <protection locked="0"/>
    </xf>
    <xf numFmtId="177"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8" fontId="15" fillId="0" borderId="2" xfId="2" applyNumberFormat="1" applyFont="1" applyFill="1" applyBorder="1" applyAlignment="1" applyProtection="1">
      <alignment vertical="center"/>
      <protection locked="0" hidden="1"/>
    </xf>
    <xf numFmtId="182" fontId="156" fillId="0" borderId="2" xfId="0" applyNumberFormat="1" applyFont="1" applyFill="1" applyBorder="1" applyAlignment="1" applyProtection="1">
      <alignment horizontal="center" vertical="center"/>
      <protection locked="0"/>
    </xf>
    <xf numFmtId="178"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5"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182" fontId="75" fillId="0" borderId="12" xfId="0" applyNumberFormat="1" applyFont="1" applyBorder="1" applyAlignment="1" applyProtection="1">
      <alignment horizontal="center" vertical="center"/>
      <protection locked="0"/>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4" fillId="0" borderId="0" xfId="0" applyFont="1">
      <alignment vertical="center"/>
    </xf>
    <xf numFmtId="0" fontId="266" fillId="5" borderId="2" xfId="14" applyFont="1" applyFill="1" applyBorder="1" applyAlignment="1">
      <alignment horizontal="center" vertical="center" wrapText="1"/>
    </xf>
    <xf numFmtId="0" fontId="266" fillId="0" borderId="0" xfId="14" applyFont="1" applyBorder="1" applyAlignment="1">
      <alignment horizontal="left" vertical="center" wrapText="1"/>
    </xf>
    <xf numFmtId="14" fontId="266" fillId="5" borderId="2" xfId="14" applyNumberFormat="1" applyFont="1" applyFill="1" applyBorder="1" applyAlignment="1">
      <alignment horizontal="center" vertical="center" wrapText="1"/>
    </xf>
    <xf numFmtId="0" fontId="266" fillId="13" borderId="2" xfId="14" applyFont="1" applyFill="1" applyBorder="1" applyAlignment="1" applyProtection="1">
      <alignment horizontal="center" vertical="center" wrapText="1"/>
      <protection locked="0"/>
    </xf>
    <xf numFmtId="0" fontId="266" fillId="5" borderId="10" xfId="14" applyFont="1" applyFill="1" applyBorder="1" applyAlignment="1">
      <alignment horizontal="center" vertical="center" wrapText="1"/>
    </xf>
    <xf numFmtId="0" fontId="266" fillId="0" borderId="2" xfId="14" applyFont="1" applyBorder="1" applyAlignment="1" applyProtection="1">
      <alignment horizontal="left" vertical="center" wrapText="1"/>
      <protection locked="0"/>
    </xf>
    <xf numFmtId="0" fontId="265" fillId="5" borderId="2" xfId="14" applyFill="1" applyBorder="1" applyAlignment="1">
      <alignment vertical="center"/>
    </xf>
    <xf numFmtId="0" fontId="149" fillId="5" borderId="2" xfId="14" applyFont="1" applyFill="1" applyBorder="1" applyAlignment="1">
      <alignment vertical="center"/>
    </xf>
    <xf numFmtId="0" fontId="265"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7" fillId="5" borderId="2" xfId="0" applyFont="1" applyFill="1" applyBorder="1" applyAlignment="1">
      <alignment horizontal="left" vertical="center" wrapText="1"/>
    </xf>
    <xf numFmtId="0" fontId="268" fillId="5" borderId="2" xfId="0" applyFont="1" applyFill="1" applyBorder="1" applyAlignment="1">
      <alignment vertical="center" wrapText="1"/>
    </xf>
    <xf numFmtId="182"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2"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69" fillId="5" borderId="0" xfId="0" applyFont="1" applyFill="1" applyAlignment="1" applyProtection="1">
      <alignment vertical="center"/>
      <protection locked="0"/>
    </xf>
    <xf numFmtId="180"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1" fillId="0" borderId="7" xfId="0" applyNumberFormat="1" applyFont="1" applyFill="1" applyBorder="1" applyAlignment="1" applyProtection="1">
      <alignment horizontal="center" vertical="center" wrapText="1"/>
      <protection locked="0"/>
    </xf>
    <xf numFmtId="49" fontId="271" fillId="0" borderId="12"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Font="1" applyBorder="1" applyAlignment="1" applyProtection="1">
      <alignment horizontal="center" vertical="center"/>
      <protection locked="0"/>
    </xf>
    <xf numFmtId="0" fontId="75" fillId="6" borderId="12"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2" fillId="0" borderId="105" xfId="0" applyNumberFormat="1" applyFont="1" applyFill="1" applyBorder="1" applyAlignment="1" applyProtection="1">
      <alignment horizontal="center" vertical="center" wrapText="1"/>
      <protection locked="0"/>
    </xf>
    <xf numFmtId="0" fontId="272" fillId="5" borderId="31" xfId="0" applyNumberFormat="1" applyFont="1" applyFill="1" applyBorder="1" applyAlignment="1" applyProtection="1">
      <alignment horizontal="center" vertical="center" wrapText="1"/>
    </xf>
    <xf numFmtId="0" fontId="272"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6" fillId="0" borderId="10" xfId="0" applyNumberFormat="1" applyFont="1" applyFill="1" applyBorder="1" applyAlignment="1" applyProtection="1">
      <alignment horizontal="center" vertical="center" wrapText="1"/>
      <protection locked="0"/>
    </xf>
    <xf numFmtId="0" fontId="276" fillId="0" borderId="2" xfId="0" applyNumberFormat="1" applyFont="1" applyFill="1" applyBorder="1" applyAlignment="1" applyProtection="1">
      <alignment horizontal="center" vertical="center" wrapText="1"/>
      <protection locked="0"/>
    </xf>
    <xf numFmtId="178" fontId="162" fillId="0" borderId="2" xfId="3" applyNumberFormat="1" applyFont="1" applyFill="1" applyBorder="1" applyAlignment="1" applyProtection="1">
      <alignment horizontal="center" vertical="center"/>
      <protection locked="0"/>
    </xf>
    <xf numFmtId="182"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2"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2"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7"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8" fillId="5" borderId="2" xfId="0" applyFont="1" applyFill="1" applyBorder="1" applyProtection="1">
      <alignment vertical="center"/>
    </xf>
    <xf numFmtId="0" fontId="0" fillId="5" borderId="2" xfId="0" applyFill="1" applyBorder="1" applyProtection="1">
      <alignment vertical="center"/>
    </xf>
    <xf numFmtId="0" fontId="278" fillId="5" borderId="0" xfId="0" applyFont="1" applyFill="1" applyProtection="1">
      <alignment vertical="center"/>
    </xf>
    <xf numFmtId="0" fontId="278"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79" fillId="5" borderId="14" xfId="3" applyFont="1" applyFill="1" applyBorder="1" applyAlignment="1" applyProtection="1">
      <alignment horizontal="center" vertical="center"/>
    </xf>
    <xf numFmtId="0" fontId="110" fillId="5" borderId="0" xfId="0" applyFont="1" applyFill="1" applyAlignment="1" applyProtection="1">
      <alignment horizontal="center" vertical="center"/>
      <protection locked="0"/>
    </xf>
    <xf numFmtId="182" fontId="110" fillId="5" borderId="6" xfId="0" applyNumberFormat="1" applyFont="1" applyFill="1" applyBorder="1" applyAlignment="1" applyProtection="1">
      <alignment horizontal="center" vertical="center"/>
      <protection locked="0"/>
    </xf>
    <xf numFmtId="182" fontId="110" fillId="5" borderId="5" xfId="0" applyNumberFormat="1" applyFont="1" applyFill="1" applyBorder="1" applyAlignment="1" applyProtection="1">
      <alignment horizontal="center" vertical="center"/>
      <protection locked="0"/>
    </xf>
    <xf numFmtId="0" fontId="56" fillId="5" borderId="10" xfId="0" applyFont="1" applyFill="1" applyBorder="1" applyAlignment="1" applyProtection="1"/>
    <xf numFmtId="10" fontId="89" fillId="5" borderId="25" xfId="0" applyNumberFormat="1" applyFont="1" applyFill="1" applyBorder="1" applyAlignment="1" applyProtection="1">
      <alignment horizontal="center"/>
    </xf>
    <xf numFmtId="0" fontId="53" fillId="5" borderId="44" xfId="0" applyFont="1" applyFill="1" applyBorder="1" applyAlignment="1" applyProtection="1">
      <alignment horizontal="left" vertical="center"/>
    </xf>
    <xf numFmtId="0" fontId="102" fillId="6" borderId="0" xfId="0" applyFont="1" applyFill="1" applyAlignment="1" applyProtection="1">
      <alignment vertical="center"/>
      <protection locked="0"/>
    </xf>
    <xf numFmtId="0" fontId="136" fillId="5" borderId="11" xfId="0" applyFont="1" applyFill="1" applyBorder="1" applyAlignment="1" applyProtection="1">
      <alignment vertical="center"/>
    </xf>
    <xf numFmtId="0" fontId="161" fillId="0" borderId="0" xfId="10" applyFont="1" applyFill="1" applyBorder="1" applyAlignment="1" applyProtection="1">
      <alignment horizontal="center" vertical="center"/>
      <protection locked="0"/>
    </xf>
    <xf numFmtId="0" fontId="247" fillId="14" borderId="0" xfId="1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xf>
    <xf numFmtId="0" fontId="162" fillId="5" borderId="0" xfId="0" applyFont="1" applyFill="1" applyProtection="1">
      <alignment vertical="center"/>
    </xf>
    <xf numFmtId="0" fontId="245" fillId="12" borderId="123" xfId="10" applyFont="1" applyFill="1" applyBorder="1" applyAlignment="1" applyProtection="1">
      <alignment horizontal="center" vertical="center" wrapText="1"/>
    </xf>
    <xf numFmtId="0" fontId="245" fillId="12" borderId="123" xfId="10" applyFont="1" applyFill="1" applyBorder="1" applyAlignment="1" applyProtection="1">
      <alignment vertical="center" wrapText="1"/>
    </xf>
    <xf numFmtId="0" fontId="245" fillId="12" borderId="152" xfId="10" applyFont="1" applyFill="1" applyBorder="1" applyAlignment="1" applyProtection="1">
      <alignment vertical="center" wrapText="1"/>
    </xf>
    <xf numFmtId="0" fontId="161" fillId="16" borderId="0" xfId="10" applyFont="1" applyFill="1">
      <alignment vertical="center"/>
    </xf>
    <xf numFmtId="0" fontId="153" fillId="16" borderId="0" xfId="1" applyFont="1" applyFill="1" applyAlignment="1" applyProtection="1">
      <alignment horizontal="center" vertical="center"/>
    </xf>
    <xf numFmtId="0" fontId="21" fillId="16" borderId="0" xfId="1" applyFont="1" applyFill="1" applyAlignment="1" applyProtection="1">
      <alignment horizontal="center" vertical="center"/>
    </xf>
    <xf numFmtId="0" fontId="161" fillId="16" borderId="122" xfId="10" applyFont="1" applyFill="1" applyBorder="1" applyAlignment="1">
      <alignment horizontal="center" vertical="center"/>
    </xf>
    <xf numFmtId="0" fontId="161" fillId="16" borderId="0" xfId="10" applyFont="1" applyFill="1" applyBorder="1" applyAlignment="1">
      <alignment horizontal="center" vertical="center"/>
    </xf>
    <xf numFmtId="0" fontId="161" fillId="16" borderId="0" xfId="10" applyFont="1" applyFill="1" applyAlignment="1">
      <alignment horizontal="center" vertical="center"/>
    </xf>
    <xf numFmtId="0" fontId="156" fillId="16" borderId="0" xfId="10" applyFont="1" applyFill="1" applyAlignment="1">
      <alignment horizontal="center" vertical="center"/>
    </xf>
    <xf numFmtId="10" fontId="156" fillId="16" borderId="0" xfId="10" applyNumberFormat="1" applyFont="1" applyFill="1" applyAlignment="1">
      <alignment horizontal="center" vertical="center"/>
    </xf>
    <xf numFmtId="0" fontId="239" fillId="16" borderId="0" xfId="13" applyFont="1" applyFill="1">
      <alignment vertical="center"/>
    </xf>
    <xf numFmtId="0" fontId="161" fillId="0" borderId="0" xfId="13" applyFont="1" applyFill="1">
      <alignment vertical="center"/>
    </xf>
    <xf numFmtId="0" fontId="162" fillId="6" borderId="0" xfId="13" applyFont="1" applyFill="1">
      <alignment vertical="center"/>
    </xf>
    <xf numFmtId="0" fontId="247" fillId="16" borderId="0" xfId="13" applyFont="1" applyFill="1" applyBorder="1" applyAlignment="1" applyProtection="1">
      <alignment horizontal="center" vertical="center"/>
      <protection locked="0"/>
    </xf>
    <xf numFmtId="0" fontId="233" fillId="16" borderId="0" xfId="13" applyFont="1" applyFill="1">
      <alignment vertical="center"/>
    </xf>
    <xf numFmtId="0" fontId="22" fillId="6" borderId="21" xfId="0" applyFont="1" applyFill="1" applyBorder="1" applyAlignment="1" applyProtection="1">
      <alignment horizontal="left" vertical="center" wrapText="1"/>
      <protection locked="0"/>
    </xf>
    <xf numFmtId="185" fontId="161" fillId="12" borderId="120" xfId="13" applyNumberFormat="1" applyFont="1" applyFill="1" applyBorder="1" applyAlignment="1">
      <alignment horizontal="center" vertical="center" wrapText="1"/>
    </xf>
    <xf numFmtId="185" fontId="161" fillId="12" borderId="127" xfId="13" applyNumberFormat="1" applyFont="1" applyFill="1" applyBorder="1" applyAlignment="1">
      <alignment horizontal="center" vertical="center" wrapText="1"/>
    </xf>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178" fontId="85" fillId="0" borderId="2" xfId="2" applyNumberFormat="1" applyFont="1" applyFill="1" applyBorder="1" applyAlignment="1" applyProtection="1">
      <alignment vertical="center"/>
      <protection locked="0"/>
    </xf>
    <xf numFmtId="0" fontId="36" fillId="8" borderId="0" xfId="0" applyFont="1" applyFill="1" applyAlignment="1" applyProtection="1">
      <alignment horizontal="left" vertical="center"/>
      <protection locked="0"/>
    </xf>
    <xf numFmtId="0" fontId="158" fillId="0" borderId="2" xfId="15" applyFont="1" applyBorder="1" applyAlignment="1">
      <alignment horizontal="center" vertical="center"/>
    </xf>
    <xf numFmtId="0" fontId="180" fillId="0" borderId="0" xfId="15" applyFont="1" applyAlignment="1">
      <alignment horizontal="center" vertical="center"/>
    </xf>
    <xf numFmtId="0" fontId="180" fillId="0" borderId="2" xfId="15" applyFont="1" applyBorder="1" applyAlignment="1">
      <alignment horizontal="center" vertical="center"/>
    </xf>
    <xf numFmtId="0" fontId="180" fillId="0" borderId="0" xfId="15" applyFont="1">
      <alignment vertical="center"/>
    </xf>
    <xf numFmtId="0" fontId="153" fillId="0" borderId="0" xfId="0" applyFont="1" applyAlignment="1">
      <alignment horizontal="center" vertical="center"/>
    </xf>
    <xf numFmtId="49" fontId="153" fillId="0" borderId="0" xfId="0" applyNumberFormat="1" applyFont="1" applyAlignment="1">
      <alignment horizontal="center" vertical="center"/>
    </xf>
    <xf numFmtId="0" fontId="149" fillId="0" borderId="0" xfId="0" applyFont="1">
      <alignment vertical="center"/>
    </xf>
    <xf numFmtId="0" fontId="153" fillId="0" borderId="2" xfId="0" applyFont="1" applyBorder="1" applyAlignment="1">
      <alignment horizontal="center" vertical="center"/>
    </xf>
    <xf numFmtId="49" fontId="153" fillId="0" borderId="2" xfId="0" applyNumberFormat="1" applyFont="1" applyBorder="1" applyAlignment="1">
      <alignment horizontal="center" vertical="center"/>
    </xf>
    <xf numFmtId="2" fontId="153" fillId="0" borderId="2" xfId="0" applyNumberFormat="1" applyFont="1" applyBorder="1" applyAlignment="1">
      <alignment horizontal="center" vertical="center"/>
    </xf>
    <xf numFmtId="9" fontId="153" fillId="0" borderId="2" xfId="0" applyNumberFormat="1" applyFont="1" applyBorder="1" applyAlignment="1">
      <alignment horizontal="center" vertical="center"/>
    </xf>
    <xf numFmtId="0" fontId="153" fillId="18" borderId="2" xfId="0" applyFont="1" applyFill="1" applyBorder="1" applyAlignment="1">
      <alignment horizontal="center" vertical="center"/>
    </xf>
    <xf numFmtId="49" fontId="153" fillId="18" borderId="2" xfId="0" applyNumberFormat="1" applyFont="1" applyFill="1" applyBorder="1" applyAlignment="1">
      <alignment horizontal="center" vertical="center"/>
    </xf>
    <xf numFmtId="2" fontId="153" fillId="18" borderId="2" xfId="0" applyNumberFormat="1" applyFont="1" applyFill="1" applyBorder="1" applyAlignment="1">
      <alignment horizontal="center" vertical="center"/>
    </xf>
    <xf numFmtId="9" fontId="153" fillId="18" borderId="2" xfId="0" applyNumberFormat="1" applyFont="1" applyFill="1" applyBorder="1" applyAlignment="1">
      <alignment horizontal="center" vertical="center"/>
    </xf>
    <xf numFmtId="0" fontId="153" fillId="0" borderId="10" xfId="0" applyFont="1" applyBorder="1" applyAlignment="1">
      <alignment horizontal="center" vertical="center"/>
    </xf>
    <xf numFmtId="49" fontId="153" fillId="0" borderId="10" xfId="0" applyNumberFormat="1" applyFont="1" applyBorder="1" applyAlignment="1">
      <alignment horizontal="center" vertical="center"/>
    </xf>
    <xf numFmtId="2" fontId="153" fillId="0" borderId="10" xfId="0" applyNumberFormat="1" applyFont="1" applyBorder="1" applyAlignment="1">
      <alignment horizontal="center" vertical="center"/>
    </xf>
    <xf numFmtId="9" fontId="153" fillId="0" borderId="10" xfId="0" applyNumberFormat="1" applyFont="1" applyBorder="1" applyAlignment="1">
      <alignment horizontal="center" vertical="center"/>
    </xf>
    <xf numFmtId="0" fontId="171" fillId="0" borderId="11" xfId="0" applyFont="1" applyBorder="1" applyAlignment="1">
      <alignment horizontal="center" vertical="center"/>
    </xf>
    <xf numFmtId="2" fontId="153" fillId="0" borderId="12" xfId="0" applyNumberFormat="1" applyFont="1" applyBorder="1" applyAlignment="1">
      <alignment horizontal="center" vertical="center"/>
    </xf>
    <xf numFmtId="0" fontId="171" fillId="18" borderId="11" xfId="0" applyFont="1" applyFill="1" applyBorder="1" applyAlignment="1">
      <alignment horizontal="center" vertical="center"/>
    </xf>
    <xf numFmtId="2" fontId="153" fillId="18" borderId="12" xfId="0" applyNumberFormat="1" applyFont="1" applyFill="1" applyBorder="1" applyAlignment="1">
      <alignment horizontal="center" vertical="center"/>
    </xf>
    <xf numFmtId="0" fontId="153" fillId="0" borderId="11" xfId="0" applyFont="1" applyBorder="1" applyAlignment="1">
      <alignment horizontal="center" vertical="center"/>
    </xf>
    <xf numFmtId="0" fontId="153" fillId="18" borderId="11" xfId="0" applyFont="1" applyFill="1" applyBorder="1" applyAlignment="1">
      <alignment horizontal="center" vertical="center"/>
    </xf>
    <xf numFmtId="0" fontId="171" fillId="0" borderId="22" xfId="0" applyFont="1" applyBorder="1" applyAlignment="1">
      <alignment horizontal="center" vertical="center"/>
    </xf>
    <xf numFmtId="2" fontId="153" fillId="0" borderId="25" xfId="0" applyNumberFormat="1" applyFont="1" applyBorder="1" applyAlignment="1">
      <alignment horizontal="center" vertical="center"/>
    </xf>
    <xf numFmtId="0" fontId="171" fillId="19" borderId="153" xfId="0" applyFont="1" applyFill="1" applyBorder="1" applyAlignment="1">
      <alignment horizontal="center" vertical="center"/>
    </xf>
    <xf numFmtId="0" fontId="153" fillId="19" borderId="154" xfId="0" applyFont="1" applyFill="1" applyBorder="1" applyAlignment="1">
      <alignment horizontal="center" vertical="center"/>
    </xf>
    <xf numFmtId="49" fontId="153" fillId="19" borderId="154" xfId="0" applyNumberFormat="1" applyFont="1" applyFill="1" applyBorder="1" applyAlignment="1">
      <alignment horizontal="center" vertical="center"/>
    </xf>
    <xf numFmtId="2" fontId="153" fillId="19" borderId="154" xfId="0" applyNumberFormat="1" applyFont="1" applyFill="1" applyBorder="1" applyAlignment="1">
      <alignment horizontal="center" vertical="center"/>
    </xf>
    <xf numFmtId="2" fontId="153" fillId="19" borderId="155" xfId="0" applyNumberFormat="1" applyFont="1" applyFill="1" applyBorder="1" applyAlignment="1">
      <alignment horizontal="center" vertical="center"/>
    </xf>
    <xf numFmtId="0" fontId="171" fillId="0" borderId="50" xfId="0" applyFont="1" applyBorder="1" applyAlignment="1">
      <alignment horizontal="center" vertical="center"/>
    </xf>
    <xf numFmtId="0" fontId="153" fillId="0" borderId="21" xfId="0" applyFont="1" applyBorder="1" applyAlignment="1">
      <alignment horizontal="center" vertical="center"/>
    </xf>
    <xf numFmtId="49" fontId="153" fillId="0" borderId="21" xfId="0" applyNumberFormat="1" applyFont="1" applyBorder="1" applyAlignment="1">
      <alignment horizontal="center" vertical="center"/>
    </xf>
    <xf numFmtId="2" fontId="153" fillId="0" borderId="21" xfId="0" applyNumberFormat="1" applyFont="1" applyBorder="1" applyAlignment="1">
      <alignment horizontal="center" vertical="center"/>
    </xf>
    <xf numFmtId="1" fontId="153" fillId="0" borderId="21" xfId="0" applyNumberFormat="1" applyFont="1" applyBorder="1" applyAlignment="1">
      <alignment horizontal="center" vertical="center"/>
    </xf>
    <xf numFmtId="9" fontId="153" fillId="0" borderId="21" xfId="0" applyNumberFormat="1" applyFont="1" applyBorder="1" applyAlignment="1">
      <alignment horizontal="center" vertical="center"/>
    </xf>
    <xf numFmtId="2" fontId="153" fillId="0" borderId="51" xfId="0" applyNumberFormat="1" applyFont="1" applyBorder="1" applyAlignment="1">
      <alignment horizontal="center" vertical="center"/>
    </xf>
    <xf numFmtId="0" fontId="282" fillId="0" borderId="2" xfId="15" applyFont="1" applyBorder="1" applyAlignment="1">
      <alignment horizontal="center" vertical="center"/>
    </xf>
    <xf numFmtId="0" fontId="284" fillId="0" borderId="0" xfId="16">
      <alignment vertical="center"/>
    </xf>
    <xf numFmtId="0" fontId="0" fillId="0" borderId="2" xfId="0" applyBorder="1" applyAlignment="1">
      <alignment horizontal="center" vertical="center"/>
    </xf>
    <xf numFmtId="0" fontId="149" fillId="0" borderId="2" xfId="0" applyFont="1" applyBorder="1">
      <alignment vertical="center"/>
    </xf>
    <xf numFmtId="0" fontId="149" fillId="0" borderId="2" xfId="0" applyFont="1" applyBorder="1" applyAlignment="1">
      <alignment horizontal="center" vertical="center"/>
    </xf>
    <xf numFmtId="2" fontId="149"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0" fillId="6" borderId="0" xfId="0" applyFont="1"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171" fillId="0" borderId="2" xfId="0" applyFont="1" applyBorder="1" applyAlignment="1">
      <alignment horizontal="center" vertical="center"/>
    </xf>
    <xf numFmtId="0" fontId="149"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3" fillId="16" borderId="0" xfId="0" applyNumberFormat="1" applyFont="1" applyFill="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47" fillId="0" borderId="0" xfId="19" applyFont="1" applyAlignment="1">
      <alignment horizontal="center" vertical="center" wrapText="1"/>
    </xf>
    <xf numFmtId="0" fontId="47" fillId="0" borderId="0" xfId="19" applyFont="1" applyAlignment="1">
      <alignment vertical="center"/>
    </xf>
    <xf numFmtId="0" fontId="288" fillId="0" borderId="0" xfId="19" applyFont="1" applyAlignment="1">
      <alignment vertical="center"/>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0" borderId="0" xfId="19" applyNumberFormat="1" applyFont="1" applyAlignment="1">
      <alignment horizontal="right" vertical="center"/>
    </xf>
    <xf numFmtId="0" fontId="47" fillId="0" borderId="0" xfId="19" applyFont="1" applyAlignment="1">
      <alignment horizontal="right" vertical="center"/>
    </xf>
    <xf numFmtId="0" fontId="131" fillId="0" borderId="0" xfId="19" applyFont="1" applyAlignment="1">
      <alignment horizontal="right" vertical="center"/>
    </xf>
    <xf numFmtId="0" fontId="47" fillId="0" borderId="0" xfId="19" applyFont="1" applyAlignment="1">
      <alignment horizontal="center" vertical="center"/>
    </xf>
    <xf numFmtId="0" fontId="131" fillId="0" borderId="2" xfId="19" applyFont="1" applyBorder="1" applyAlignment="1">
      <alignment horizontal="center" vertical="center"/>
    </xf>
    <xf numFmtId="0" fontId="131" fillId="0" borderId="157" xfId="19" applyFont="1" applyBorder="1" applyAlignment="1">
      <alignment horizontal="center" vertical="center"/>
    </xf>
    <xf numFmtId="0" fontId="131" fillId="0" borderId="9" xfId="19" applyFont="1" applyBorder="1" applyAlignment="1">
      <alignment horizontal="center" vertical="center"/>
    </xf>
    <xf numFmtId="0" fontId="47" fillId="0" borderId="2" xfId="19" applyFont="1" applyBorder="1" applyAlignment="1">
      <alignment horizontal="center" vertical="center"/>
    </xf>
    <xf numFmtId="14" fontId="7" fillId="0" borderId="158" xfId="19" applyNumberFormat="1" applyFont="1" applyBorder="1" applyAlignment="1">
      <alignment horizontal="right" vertical="center" wrapText="1"/>
    </xf>
    <xf numFmtId="4" fontId="7" fillId="0" borderId="158" xfId="19" applyNumberFormat="1" applyFont="1" applyBorder="1" applyAlignment="1">
      <alignment horizontal="right" vertical="center" wrapText="1"/>
    </xf>
    <xf numFmtId="0" fontId="47" fillId="8" borderId="2" xfId="19" applyFont="1" applyFill="1" applyBorder="1" applyAlignment="1">
      <alignment horizontal="center" vertical="center"/>
    </xf>
    <xf numFmtId="0" fontId="7" fillId="8" borderId="158" xfId="19" applyFont="1" applyFill="1" applyBorder="1" applyAlignment="1">
      <alignment vertical="center" wrapText="1"/>
    </xf>
    <xf numFmtId="4" fontId="7" fillId="8" borderId="2" xfId="19" applyNumberFormat="1" applyFont="1" applyFill="1" applyBorder="1" applyAlignment="1">
      <alignment horizontal="right" vertical="center" wrapText="1"/>
    </xf>
    <xf numFmtId="0" fontId="131" fillId="8" borderId="2" xfId="19" applyFont="1" applyFill="1" applyBorder="1" applyAlignment="1">
      <alignment horizontal="center" vertical="center"/>
    </xf>
    <xf numFmtId="0" fontId="47" fillId="8" borderId="0" xfId="19" applyFont="1" applyFill="1" applyAlignment="1">
      <alignment horizontal="center" vertical="center"/>
    </xf>
    <xf numFmtId="2" fontId="7" fillId="0" borderId="158" xfId="19" applyNumberFormat="1" applyFont="1" applyBorder="1" applyAlignment="1">
      <alignment horizontal="right" vertical="center" wrapText="1"/>
    </xf>
    <xf numFmtId="2" fontId="7" fillId="8" borderId="158" xfId="19" applyNumberFormat="1" applyFont="1" applyFill="1" applyBorder="1" applyAlignment="1">
      <alignment horizontal="right" vertical="center" wrapText="1"/>
    </xf>
    <xf numFmtId="4" fontId="7" fillId="8" borderId="158" xfId="19" applyNumberFormat="1" applyFont="1" applyFill="1" applyBorder="1" applyAlignment="1">
      <alignment horizontal="right" vertical="center" wrapText="1"/>
    </xf>
    <xf numFmtId="0" fontId="47" fillId="0" borderId="10" xfId="19" applyFont="1" applyBorder="1" applyAlignment="1">
      <alignment horizontal="center" vertical="center"/>
    </xf>
    <xf numFmtId="14" fontId="7" fillId="0" borderId="159" xfId="19" applyNumberFormat="1" applyFont="1" applyBorder="1" applyAlignment="1">
      <alignment horizontal="right" vertical="center" wrapText="1"/>
    </xf>
    <xf numFmtId="4" fontId="7" fillId="0" borderId="159" xfId="19" applyNumberFormat="1" applyFont="1" applyBorder="1" applyAlignment="1">
      <alignment horizontal="right" vertical="center" wrapText="1"/>
    </xf>
    <xf numFmtId="0" fontId="131" fillId="0" borderId="10" xfId="19" applyFont="1" applyBorder="1" applyAlignment="1">
      <alignment horizontal="center" vertical="center"/>
    </xf>
    <xf numFmtId="0" fontId="47" fillId="0" borderId="2" xfId="19" applyFont="1" applyFill="1" applyBorder="1" applyAlignment="1">
      <alignment horizontal="center" vertical="center"/>
    </xf>
    <xf numFmtId="14" fontId="7" fillId="0" borderId="2" xfId="19" applyNumberFormat="1" applyFont="1" applyFill="1" applyBorder="1" applyAlignment="1">
      <alignment horizontal="right" vertical="center" wrapText="1"/>
    </xf>
    <xf numFmtId="4" fontId="7" fillId="0" borderId="2" xfId="19" applyNumberFormat="1" applyFont="1" applyFill="1" applyBorder="1" applyAlignment="1">
      <alignment horizontal="right" vertical="center" wrapText="1"/>
    </xf>
    <xf numFmtId="0" fontId="131" fillId="0" borderId="2" xfId="19" applyFont="1" applyFill="1" applyBorder="1" applyAlignment="1">
      <alignment horizontal="center" vertical="center"/>
    </xf>
    <xf numFmtId="0" fontId="47" fillId="0" borderId="0" xfId="19" applyFont="1" applyFill="1" applyAlignment="1">
      <alignment horizontal="center" vertical="center"/>
    </xf>
    <xf numFmtId="14" fontId="47" fillId="0" borderId="0" xfId="19" applyNumberFormat="1" applyFont="1" applyFill="1" applyAlignment="1">
      <alignment horizontal="center" vertical="center"/>
    </xf>
    <xf numFmtId="14" fontId="47" fillId="0" borderId="2" xfId="19" applyNumberFormat="1" applyFont="1" applyFill="1" applyBorder="1" applyAlignment="1">
      <alignment horizontal="center" vertical="center" shrinkToFit="1"/>
    </xf>
    <xf numFmtId="43" fontId="47" fillId="0" borderId="2" xfId="19" applyNumberFormat="1" applyFont="1" applyFill="1" applyBorder="1" applyAlignment="1">
      <alignment horizontal="right" vertical="center"/>
    </xf>
    <xf numFmtId="0" fontId="47" fillId="0" borderId="2" xfId="19" applyFont="1" applyFill="1" applyBorder="1" applyAlignment="1">
      <alignment vertical="center"/>
    </xf>
    <xf numFmtId="0" fontId="47" fillId="0" borderId="0" xfId="19" applyFont="1" applyFill="1" applyAlignment="1">
      <alignment vertical="center"/>
    </xf>
    <xf numFmtId="14" fontId="47" fillId="0" borderId="2" xfId="19" applyNumberFormat="1" applyFont="1" applyBorder="1" applyAlignment="1">
      <alignment horizontal="center" vertical="center" shrinkToFit="1"/>
    </xf>
    <xf numFmtId="43" fontId="47" fillId="0" borderId="2" xfId="19" applyNumberFormat="1" applyFont="1" applyBorder="1" applyAlignment="1">
      <alignment horizontal="right" vertical="center"/>
    </xf>
    <xf numFmtId="0" fontId="47" fillId="0" borderId="2" xfId="19" applyNumberFormat="1" applyFont="1" applyBorder="1" applyAlignment="1">
      <alignment horizontal="center" vertical="center"/>
    </xf>
    <xf numFmtId="0" fontId="47" fillId="0" borderId="2" xfId="19" applyFont="1" applyBorder="1" applyAlignment="1">
      <alignment vertical="center"/>
    </xf>
    <xf numFmtId="43" fontId="47" fillId="0" borderId="9" xfId="19" applyNumberFormat="1" applyFont="1" applyBorder="1" applyAlignment="1">
      <alignment horizontal="right" vertical="center"/>
    </xf>
    <xf numFmtId="43" fontId="47" fillId="0" borderId="157" xfId="19" applyNumberFormat="1" applyFont="1" applyBorder="1" applyAlignment="1">
      <alignment horizontal="right" vertical="center"/>
    </xf>
    <xf numFmtId="43" fontId="47" fillId="0" borderId="0" xfId="19" applyNumberFormat="1" applyFont="1" applyAlignment="1">
      <alignment vertical="center"/>
    </xf>
    <xf numFmtId="195" fontId="286" fillId="8" borderId="0" xfId="18" applyNumberFormat="1" applyFont="1" applyFill="1" applyAlignment="1" applyProtection="1">
      <alignment horizontal="left" vertical="center" shrinkToFit="1"/>
      <protection locked="0" hidden="1"/>
    </xf>
    <xf numFmtId="0" fontId="286" fillId="8" borderId="0" xfId="18" applyFont="1" applyFill="1" applyAlignment="1" applyProtection="1">
      <alignment horizontal="left" vertical="center" wrapText="1"/>
    </xf>
    <xf numFmtId="0" fontId="47" fillId="8" borderId="0" xfId="19" applyFont="1" applyFill="1" applyAlignment="1">
      <alignment horizontal="center" vertical="center" wrapText="1"/>
    </xf>
    <xf numFmtId="177" fontId="47" fillId="8" borderId="0" xfId="19" applyNumberFormat="1" applyFont="1" applyFill="1" applyAlignment="1">
      <alignment horizontal="center" vertical="center"/>
    </xf>
    <xf numFmtId="177" fontId="47" fillId="8" borderId="0" xfId="19" applyNumberFormat="1" applyFont="1" applyFill="1" applyAlignment="1">
      <alignment vertical="center"/>
    </xf>
    <xf numFmtId="0" fontId="47" fillId="8" borderId="0" xfId="19" applyFont="1" applyFill="1" applyAlignment="1">
      <alignment vertical="center"/>
    </xf>
    <xf numFmtId="0" fontId="47" fillId="8" borderId="0" xfId="19" applyFont="1" applyFill="1" applyAlignment="1">
      <alignment horizontal="right" vertical="center"/>
    </xf>
    <xf numFmtId="0" fontId="131" fillId="8" borderId="2" xfId="20" applyFont="1" applyFill="1" applyBorder="1" applyAlignment="1">
      <alignment horizontal="center" vertical="center"/>
    </xf>
    <xf numFmtId="0" fontId="47" fillId="8" borderId="10" xfId="19" applyFont="1" applyFill="1" applyBorder="1" applyAlignment="1">
      <alignment horizontal="center" vertical="center"/>
    </xf>
    <xf numFmtId="0" fontId="7" fillId="8" borderId="159" xfId="19" applyFont="1" applyFill="1" applyBorder="1" applyAlignment="1">
      <alignment vertical="center" wrapText="1"/>
    </xf>
    <xf numFmtId="0" fontId="131" fillId="8" borderId="10" xfId="20" applyFont="1" applyFill="1" applyBorder="1" applyAlignment="1">
      <alignment horizontal="center" vertical="center"/>
    </xf>
    <xf numFmtId="0" fontId="7" fillId="8" borderId="2" xfId="19" applyFont="1" applyFill="1" applyBorder="1" applyAlignment="1">
      <alignment vertical="center" wrapText="1"/>
    </xf>
    <xf numFmtId="0" fontId="47" fillId="8" borderId="2" xfId="20" applyFont="1" applyFill="1" applyBorder="1" applyAlignment="1">
      <alignment horizontal="center" vertical="center"/>
    </xf>
    <xf numFmtId="0" fontId="47" fillId="8" borderId="0" xfId="19" applyNumberFormat="1" applyFont="1" applyFill="1" applyAlignment="1">
      <alignment vertical="center"/>
    </xf>
    <xf numFmtId="43" fontId="47" fillId="8" borderId="0" xfId="19" applyNumberFormat="1" applyFont="1" applyFill="1" applyAlignment="1">
      <alignment vertical="center"/>
    </xf>
    <xf numFmtId="0" fontId="47" fillId="23" borderId="2" xfId="19" applyFont="1" applyFill="1" applyBorder="1" applyAlignment="1">
      <alignment horizontal="center" vertical="center"/>
    </xf>
    <xf numFmtId="0" fontId="7" fillId="23" borderId="158" xfId="19" applyFont="1" applyFill="1" applyBorder="1" applyAlignment="1">
      <alignment vertical="center" wrapText="1"/>
    </xf>
    <xf numFmtId="0" fontId="131" fillId="23" borderId="2" xfId="20" applyFont="1" applyFill="1" applyBorder="1" applyAlignment="1">
      <alignment horizontal="center" vertical="center"/>
    </xf>
    <xf numFmtId="14" fontId="7" fillId="23" borderId="158" xfId="19" applyNumberFormat="1" applyFont="1" applyFill="1" applyBorder="1" applyAlignment="1">
      <alignment horizontal="right" vertical="center" wrapText="1"/>
    </xf>
    <xf numFmtId="4" fontId="7" fillId="23" borderId="158" xfId="19" applyNumberFormat="1" applyFont="1" applyFill="1" applyBorder="1" applyAlignment="1">
      <alignment horizontal="right" vertical="center" wrapText="1"/>
    </xf>
    <xf numFmtId="0" fontId="131" fillId="23" borderId="2" xfId="19" applyFont="1" applyFill="1" applyBorder="1" applyAlignment="1">
      <alignment horizontal="center" vertical="center"/>
    </xf>
    <xf numFmtId="0" fontId="47" fillId="23" borderId="0" xfId="19" applyFont="1" applyFill="1" applyAlignment="1">
      <alignment horizontal="center" vertical="center"/>
    </xf>
    <xf numFmtId="0" fontId="47" fillId="21" borderId="2" xfId="19" applyFont="1" applyFill="1" applyBorder="1" applyAlignment="1">
      <alignment horizontal="center" vertical="center"/>
    </xf>
    <xf numFmtId="0" fontId="7" fillId="21" borderId="158" xfId="19" applyFont="1" applyFill="1" applyBorder="1" applyAlignment="1">
      <alignment vertical="center" wrapText="1"/>
    </xf>
    <xf numFmtId="0" fontId="131" fillId="21" borderId="2" xfId="20" applyFont="1" applyFill="1" applyBorder="1" applyAlignment="1">
      <alignment horizontal="center" vertical="center"/>
    </xf>
    <xf numFmtId="14" fontId="7" fillId="21" borderId="158" xfId="19" applyNumberFormat="1" applyFont="1" applyFill="1" applyBorder="1" applyAlignment="1">
      <alignment horizontal="right" vertical="center" wrapText="1"/>
    </xf>
    <xf numFmtId="4" fontId="7" fillId="21" borderId="158" xfId="19" applyNumberFormat="1" applyFont="1" applyFill="1" applyBorder="1" applyAlignment="1">
      <alignment horizontal="right" vertical="center" wrapText="1"/>
    </xf>
    <xf numFmtId="0" fontId="131" fillId="21" borderId="2" xfId="19" applyFont="1" applyFill="1" applyBorder="1" applyAlignment="1">
      <alignment horizontal="center" vertical="center"/>
    </xf>
    <xf numFmtId="0" fontId="47" fillId="21" borderId="0" xfId="19" applyFont="1" applyFill="1" applyAlignment="1">
      <alignment horizontal="center" vertical="center"/>
    </xf>
    <xf numFmtId="2" fontId="7" fillId="21" borderId="158" xfId="19" applyNumberFormat="1" applyFont="1" applyFill="1" applyBorder="1" applyAlignment="1">
      <alignment horizontal="right" vertical="center" wrapText="1"/>
    </xf>
    <xf numFmtId="0" fontId="47" fillId="19" borderId="2" xfId="19" applyFont="1" applyFill="1" applyBorder="1" applyAlignment="1">
      <alignment horizontal="center" vertical="center"/>
    </xf>
    <xf numFmtId="0" fontId="7" fillId="19" borderId="158" xfId="19" applyFont="1" applyFill="1" applyBorder="1" applyAlignment="1">
      <alignment vertical="center" wrapText="1"/>
    </xf>
    <xf numFmtId="0" fontId="131" fillId="19" borderId="2" xfId="20" applyFont="1" applyFill="1" applyBorder="1" applyAlignment="1">
      <alignment horizontal="center" vertical="center"/>
    </xf>
    <xf numFmtId="14" fontId="7" fillId="19" borderId="158" xfId="19" applyNumberFormat="1" applyFont="1" applyFill="1" applyBorder="1" applyAlignment="1">
      <alignment horizontal="right" vertical="center" wrapText="1"/>
    </xf>
    <xf numFmtId="4" fontId="7" fillId="19" borderId="2" xfId="19" applyNumberFormat="1" applyFont="1" applyFill="1" applyBorder="1" applyAlignment="1">
      <alignment horizontal="right" vertical="center" wrapText="1"/>
    </xf>
    <xf numFmtId="0" fontId="131" fillId="19" borderId="2" xfId="19" applyFont="1" applyFill="1" applyBorder="1" applyAlignment="1">
      <alignment horizontal="center" vertical="center"/>
    </xf>
    <xf numFmtId="0" fontId="47" fillId="19" borderId="0" xfId="19" applyFont="1" applyFill="1" applyAlignment="1">
      <alignment horizontal="center" vertical="center"/>
    </xf>
    <xf numFmtId="4" fontId="7" fillId="19" borderId="158" xfId="19" applyNumberFormat="1" applyFont="1" applyFill="1" applyBorder="1" applyAlignment="1">
      <alignment horizontal="right" vertical="center" wrapText="1"/>
    </xf>
    <xf numFmtId="0" fontId="47" fillId="20" borderId="2" xfId="19" applyFont="1" applyFill="1" applyBorder="1" applyAlignment="1">
      <alignment horizontal="center" vertical="center"/>
    </xf>
    <xf numFmtId="0" fontId="7" fillId="20" borderId="158" xfId="19" applyFont="1" applyFill="1" applyBorder="1" applyAlignment="1">
      <alignment vertical="center" wrapText="1"/>
    </xf>
    <xf numFmtId="0" fontId="131" fillId="20" borderId="2" xfId="20" applyFont="1" applyFill="1" applyBorder="1" applyAlignment="1">
      <alignment horizontal="center" vertical="center"/>
    </xf>
    <xf numFmtId="14" fontId="7" fillId="20" borderId="158" xfId="19" applyNumberFormat="1" applyFont="1" applyFill="1" applyBorder="1" applyAlignment="1">
      <alignment horizontal="right" vertical="center" wrapText="1"/>
    </xf>
    <xf numFmtId="4" fontId="7" fillId="20" borderId="158" xfId="19" applyNumberFormat="1" applyFont="1" applyFill="1" applyBorder="1" applyAlignment="1">
      <alignment horizontal="right" vertical="center" wrapText="1"/>
    </xf>
    <xf numFmtId="0" fontId="131" fillId="20" borderId="2" xfId="19" applyFont="1" applyFill="1" applyBorder="1" applyAlignment="1">
      <alignment horizontal="center" vertical="center"/>
    </xf>
    <xf numFmtId="0" fontId="47" fillId="20" borderId="0" xfId="19" applyFont="1" applyFill="1" applyAlignment="1">
      <alignment horizontal="center" vertical="center"/>
    </xf>
    <xf numFmtId="0" fontId="47" fillId="14" borderId="2" xfId="19" applyFont="1" applyFill="1" applyBorder="1" applyAlignment="1">
      <alignment horizontal="center" vertical="center"/>
    </xf>
    <xf numFmtId="0" fontId="7" fillId="14" borderId="158" xfId="19" applyFont="1" applyFill="1" applyBorder="1" applyAlignment="1">
      <alignment vertical="center" wrapText="1"/>
    </xf>
    <xf numFmtId="0" fontId="131" fillId="14" borderId="2" xfId="20" applyFont="1" applyFill="1" applyBorder="1" applyAlignment="1">
      <alignment horizontal="center" vertical="center"/>
    </xf>
    <xf numFmtId="14" fontId="7" fillId="14" borderId="158" xfId="19" applyNumberFormat="1" applyFont="1" applyFill="1" applyBorder="1" applyAlignment="1">
      <alignment horizontal="right" vertical="center" wrapText="1"/>
    </xf>
    <xf numFmtId="4" fontId="7" fillId="14" borderId="158" xfId="19" applyNumberFormat="1" applyFont="1" applyFill="1" applyBorder="1" applyAlignment="1">
      <alignment horizontal="right" vertical="center" wrapText="1"/>
    </xf>
    <xf numFmtId="0" fontId="131" fillId="14" borderId="2" xfId="19" applyFont="1" applyFill="1" applyBorder="1" applyAlignment="1">
      <alignment horizontal="center" vertical="center"/>
    </xf>
    <xf numFmtId="0" fontId="47" fillId="14" borderId="0" xfId="19" applyFont="1" applyFill="1" applyAlignment="1">
      <alignment horizontal="center" vertical="center"/>
    </xf>
    <xf numFmtId="0" fontId="47" fillId="15" borderId="2" xfId="19" applyFont="1" applyFill="1" applyBorder="1" applyAlignment="1">
      <alignment horizontal="center" vertical="center"/>
    </xf>
    <xf numFmtId="0" fontId="7" fillId="15" borderId="158" xfId="19" applyFont="1" applyFill="1" applyBorder="1" applyAlignment="1">
      <alignment vertical="center" wrapText="1"/>
    </xf>
    <xf numFmtId="0" fontId="131" fillId="15" borderId="2" xfId="20" applyFont="1" applyFill="1" applyBorder="1" applyAlignment="1">
      <alignment horizontal="center" vertical="center"/>
    </xf>
    <xf numFmtId="14" fontId="7" fillId="15" borderId="158" xfId="19" applyNumberFormat="1" applyFont="1" applyFill="1" applyBorder="1" applyAlignment="1">
      <alignment horizontal="right" vertical="center" wrapText="1"/>
    </xf>
    <xf numFmtId="4" fontId="7" fillId="15" borderId="158" xfId="19" applyNumberFormat="1" applyFont="1" applyFill="1" applyBorder="1" applyAlignment="1">
      <alignment horizontal="right" vertical="center" wrapText="1"/>
    </xf>
    <xf numFmtId="0" fontId="131" fillId="15" borderId="2" xfId="19" applyFont="1" applyFill="1" applyBorder="1" applyAlignment="1">
      <alignment horizontal="center" vertical="center"/>
    </xf>
    <xf numFmtId="0" fontId="47" fillId="15" borderId="0" xfId="19" applyFont="1" applyFill="1" applyAlignment="1">
      <alignment horizontal="center" vertical="center"/>
    </xf>
    <xf numFmtId="0" fontId="149" fillId="0" borderId="0" xfId="0" applyFont="1" applyAlignment="1">
      <alignment horizontal="left" vertical="center"/>
    </xf>
    <xf numFmtId="0" fontId="149" fillId="0" borderId="2" xfId="0" applyFont="1" applyBorder="1" applyAlignment="1">
      <alignment horizontal="left" vertical="center"/>
    </xf>
    <xf numFmtId="0" fontId="0" fillId="0" borderId="2" xfId="0" applyBorder="1" applyAlignment="1">
      <alignment horizontal="left" vertical="center"/>
    </xf>
    <xf numFmtId="0" fontId="149" fillId="19" borderId="2" xfId="0" applyFont="1" applyFill="1" applyBorder="1" applyAlignment="1">
      <alignment horizontal="left" vertical="center"/>
    </xf>
    <xf numFmtId="0" fontId="149" fillId="3" borderId="0" xfId="1" applyFill="1" applyAlignment="1">
      <alignment horizontal="center" vertical="center"/>
    </xf>
    <xf numFmtId="177" fontId="290" fillId="3" borderId="2" xfId="3" applyNumberFormat="1" applyFont="1" applyFill="1" applyBorder="1" applyAlignment="1">
      <alignment horizontal="center" vertical="center" wrapText="1" readingOrder="1"/>
    </xf>
    <xf numFmtId="177" fontId="290" fillId="9" borderId="2" xfId="3" applyNumberFormat="1" applyFont="1" applyFill="1" applyBorder="1" applyAlignment="1">
      <alignment horizontal="center" vertical="center" wrapText="1" readingOrder="1"/>
    </xf>
    <xf numFmtId="0" fontId="290" fillId="3" borderId="10" xfId="3" applyFont="1" applyFill="1" applyBorder="1" applyAlignment="1">
      <alignment vertical="center" wrapText="1" readingOrder="1"/>
    </xf>
    <xf numFmtId="0" fontId="205" fillId="0" borderId="0" xfId="1" applyFont="1" applyFill="1" applyAlignment="1">
      <alignment horizontal="center" vertical="center"/>
    </xf>
    <xf numFmtId="0" fontId="205"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center" vertical="center" wrapText="1" readingOrder="1"/>
    </xf>
    <xf numFmtId="177" fontId="86" fillId="0" borderId="5" xfId="1" applyNumberFormat="1" applyFont="1" applyFill="1" applyBorder="1" applyAlignment="1">
      <alignment horizontal="left" vertical="center" wrapText="1" readingOrder="1"/>
    </xf>
    <xf numFmtId="177" fontId="131" fillId="0" borderId="2" xfId="1" applyNumberFormat="1" applyFont="1" applyFill="1" applyBorder="1" applyAlignment="1">
      <alignment horizontal="center" vertical="center" wrapText="1" readingOrder="1"/>
    </xf>
    <xf numFmtId="177" fontId="131" fillId="0" borderId="2" xfId="1" applyNumberFormat="1" applyFont="1" applyFill="1" applyBorder="1" applyAlignment="1">
      <alignment horizontal="left" vertical="center" wrapText="1" readingOrder="1"/>
    </xf>
    <xf numFmtId="0" fontId="205" fillId="0" borderId="2" xfId="1" applyFont="1" applyFill="1" applyBorder="1" applyAlignment="1">
      <alignment horizontal="center" vertical="center"/>
    </xf>
    <xf numFmtId="177" fontId="205" fillId="0" borderId="2" xfId="1" applyNumberFormat="1" applyFont="1" applyFill="1" applyBorder="1" applyAlignment="1">
      <alignment horizontal="center" vertical="center"/>
    </xf>
    <xf numFmtId="0" fontId="131" fillId="9" borderId="0" xfId="1" applyFont="1" applyFill="1" applyAlignment="1">
      <alignment horizontal="center" vertical="center"/>
    </xf>
    <xf numFmtId="0" fontId="131" fillId="9" borderId="2" xfId="1" applyFont="1" applyFill="1" applyBorder="1" applyAlignment="1">
      <alignment horizontal="center" vertical="center" wrapText="1" readingOrder="1"/>
    </xf>
    <xf numFmtId="177" fontId="131" fillId="9" borderId="2" xfId="1" applyNumberFormat="1" applyFont="1" applyFill="1" applyBorder="1" applyAlignment="1">
      <alignment horizontal="center" vertical="center" wrapText="1" readingOrder="1"/>
    </xf>
    <xf numFmtId="177" fontId="131" fillId="9" borderId="5" xfId="1" applyNumberFormat="1" applyFont="1" applyFill="1" applyBorder="1" applyAlignment="1">
      <alignment horizontal="left" vertical="center" wrapText="1" readingOrder="1"/>
    </xf>
    <xf numFmtId="177" fontId="131" fillId="9" borderId="2" xfId="1" applyNumberFormat="1" applyFont="1" applyFill="1" applyBorder="1" applyAlignment="1">
      <alignment horizontal="left" vertical="center" wrapText="1" readingOrder="1"/>
    </xf>
    <xf numFmtId="0" fontId="131" fillId="9" borderId="2" xfId="1" applyFont="1" applyFill="1" applyBorder="1" applyAlignment="1">
      <alignment horizontal="center" vertical="center"/>
    </xf>
    <xf numFmtId="177" fontId="131" fillId="9" borderId="2" xfId="1" applyNumberFormat="1" applyFont="1" applyFill="1" applyBorder="1" applyAlignment="1">
      <alignment horizontal="center" vertical="center"/>
    </xf>
    <xf numFmtId="0" fontId="205" fillId="6" borderId="0" xfId="1" applyFont="1" applyFill="1" applyAlignment="1">
      <alignment horizontal="center" vertical="center"/>
    </xf>
    <xf numFmtId="0" fontId="205" fillId="6" borderId="2" xfId="1" applyFont="1" applyFill="1" applyBorder="1" applyAlignment="1">
      <alignment horizontal="center" vertical="center" wrapText="1" readingOrder="1"/>
    </xf>
    <xf numFmtId="177" fontId="86" fillId="6" borderId="2" xfId="1" applyNumberFormat="1" applyFont="1" applyFill="1" applyBorder="1" applyAlignment="1">
      <alignment horizontal="center" vertical="center" wrapText="1" readingOrder="1"/>
    </xf>
    <xf numFmtId="177" fontId="86" fillId="6" borderId="5" xfId="1" applyNumberFormat="1" applyFont="1" applyFill="1" applyBorder="1" applyAlignment="1">
      <alignment horizontal="left" vertical="center" wrapText="1" readingOrder="1"/>
    </xf>
    <xf numFmtId="177" fontId="131" fillId="6" borderId="2" xfId="1" applyNumberFormat="1" applyFont="1" applyFill="1" applyBorder="1" applyAlignment="1">
      <alignment horizontal="center" vertical="center" wrapText="1" readingOrder="1"/>
    </xf>
    <xf numFmtId="177" fontId="86" fillId="9" borderId="2" xfId="1" applyNumberFormat="1" applyFont="1" applyFill="1" applyBorder="1" applyAlignment="1">
      <alignment horizontal="center" vertical="center" wrapText="1" readingOrder="1"/>
    </xf>
    <xf numFmtId="177" fontId="86" fillId="6" borderId="2" xfId="1" applyNumberFormat="1" applyFont="1" applyFill="1" applyBorder="1" applyAlignment="1">
      <alignment horizontal="left" vertical="center" wrapText="1" readingOrder="1"/>
    </xf>
    <xf numFmtId="0" fontId="205" fillId="6" borderId="2" xfId="1" applyFont="1" applyFill="1" applyBorder="1" applyAlignment="1">
      <alignment horizontal="center" vertical="center"/>
    </xf>
    <xf numFmtId="177" fontId="205" fillId="6" borderId="2" xfId="1" applyNumberFormat="1" applyFont="1" applyFill="1" applyBorder="1" applyAlignment="1">
      <alignment horizontal="center" vertical="center"/>
    </xf>
    <xf numFmtId="0" fontId="205" fillId="3" borderId="0" xfId="1" applyFont="1" applyFill="1" applyAlignment="1">
      <alignment horizontal="center" vertical="center"/>
    </xf>
    <xf numFmtId="0" fontId="131" fillId="3" borderId="2" xfId="1" applyFont="1" applyFill="1" applyBorder="1" applyAlignment="1">
      <alignment horizontal="center" vertical="center" wrapText="1" readingOrder="1"/>
    </xf>
    <xf numFmtId="177" fontId="86" fillId="3" borderId="2" xfId="1" applyNumberFormat="1" applyFont="1" applyFill="1" applyBorder="1" applyAlignment="1">
      <alignment horizontal="center" vertical="center" wrapText="1" readingOrder="1"/>
    </xf>
    <xf numFmtId="177" fontId="131" fillId="3" borderId="2" xfId="1" applyNumberFormat="1" applyFont="1" applyFill="1" applyBorder="1" applyAlignment="1">
      <alignment horizontal="left" vertical="center" wrapText="1" readingOrder="1"/>
    </xf>
    <xf numFmtId="177" fontId="131" fillId="3" borderId="2" xfId="1" applyNumberFormat="1" applyFont="1" applyFill="1" applyBorder="1" applyAlignment="1">
      <alignment horizontal="center" vertical="center" wrapText="1" readingOrder="1"/>
    </xf>
    <xf numFmtId="177" fontId="86" fillId="3" borderId="2" xfId="1" applyNumberFormat="1" applyFont="1" applyFill="1" applyBorder="1" applyAlignment="1">
      <alignment horizontal="left" vertical="center" wrapText="1" readingOrder="1"/>
    </xf>
    <xf numFmtId="0" fontId="205" fillId="3" borderId="2" xfId="1" applyFont="1" applyFill="1" applyBorder="1" applyAlignment="1">
      <alignment horizontal="center" vertical="center"/>
    </xf>
    <xf numFmtId="177" fontId="131" fillId="3" borderId="21" xfId="1" applyNumberFormat="1" applyFont="1" applyFill="1" applyBorder="1" applyAlignment="1">
      <alignment horizontal="center" vertical="center" wrapText="1" readingOrder="1"/>
    </xf>
    <xf numFmtId="0" fontId="131" fillId="0" borderId="2" xfId="1" applyFont="1" applyFill="1" applyBorder="1" applyAlignment="1">
      <alignment horizontal="center" vertical="center" wrapText="1" readingOrder="1"/>
    </xf>
    <xf numFmtId="177" fontId="86" fillId="0" borderId="2" xfId="1" applyNumberFormat="1" applyFont="1" applyFill="1" applyBorder="1" applyAlignment="1">
      <alignment horizontal="left" vertical="center" wrapText="1" readingOrder="1"/>
    </xf>
    <xf numFmtId="177" fontId="205" fillId="9" borderId="2" xfId="1" applyNumberFormat="1" applyFont="1" applyFill="1" applyBorder="1" applyAlignment="1">
      <alignment horizontal="center" vertical="center"/>
    </xf>
    <xf numFmtId="0" fontId="131" fillId="6" borderId="2" xfId="1" applyFont="1" applyFill="1" applyBorder="1" applyAlignment="1">
      <alignment horizontal="center" vertical="center" wrapText="1" readingOrder="1"/>
    </xf>
    <xf numFmtId="196" fontId="86" fillId="6" borderId="2" xfId="1" applyNumberFormat="1" applyFont="1" applyFill="1" applyBorder="1" applyAlignment="1">
      <alignment horizontal="left" vertical="center" wrapText="1" readingOrder="1"/>
    </xf>
    <xf numFmtId="0" fontId="149" fillId="0" borderId="0" xfId="1">
      <alignment vertical="center"/>
    </xf>
    <xf numFmtId="0" fontId="149" fillId="19" borderId="0" xfId="1" applyFill="1">
      <alignment vertical="center"/>
    </xf>
    <xf numFmtId="0" fontId="0" fillId="0" borderId="0" xfId="0" applyAlignment="1">
      <alignment horizontal="center" vertical="center" wrapText="1"/>
    </xf>
    <xf numFmtId="0" fontId="90"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0"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8" fillId="0" borderId="2" xfId="0" applyFont="1" applyBorder="1" applyAlignment="1">
      <alignment horizontal="center" vertical="center" wrapText="1"/>
    </xf>
    <xf numFmtId="0" fontId="168" fillId="17" borderId="2" xfId="0" applyFont="1" applyFill="1" applyBorder="1" applyAlignment="1">
      <alignment horizontal="center" vertical="center" wrapText="1"/>
    </xf>
    <xf numFmtId="0" fontId="148" fillId="0" borderId="6" xfId="0" applyNumberFormat="1" applyFont="1" applyFill="1" applyBorder="1" applyAlignment="1" applyProtection="1">
      <alignment horizontal="center" vertical="center" wrapText="1"/>
      <protection locked="0"/>
    </xf>
    <xf numFmtId="0" fontId="270" fillId="0" borderId="51" xfId="0" applyNumberFormat="1" applyFont="1" applyFill="1" applyBorder="1" applyAlignment="1" applyProtection="1">
      <alignment horizontal="center" vertical="center" wrapText="1"/>
      <protection locked="0"/>
    </xf>
    <xf numFmtId="0" fontId="270" fillId="0" borderId="12" xfId="0" applyFont="1" applyBorder="1" applyAlignment="1" applyProtection="1">
      <alignment horizontal="center" vertical="center" wrapText="1"/>
      <protection locked="0"/>
    </xf>
    <xf numFmtId="0" fontId="270" fillId="0" borderId="46" xfId="0" applyNumberFormat="1" applyFont="1" applyFill="1" applyBorder="1" applyAlignment="1" applyProtection="1">
      <alignment horizontal="center" vertical="center" wrapText="1"/>
      <protection locked="0"/>
    </xf>
    <xf numFmtId="49" fontId="148" fillId="0" borderId="18" xfId="0" applyNumberFormat="1" applyFont="1" applyFill="1" applyBorder="1" applyAlignment="1" applyProtection="1">
      <alignment horizontal="center" vertical="center" wrapText="1"/>
      <protection locked="0"/>
    </xf>
    <xf numFmtId="49" fontId="148" fillId="0" borderId="2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168" fillId="5" borderId="0" xfId="3" applyFont="1" applyFill="1" applyAlignment="1" applyProtection="1">
      <alignment horizontal="left" vertical="center"/>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90" fillId="5" borderId="9" xfId="3" applyFont="1" applyFill="1" applyBorder="1" applyAlignment="1" applyProtection="1">
      <alignment horizontal="center" vertical="center" wrapText="1"/>
      <protection locked="0"/>
    </xf>
    <xf numFmtId="0" fontId="149" fillId="0" borderId="0" xfId="0" applyFont="1" applyFill="1" applyBorder="1">
      <alignment vertical="center"/>
    </xf>
    <xf numFmtId="180" fontId="0" fillId="0" borderId="0" xfId="0" applyNumberFormat="1">
      <alignment vertical="center"/>
    </xf>
    <xf numFmtId="0" fontId="171" fillId="18" borderId="2" xfId="0" applyFont="1" applyFill="1" applyBorder="1" applyAlignment="1">
      <alignment horizontal="center" vertical="center"/>
    </xf>
    <xf numFmtId="2" fontId="153" fillId="18" borderId="21" xfId="0" applyNumberFormat="1" applyFont="1" applyFill="1" applyBorder="1" applyAlignment="1">
      <alignment horizontal="center" vertical="center"/>
    </xf>
    <xf numFmtId="9" fontId="153" fillId="18" borderId="21" xfId="0" applyNumberFormat="1" applyFont="1" applyFill="1" applyBorder="1" applyAlignment="1">
      <alignment horizontal="center" vertical="center"/>
    </xf>
    <xf numFmtId="2" fontId="153" fillId="18" borderId="51" xfId="0" applyNumberFormat="1" applyFont="1" applyFill="1" applyBorder="1" applyAlignment="1">
      <alignment horizontal="center" vertical="center"/>
    </xf>
    <xf numFmtId="0" fontId="153" fillId="18" borderId="0" xfId="0" applyFont="1" applyFill="1" applyAlignment="1">
      <alignment horizontal="center" vertical="center"/>
    </xf>
    <xf numFmtId="0" fontId="0" fillId="18" borderId="0" xfId="0" applyFill="1">
      <alignment vertical="center"/>
    </xf>
    <xf numFmtId="0" fontId="171" fillId="18" borderId="22" xfId="0" applyFont="1" applyFill="1" applyBorder="1" applyAlignment="1">
      <alignment horizontal="center" vertical="center"/>
    </xf>
    <xf numFmtId="0" fontId="153" fillId="18" borderId="10" xfId="0" applyFont="1" applyFill="1" applyBorder="1" applyAlignment="1">
      <alignment horizontal="center" vertical="center"/>
    </xf>
    <xf numFmtId="49" fontId="153" fillId="18" borderId="10" xfId="0" applyNumberFormat="1" applyFont="1" applyFill="1" applyBorder="1" applyAlignment="1">
      <alignment horizontal="center" vertical="center"/>
    </xf>
    <xf numFmtId="2" fontId="153" fillId="18" borderId="10" xfId="0" applyNumberFormat="1" applyFont="1" applyFill="1" applyBorder="1" applyAlignment="1">
      <alignment horizontal="center" vertical="center"/>
    </xf>
    <xf numFmtId="9" fontId="153" fillId="18" borderId="10" xfId="0" applyNumberFormat="1" applyFont="1" applyFill="1" applyBorder="1" applyAlignment="1">
      <alignment horizontal="center" vertical="center"/>
    </xf>
    <xf numFmtId="2" fontId="153"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49" fillId="18" borderId="2" xfId="0" applyFont="1" applyFill="1" applyBorder="1" applyAlignment="1">
      <alignment horizontal="left" vertical="center"/>
    </xf>
    <xf numFmtId="0" fontId="236" fillId="8" borderId="2" xfId="15" applyFont="1" applyFill="1" applyBorder="1" applyAlignment="1">
      <alignment horizontal="center" vertical="center"/>
    </xf>
    <xf numFmtId="0" fontId="180" fillId="8" borderId="2" xfId="15" applyFont="1" applyFill="1" applyBorder="1" applyAlignment="1">
      <alignment horizontal="center" vertical="center"/>
    </xf>
    <xf numFmtId="0" fontId="180" fillId="8" borderId="0" xfId="15" applyFont="1" applyFill="1" applyAlignment="1">
      <alignment horizontal="center" vertical="center"/>
    </xf>
    <xf numFmtId="0" fontId="158" fillId="8" borderId="2" xfId="15" applyFont="1" applyFill="1" applyBorder="1" applyAlignment="1">
      <alignment horizontal="center" vertical="center"/>
    </xf>
    <xf numFmtId="0" fontId="149" fillId="6" borderId="0" xfId="1" applyFill="1">
      <alignment vertical="center"/>
    </xf>
    <xf numFmtId="0" fontId="149" fillId="6" borderId="0" xfId="1" applyFont="1" applyFill="1" applyAlignment="1">
      <alignment horizontal="right" vertical="center"/>
    </xf>
    <xf numFmtId="0" fontId="149" fillId="6" borderId="0" xfId="1" applyFill="1" applyAlignment="1">
      <alignment horizontal="left" vertical="center"/>
    </xf>
    <xf numFmtId="0" fontId="149" fillId="6" borderId="0" xfId="1" applyFont="1" applyFill="1">
      <alignment vertical="center"/>
    </xf>
    <xf numFmtId="0" fontId="149" fillId="6" borderId="0" xfId="1" applyFill="1" applyAlignment="1">
      <alignment horizontal="center" vertical="center"/>
    </xf>
    <xf numFmtId="0" fontId="149" fillId="0" borderId="2" xfId="0" applyFont="1"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9" fillId="19" borderId="2" xfId="0" applyFont="1" applyFill="1" applyBorder="1" applyAlignment="1">
      <alignment horizontal="center" vertical="center" wrapText="1"/>
    </xf>
    <xf numFmtId="0" fontId="0" fillId="0" borderId="2" xfId="0" applyBorder="1">
      <alignment vertical="center"/>
    </xf>
    <xf numFmtId="0" fontId="149" fillId="0" borderId="0" xfId="0" applyFont="1" applyFill="1" applyBorder="1" applyAlignment="1">
      <alignment horizontal="center" vertical="center"/>
    </xf>
    <xf numFmtId="0" fontId="171" fillId="19" borderId="154" xfId="0" applyFont="1" applyFill="1" applyBorder="1" applyAlignment="1">
      <alignment horizontal="center" vertical="center"/>
    </xf>
    <xf numFmtId="0" fontId="177" fillId="19" borderId="35"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282" fillId="0" borderId="5" xfId="15" applyFont="1" applyBorder="1" applyAlignment="1">
      <alignment vertical="center"/>
    </xf>
    <xf numFmtId="0" fontId="282" fillId="0" borderId="8" xfId="15" applyFont="1" applyBorder="1" applyAlignment="1">
      <alignment vertical="center"/>
    </xf>
    <xf numFmtId="0" fontId="282" fillId="0" borderId="9" xfId="15" applyFont="1" applyBorder="1" applyAlignment="1">
      <alignment vertical="center"/>
    </xf>
    <xf numFmtId="180" fontId="153" fillId="0" borderId="0" xfId="0" applyNumberFormat="1" applyFont="1" applyAlignment="1">
      <alignment horizontal="center" vertical="center"/>
    </xf>
    <xf numFmtId="0" fontId="177" fillId="19" borderId="160" xfId="0" applyFont="1" applyFill="1" applyBorder="1" applyAlignment="1">
      <alignment horizontal="center" vertical="center" wrapText="1"/>
    </xf>
    <xf numFmtId="49" fontId="177" fillId="19" borderId="160" xfId="0" applyNumberFormat="1" applyFont="1" applyFill="1" applyBorder="1" applyAlignment="1">
      <alignment horizontal="center" vertical="center" wrapText="1"/>
    </xf>
    <xf numFmtId="0" fontId="177" fillId="19" borderId="26" xfId="0" applyFont="1" applyFill="1" applyBorder="1" applyAlignment="1">
      <alignment horizontal="center" vertical="center" wrapText="1"/>
    </xf>
    <xf numFmtId="0" fontId="171" fillId="0" borderId="87" xfId="0" applyFont="1" applyBorder="1" applyAlignment="1">
      <alignment horizontal="center" vertical="center"/>
    </xf>
    <xf numFmtId="0" fontId="171" fillId="18" borderId="64" xfId="0" applyFont="1" applyFill="1" applyBorder="1" applyAlignment="1">
      <alignment horizontal="center" vertical="center"/>
    </xf>
    <xf numFmtId="0" fontId="177" fillId="19" borderId="39" xfId="0" applyFont="1" applyFill="1" applyBorder="1" applyAlignment="1">
      <alignment horizontal="center" vertical="center" wrapText="1"/>
    </xf>
    <xf numFmtId="1" fontId="153" fillId="0" borderId="20" xfId="0" applyNumberFormat="1" applyFont="1" applyBorder="1" applyAlignment="1">
      <alignment horizontal="center" vertical="center"/>
    </xf>
    <xf numFmtId="0" fontId="153" fillId="18" borderId="9" xfId="0" applyFont="1" applyFill="1" applyBorder="1" applyAlignment="1">
      <alignment horizontal="center" vertical="center"/>
    </xf>
    <xf numFmtId="0" fontId="153" fillId="0" borderId="50" xfId="0" applyFont="1" applyBorder="1" applyAlignment="1">
      <alignment horizontal="center" vertical="center"/>
    </xf>
    <xf numFmtId="2" fontId="153" fillId="18" borderId="12" xfId="0" applyNumberFormat="1" applyFont="1" applyFill="1" applyBorder="1" applyAlignment="1">
      <alignment horizontal="center" vertical="center" wrapText="1"/>
    </xf>
    <xf numFmtId="2" fontId="153" fillId="0" borderId="51" xfId="0" applyNumberFormat="1" applyFont="1" applyBorder="1" applyAlignment="1">
      <alignment horizontal="center" vertical="center" wrapText="1"/>
    </xf>
    <xf numFmtId="0" fontId="153" fillId="0" borderId="21" xfId="0" applyFont="1" applyBorder="1" applyAlignment="1">
      <alignment horizontal="center" vertical="center" wrapText="1"/>
    </xf>
    <xf numFmtId="0" fontId="153" fillId="18" borderId="2" xfId="0" applyFont="1" applyFill="1" applyBorder="1" applyAlignment="1">
      <alignment horizontal="center" vertical="center" wrapText="1"/>
    </xf>
    <xf numFmtId="0" fontId="153" fillId="19" borderId="23" xfId="0" applyFont="1" applyFill="1" applyBorder="1" applyAlignment="1">
      <alignment horizontal="center" vertical="center"/>
    </xf>
    <xf numFmtId="0" fontId="153" fillId="19" borderId="55" xfId="0" applyFont="1" applyFill="1" applyBorder="1" applyAlignment="1">
      <alignment horizontal="center" vertical="center" wrapText="1"/>
    </xf>
    <xf numFmtId="49" fontId="153" fillId="19" borderId="55" xfId="0" applyNumberFormat="1" applyFont="1" applyFill="1" applyBorder="1" applyAlignment="1">
      <alignment horizontal="center" vertical="center"/>
    </xf>
    <xf numFmtId="0" fontId="153" fillId="19" borderId="55" xfId="0" applyFont="1" applyFill="1" applyBorder="1" applyAlignment="1">
      <alignment horizontal="center" vertical="center"/>
    </xf>
    <xf numFmtId="2" fontId="153" fillId="19" borderId="69" xfId="0" applyNumberFormat="1" applyFont="1" applyFill="1" applyBorder="1" applyAlignment="1">
      <alignment horizontal="center" vertical="center"/>
    </xf>
    <xf numFmtId="0" fontId="153" fillId="18" borderId="117" xfId="0" applyFont="1" applyFill="1" applyBorder="1" applyAlignment="1">
      <alignment horizontal="center" vertical="center"/>
    </xf>
    <xf numFmtId="0" fontId="153" fillId="18" borderId="71" xfId="0" applyFont="1" applyFill="1" applyBorder="1" applyAlignment="1">
      <alignment horizontal="center" vertical="center" wrapText="1"/>
    </xf>
    <xf numFmtId="49" fontId="153" fillId="18" borderId="71" xfId="0" applyNumberFormat="1" applyFont="1" applyFill="1" applyBorder="1" applyAlignment="1">
      <alignment horizontal="center" vertical="center"/>
    </xf>
    <xf numFmtId="0" fontId="153" fillId="18" borderId="71" xfId="0" applyFont="1" applyFill="1" applyBorder="1" applyAlignment="1">
      <alignment horizontal="center" vertical="center"/>
    </xf>
    <xf numFmtId="2" fontId="153" fillId="18" borderId="72" xfId="0" applyNumberFormat="1" applyFont="1" applyFill="1" applyBorder="1" applyAlignment="1">
      <alignment horizontal="center" vertical="center" wrapText="1"/>
    </xf>
    <xf numFmtId="177" fontId="295" fillId="8" borderId="2" xfId="1" applyNumberFormat="1" applyFont="1" applyFill="1" applyBorder="1" applyAlignment="1">
      <alignment horizontal="center" vertical="center" wrapText="1" readingOrder="1"/>
    </xf>
    <xf numFmtId="177" fontId="296" fillId="8" borderId="2" xfId="3" applyNumberFormat="1" applyFont="1" applyFill="1" applyBorder="1" applyAlignment="1">
      <alignment horizontal="center" vertical="center" wrapText="1" readingOrder="1"/>
    </xf>
    <xf numFmtId="0" fontId="294" fillId="8" borderId="2" xfId="1" applyFont="1" applyFill="1" applyBorder="1" applyAlignment="1">
      <alignment horizontal="center" vertical="center"/>
    </xf>
    <xf numFmtId="0" fontId="296" fillId="8" borderId="2" xfId="3" applyFont="1" applyFill="1" applyBorder="1" applyAlignment="1">
      <alignment horizontal="center" vertical="center" wrapText="1" readingOrder="1"/>
    </xf>
    <xf numFmtId="0" fontId="177" fillId="19" borderId="161" xfId="0" applyFont="1" applyFill="1" applyBorder="1" applyAlignment="1">
      <alignment horizontal="center" vertical="center" wrapText="1"/>
    </xf>
    <xf numFmtId="0" fontId="177" fillId="19" borderId="162" xfId="0" applyFont="1" applyFill="1" applyBorder="1" applyAlignment="1">
      <alignment horizontal="center" vertical="center" wrapText="1"/>
    </xf>
    <xf numFmtId="49" fontId="177" fillId="19" borderId="162" xfId="0" applyNumberFormat="1" applyFont="1" applyFill="1" applyBorder="1" applyAlignment="1">
      <alignment horizontal="center" vertical="center" wrapText="1"/>
    </xf>
    <xf numFmtId="0" fontId="177" fillId="19" borderId="163" xfId="0" applyFont="1" applyFill="1" applyBorder="1" applyAlignment="1">
      <alignment horizontal="center" vertical="center" wrapText="1"/>
    </xf>
    <xf numFmtId="0" fontId="153" fillId="0" borderId="44" xfId="0" applyFont="1" applyBorder="1" applyAlignment="1">
      <alignment horizontal="center" vertical="center" wrapText="1"/>
    </xf>
    <xf numFmtId="0" fontId="153" fillId="0" borderId="50" xfId="0" applyFont="1" applyBorder="1" applyAlignment="1">
      <alignment horizontal="center" vertical="center" wrapText="1"/>
    </xf>
    <xf numFmtId="49" fontId="153" fillId="0" borderId="21" xfId="0" applyNumberFormat="1" applyFont="1" applyBorder="1" applyAlignment="1">
      <alignment horizontal="center" vertical="center" wrapText="1"/>
    </xf>
    <xf numFmtId="0" fontId="153" fillId="0" borderId="51" xfId="0" applyFont="1" applyBorder="1" applyAlignment="1">
      <alignment horizontal="center" vertical="center" wrapText="1"/>
    </xf>
    <xf numFmtId="0" fontId="153" fillId="18" borderId="11" xfId="0" applyFont="1" applyFill="1" applyBorder="1" applyAlignment="1">
      <alignment horizontal="center" vertical="center" wrapText="1"/>
    </xf>
    <xf numFmtId="49" fontId="153" fillId="18" borderId="2" xfId="0" applyNumberFormat="1" applyFont="1" applyFill="1" applyBorder="1" applyAlignment="1">
      <alignment horizontal="center" vertical="center" wrapText="1"/>
    </xf>
    <xf numFmtId="0" fontId="153" fillId="18" borderId="12" xfId="0" applyFont="1" applyFill="1" applyBorder="1" applyAlignment="1">
      <alignment horizontal="center" vertical="center" wrapText="1"/>
    </xf>
    <xf numFmtId="0" fontId="153" fillId="0" borderId="43" xfId="0" applyFont="1" applyBorder="1" applyAlignment="1">
      <alignment horizontal="center" vertical="center" wrapText="1"/>
    </xf>
    <xf numFmtId="49" fontId="153" fillId="0" borderId="44" xfId="0" applyNumberFormat="1" applyFont="1" applyBorder="1" applyAlignment="1">
      <alignment horizontal="center" vertical="center" wrapText="1"/>
    </xf>
    <xf numFmtId="0" fontId="153" fillId="0" borderId="46" xfId="0" applyFont="1" applyBorder="1" applyAlignment="1">
      <alignment horizontal="center" vertical="center" wrapText="1"/>
    </xf>
    <xf numFmtId="0" fontId="297" fillId="0" borderId="66" xfId="0" applyFont="1" applyBorder="1" applyAlignment="1">
      <alignment horizontal="center" vertical="center" wrapText="1"/>
    </xf>
    <xf numFmtId="0" fontId="297" fillId="0" borderId="38" xfId="0" applyFont="1" applyBorder="1" applyAlignment="1">
      <alignment horizontal="center" vertical="center" wrapText="1"/>
    </xf>
    <xf numFmtId="14" fontId="180" fillId="0" borderId="80" xfId="0" applyNumberFormat="1" applyFont="1" applyBorder="1" applyAlignment="1">
      <alignment horizontal="center" vertical="center" wrapText="1"/>
    </xf>
    <xf numFmtId="0" fontId="199" fillId="0" borderId="66" xfId="0" applyFont="1" applyBorder="1" applyAlignment="1">
      <alignment horizontal="center" vertical="center" wrapText="1"/>
    </xf>
    <xf numFmtId="0" fontId="180" fillId="0" borderId="66" xfId="0" applyFont="1" applyBorder="1" applyAlignment="1">
      <alignment horizontal="center" vertical="center" wrapText="1"/>
    </xf>
    <xf numFmtId="0" fontId="180" fillId="0" borderId="44" xfId="0" applyFont="1" applyBorder="1" applyAlignment="1">
      <alignment horizontal="center" vertical="center" wrapText="1"/>
    </xf>
    <xf numFmtId="0" fontId="180" fillId="0" borderId="46" xfId="0" applyFont="1" applyBorder="1" applyAlignment="1">
      <alignment horizontal="center" vertical="center" wrapText="1"/>
    </xf>
    <xf numFmtId="0" fontId="180" fillId="0" borderId="21" xfId="0" applyFont="1" applyBorder="1" applyAlignment="1">
      <alignment horizontal="center" vertical="center" wrapText="1"/>
    </xf>
    <xf numFmtId="0" fontId="180" fillId="0" borderId="51" xfId="0" applyFont="1" applyBorder="1" applyAlignment="1">
      <alignment horizontal="center" vertical="center" wrapText="1"/>
    </xf>
    <xf numFmtId="0" fontId="180" fillId="0" borderId="20" xfId="0" applyFont="1" applyBorder="1" applyAlignment="1">
      <alignment horizontal="center" vertical="center" wrapText="1"/>
    </xf>
    <xf numFmtId="0" fontId="180" fillId="0" borderId="47" xfId="0" applyFont="1" applyBorder="1" applyAlignment="1">
      <alignment horizontal="center" vertical="center" wrapText="1"/>
    </xf>
    <xf numFmtId="0" fontId="199" fillId="0" borderId="77" xfId="0" applyFont="1" applyBorder="1" applyAlignment="1">
      <alignment horizontal="center" vertical="center" wrapText="1"/>
    </xf>
    <xf numFmtId="0" fontId="199" fillId="0" borderId="116" xfId="0" applyFont="1" applyBorder="1" applyAlignment="1">
      <alignment horizontal="center" vertical="center" wrapText="1"/>
    </xf>
    <xf numFmtId="0" fontId="297" fillId="5" borderId="47" xfId="0" applyFont="1" applyFill="1" applyBorder="1" applyAlignment="1">
      <alignment horizontal="center" vertical="center" wrapText="1"/>
    </xf>
    <xf numFmtId="0" fontId="297" fillId="5" borderId="44" xfId="0" applyFont="1" applyFill="1" applyBorder="1" applyAlignment="1">
      <alignment horizontal="center" vertical="center" wrapText="1"/>
    </xf>
    <xf numFmtId="0" fontId="297" fillId="5" borderId="46" xfId="0" applyFont="1" applyFill="1" applyBorder="1" applyAlignment="1">
      <alignment horizontal="center" vertical="center" wrapText="1"/>
    </xf>
    <xf numFmtId="0" fontId="153" fillId="0" borderId="21" xfId="0" applyNumberFormat="1" applyFont="1" applyBorder="1" applyAlignment="1">
      <alignment horizontal="center" vertical="center"/>
    </xf>
    <xf numFmtId="49" fontId="153" fillId="0" borderId="50" xfId="0" applyNumberFormat="1" applyFont="1" applyBorder="1" applyAlignment="1">
      <alignment horizontal="center" vertical="center"/>
    </xf>
    <xf numFmtId="0" fontId="171" fillId="0" borderId="21" xfId="0" applyFont="1" applyBorder="1" applyAlignment="1">
      <alignment horizontal="center" vertical="center" wrapText="1"/>
    </xf>
    <xf numFmtId="0" fontId="189" fillId="0" borderId="0" xfId="7" applyFont="1" applyAlignment="1" applyProtection="1">
      <alignment horizontal="left" vertical="top"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199" fillId="0" borderId="0" xfId="0" applyFont="1" applyAlignment="1">
      <alignment vertical="center" wrapText="1"/>
    </xf>
    <xf numFmtId="49" fontId="191" fillId="0" borderId="0" xfId="0" applyNumberFormat="1" applyFont="1" applyAlignment="1" applyProtection="1">
      <alignment vertical="center" wrapText="1"/>
      <protection locked="0"/>
    </xf>
    <xf numFmtId="0" fontId="199" fillId="0" borderId="0" xfId="0" applyFont="1" applyAlignment="1" applyProtection="1">
      <alignment vertical="center" wrapText="1"/>
    </xf>
    <xf numFmtId="0" fontId="191"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80" fontId="82" fillId="8" borderId="5" xfId="0" applyNumberFormat="1" applyFont="1" applyFill="1" applyBorder="1" applyAlignment="1" applyProtection="1">
      <alignment horizontal="center" vertical="center" wrapText="1"/>
      <protection locked="0"/>
    </xf>
    <xf numFmtId="180" fontId="82" fillId="8" borderId="8" xfId="0" applyNumberFormat="1" applyFont="1" applyFill="1" applyBorder="1" applyAlignment="1" applyProtection="1">
      <alignment horizontal="center" vertical="center" wrapText="1"/>
      <protection locked="0"/>
    </xf>
    <xf numFmtId="180"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9" fillId="5" borderId="61" xfId="0" applyFont="1" applyFill="1" applyBorder="1" applyAlignment="1" applyProtection="1">
      <alignment horizontal="center" vertical="center"/>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5" borderId="53" xfId="0" applyFont="1" applyFill="1" applyBorder="1" applyAlignment="1" applyProtection="1">
      <alignment horizontal="left" vertical="center" wrapText="1"/>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1"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 xfId="0" applyFont="1" applyFill="1" applyBorder="1" applyAlignment="1" applyProtection="1">
      <alignment horizontal="center" vertical="center" wrapText="1"/>
    </xf>
    <xf numFmtId="0" fontId="80" fillId="5" borderId="9"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43" xfId="0" applyFont="1" applyFill="1" applyBorder="1" applyAlignment="1" applyProtection="1">
      <alignment horizontal="center" vertical="center" wrapText="1"/>
      <protection locked="0"/>
    </xf>
    <xf numFmtId="0" fontId="271" fillId="0" borderId="46" xfId="0"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5" fontId="87" fillId="5" borderId="2" xfId="0" applyNumberFormat="1" applyFont="1" applyFill="1" applyBorder="1" applyAlignment="1" applyProtection="1">
      <alignment horizontal="center" vertical="center"/>
    </xf>
    <xf numFmtId="185" fontId="88" fillId="5" borderId="2" xfId="0" applyNumberFormat="1" applyFont="1" applyFill="1" applyBorder="1" applyAlignment="1" applyProtection="1">
      <alignment horizontal="center" vertical="center"/>
    </xf>
    <xf numFmtId="0" fontId="150" fillId="21" borderId="2" xfId="0" applyFont="1" applyFill="1" applyBorder="1" applyAlignment="1">
      <alignment horizontal="center" vertical="center"/>
    </xf>
    <xf numFmtId="0" fontId="149" fillId="0" borderId="2" xfId="0" applyFon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149" fillId="0" borderId="0" xfId="0" applyFont="1" applyAlignment="1">
      <alignment horizontal="center" vertical="center"/>
    </xf>
    <xf numFmtId="0" fontId="0" fillId="0" borderId="0" xfId="0" applyAlignment="1">
      <alignment horizontal="center" vertical="center"/>
    </xf>
    <xf numFmtId="0" fontId="297" fillId="0" borderId="35" xfId="0" applyFont="1" applyBorder="1" applyAlignment="1">
      <alignment horizontal="center" vertical="center" wrapText="1"/>
    </xf>
    <xf numFmtId="0" fontId="297" fillId="0" borderId="80" xfId="0" applyFont="1" applyBorder="1" applyAlignment="1">
      <alignment horizontal="center" vertical="center" wrapText="1"/>
    </xf>
    <xf numFmtId="0" fontId="297" fillId="0" borderId="36" xfId="0" applyFont="1" applyBorder="1" applyAlignment="1">
      <alignment horizontal="center" vertical="center" wrapText="1"/>
    </xf>
    <xf numFmtId="0" fontId="297" fillId="0" borderId="37" xfId="0" applyFont="1" applyBorder="1" applyAlignment="1">
      <alignment horizontal="center" vertical="center" wrapText="1"/>
    </xf>
    <xf numFmtId="0" fontId="297" fillId="0" borderId="38" xfId="0" applyFont="1" applyBorder="1" applyAlignment="1">
      <alignment horizontal="center" vertical="center" wrapText="1"/>
    </xf>
    <xf numFmtId="0" fontId="297" fillId="5" borderId="115" xfId="0" applyFont="1" applyFill="1" applyBorder="1" applyAlignment="1">
      <alignment horizontal="center" vertical="center" wrapText="1"/>
    </xf>
    <xf numFmtId="0" fontId="297" fillId="5" borderId="116" xfId="0" applyFont="1" applyFill="1" applyBorder="1" applyAlignment="1">
      <alignment horizontal="center" vertical="center" wrapText="1"/>
    </xf>
    <xf numFmtId="0" fontId="297" fillId="5" borderId="42" xfId="0" applyFont="1" applyFill="1" applyBorder="1" applyAlignment="1">
      <alignment horizontal="center" vertical="center" wrapText="1"/>
    </xf>
    <xf numFmtId="0" fontId="297" fillId="5" borderId="6" xfId="0" applyFont="1" applyFill="1" applyBorder="1" applyAlignment="1">
      <alignment horizontal="center" vertical="center" wrapText="1"/>
    </xf>
    <xf numFmtId="0" fontId="297" fillId="5" borderId="7" xfId="0" applyFont="1" applyFill="1" applyBorder="1" applyAlignment="1">
      <alignment horizontal="center" vertical="center" wrapText="1"/>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0" fillId="5" borderId="10" xfId="0" applyFont="1" applyFill="1" applyBorder="1" applyAlignment="1" applyProtection="1">
      <alignment vertical="center" wrapText="1"/>
    </xf>
    <xf numFmtId="0" fontId="280" fillId="5" borderId="3" xfId="0" applyFont="1" applyFill="1" applyBorder="1" applyAlignment="1" applyProtection="1">
      <alignment vertical="center" wrapText="1"/>
    </xf>
    <xf numFmtId="0" fontId="280" fillId="5" borderId="21" xfId="0"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131" fillId="0" borderId="2" xfId="0" applyFont="1" applyBorder="1" applyAlignment="1"/>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0"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49" fontId="293" fillId="0" borderId="11" xfId="0" applyNumberFormat="1" applyFont="1" applyFill="1" applyBorder="1" applyAlignment="1" applyProtection="1">
      <alignment horizontal="center" vertical="center" wrapText="1"/>
      <protection locked="0"/>
    </xf>
    <xf numFmtId="49" fontId="271" fillId="0" borderId="22" xfId="0" applyNumberFormat="1"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271" fillId="0" borderId="9" xfId="0" applyFont="1" applyFill="1" applyBorder="1" applyAlignment="1" applyProtection="1">
      <alignment horizontal="center" vertical="center" wrapText="1"/>
      <protection locked="0"/>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8"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xf numFmtId="0" fontId="290" fillId="9" borderId="10" xfId="3" applyFont="1" applyFill="1" applyBorder="1" applyAlignment="1">
      <alignment horizontal="center" vertical="center" wrapText="1" readingOrder="1"/>
    </xf>
    <xf numFmtId="0" fontId="290" fillId="9" borderId="21" xfId="3" applyFont="1" applyFill="1" applyBorder="1" applyAlignment="1">
      <alignment horizontal="center" vertical="center" wrapText="1" readingOrder="1"/>
    </xf>
    <xf numFmtId="0" fontId="290" fillId="3" borderId="10" xfId="3" applyFont="1" applyFill="1" applyBorder="1" applyAlignment="1">
      <alignment horizontal="center" vertical="center" wrapText="1" readingOrder="1"/>
    </xf>
    <xf numFmtId="0" fontId="149" fillId="3" borderId="21" xfId="1" applyFill="1" applyBorder="1" applyAlignment="1">
      <alignment horizontal="center" vertical="center"/>
    </xf>
    <xf numFmtId="0" fontId="290" fillId="3" borderId="21" xfId="3" applyFont="1" applyFill="1" applyBorder="1" applyAlignment="1">
      <alignment horizontal="center" vertical="center" wrapText="1" readingOrder="1"/>
    </xf>
    <xf numFmtId="177" fontId="290" fillId="3" borderId="17" xfId="3" applyNumberFormat="1" applyFont="1" applyFill="1" applyBorder="1" applyAlignment="1">
      <alignment horizontal="center" vertical="center" wrapText="1" readingOrder="1"/>
    </xf>
    <xf numFmtId="177" fontId="290" fillId="3" borderId="20" xfId="3" applyNumberFormat="1" applyFont="1" applyFill="1" applyBorder="1" applyAlignment="1">
      <alignment horizontal="center" vertical="center" wrapText="1" readingOrder="1"/>
    </xf>
    <xf numFmtId="177" fontId="290" fillId="3" borderId="10" xfId="3" applyNumberFormat="1" applyFont="1" applyFill="1" applyBorder="1" applyAlignment="1">
      <alignment horizontal="center" vertical="center" wrapText="1" readingOrder="1"/>
    </xf>
    <xf numFmtId="177" fontId="290" fillId="3" borderId="21" xfId="3" applyNumberFormat="1" applyFont="1" applyFill="1" applyBorder="1" applyAlignment="1">
      <alignment horizontal="center" vertical="center" wrapText="1" readingOrder="1"/>
    </xf>
    <xf numFmtId="0" fontId="290" fillId="6" borderId="5" xfId="3" applyFont="1" applyFill="1" applyBorder="1" applyAlignment="1">
      <alignment horizontal="center" vertical="center" wrapText="1" readingOrder="1"/>
    </xf>
    <xf numFmtId="0" fontId="290" fillId="6" borderId="8" xfId="3" applyFont="1" applyFill="1" applyBorder="1" applyAlignment="1">
      <alignment horizontal="center" vertical="center" wrapText="1" readingOrder="1"/>
    </xf>
    <xf numFmtId="0" fontId="290" fillId="6" borderId="9" xfId="3" applyFont="1" applyFill="1" applyBorder="1" applyAlignment="1">
      <alignment horizontal="center" vertical="center" wrapText="1" readingOrder="1"/>
    </xf>
    <xf numFmtId="0" fontId="290" fillId="3" borderId="2" xfId="3" applyFont="1" applyFill="1" applyBorder="1" applyAlignment="1">
      <alignment horizontal="center" vertical="center" wrapText="1" readingOrder="1"/>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180" fillId="0" borderId="2" xfId="15" applyFont="1" applyBorder="1" applyAlignment="1">
      <alignment horizontal="center" vertical="center"/>
    </xf>
    <xf numFmtId="0" fontId="287" fillId="0" borderId="0" xfId="19" applyFont="1" applyAlignment="1">
      <alignment horizontal="center" vertical="center" wrapText="1"/>
    </xf>
    <xf numFmtId="0" fontId="288" fillId="0" borderId="0" xfId="19" applyFont="1" applyAlignment="1">
      <alignment horizontal="center" vertical="center" wrapText="1"/>
    </xf>
    <xf numFmtId="177" fontId="47" fillId="0" borderId="0" xfId="19" applyNumberFormat="1" applyFont="1" applyAlignment="1">
      <alignment horizontal="center" vertical="center"/>
    </xf>
    <xf numFmtId="0" fontId="47" fillId="0" borderId="0" xfId="19" applyNumberFormat="1" applyFont="1" applyAlignment="1">
      <alignment horizontal="center" vertical="center"/>
    </xf>
    <xf numFmtId="0" fontId="131" fillId="8" borderId="2" xfId="19" applyFont="1" applyFill="1" applyBorder="1" applyAlignment="1">
      <alignment horizontal="center" vertical="center"/>
    </xf>
    <xf numFmtId="0" fontId="47" fillId="8" borderId="2" xfId="19" applyFont="1" applyFill="1" applyBorder="1" applyAlignment="1">
      <alignment horizontal="center" vertical="center"/>
    </xf>
    <xf numFmtId="0" fontId="131" fillId="8" borderId="2" xfId="20" applyFont="1" applyFill="1" applyBorder="1" applyAlignment="1">
      <alignment horizontal="center" vertical="center"/>
    </xf>
    <xf numFmtId="0" fontId="47" fillId="8" borderId="2" xfId="20" applyFont="1" applyFill="1" applyBorder="1" applyAlignment="1">
      <alignment horizontal="center" vertical="center"/>
    </xf>
    <xf numFmtId="0" fontId="131" fillId="8" borderId="10" xfId="20" applyFont="1" applyFill="1" applyBorder="1" applyAlignment="1">
      <alignment horizontal="center" vertical="center" wrapText="1"/>
    </xf>
    <xf numFmtId="0" fontId="131" fillId="8" borderId="21" xfId="20" applyFont="1" applyFill="1" applyBorder="1" applyAlignment="1">
      <alignment horizontal="center" vertical="center" wrapText="1"/>
    </xf>
    <xf numFmtId="0" fontId="131" fillId="8" borderId="2" xfId="19" applyFont="1" applyFill="1" applyBorder="1" applyAlignment="1">
      <alignment horizontal="center" vertical="center" wrapText="1"/>
    </xf>
    <xf numFmtId="0" fontId="131" fillId="0" borderId="2" xfId="19" applyFont="1" applyBorder="1" applyAlignment="1">
      <alignment horizontal="center" vertical="center" wrapText="1"/>
    </xf>
    <xf numFmtId="0" fontId="47" fillId="0" borderId="2" xfId="19" applyFont="1" applyBorder="1" applyAlignment="1">
      <alignment horizontal="center" vertical="center"/>
    </xf>
    <xf numFmtId="0" fontId="131" fillId="0" borderId="2" xfId="19" applyFont="1" applyBorder="1" applyAlignment="1">
      <alignment horizontal="center" vertical="center"/>
    </xf>
    <xf numFmtId="0" fontId="47" fillId="0" borderId="157" xfId="19" applyFont="1" applyBorder="1" applyAlignment="1">
      <alignment horizontal="center" vertical="center"/>
    </xf>
    <xf numFmtId="0" fontId="131" fillId="0" borderId="9" xfId="21" applyFont="1" applyBorder="1" applyAlignment="1">
      <alignment horizontal="center" vertical="center" wrapText="1"/>
    </xf>
    <xf numFmtId="0" fontId="47" fillId="0" borderId="2" xfId="21" applyFont="1" applyBorder="1" applyAlignment="1">
      <alignment horizontal="center" vertical="center" wrapText="1"/>
    </xf>
    <xf numFmtId="0" fontId="131" fillId="8" borderId="5" xfId="19" applyFont="1" applyFill="1" applyBorder="1" applyAlignment="1">
      <alignment horizontal="center" vertical="center"/>
    </xf>
    <xf numFmtId="0" fontId="131" fillId="8" borderId="9" xfId="19" applyFont="1" applyFill="1" applyBorder="1" applyAlignment="1">
      <alignment horizontal="center" vertical="center"/>
    </xf>
    <xf numFmtId="0" fontId="0" fillId="8" borderId="2" xfId="0" applyFill="1" applyBorder="1" applyAlignment="1">
      <alignment horizontal="center" vertical="center"/>
    </xf>
    <xf numFmtId="0" fontId="149" fillId="0" borderId="5" xfId="0" applyFont="1" applyBorder="1" applyAlignment="1">
      <alignment horizontal="center" vertical="center"/>
    </xf>
    <xf numFmtId="0" fontId="149" fillId="0" borderId="9" xfId="0" applyFont="1" applyBorder="1" applyAlignment="1">
      <alignment horizontal="center" vertical="center"/>
    </xf>
    <xf numFmtId="0" fontId="150" fillId="20" borderId="2" xfId="0" applyFont="1" applyFill="1" applyBorder="1" applyAlignment="1">
      <alignment horizontal="center" vertical="center"/>
    </xf>
    <xf numFmtId="0" fontId="177" fillId="19" borderId="35" xfId="0" applyFont="1" applyFill="1" applyBorder="1" applyAlignment="1">
      <alignment horizontal="center" vertical="center" wrapText="1"/>
    </xf>
    <xf numFmtId="0" fontId="177" fillId="19" borderId="156" xfId="0" applyFont="1" applyFill="1" applyBorder="1" applyAlignment="1">
      <alignment horizontal="center" vertical="center" wrapText="1"/>
    </xf>
    <xf numFmtId="0" fontId="283" fillId="19" borderId="35" xfId="0" applyFont="1" applyFill="1" applyBorder="1" applyAlignment="1">
      <alignment horizontal="center" vertical="center" wrapText="1"/>
    </xf>
    <xf numFmtId="0" fontId="172" fillId="6" borderId="37" xfId="0" applyFont="1" applyFill="1" applyBorder="1" applyAlignment="1">
      <alignment horizontal="center" vertical="center"/>
    </xf>
    <xf numFmtId="0" fontId="160" fillId="6" borderId="37" xfId="0" applyFont="1" applyFill="1" applyBorder="1" applyAlignment="1">
      <alignment horizontal="center" vertical="center"/>
    </xf>
    <xf numFmtId="0" fontId="172" fillId="6" borderId="0" xfId="0" applyFont="1" applyFill="1" applyAlignment="1">
      <alignment horizontal="center" vertical="center"/>
    </xf>
    <xf numFmtId="0" fontId="160" fillId="6" borderId="0" xfId="0" applyFont="1" applyFill="1" applyAlignment="1">
      <alignment horizontal="center" vertical="center"/>
    </xf>
    <xf numFmtId="49" fontId="177" fillId="19" borderId="35" xfId="0" applyNumberFormat="1" applyFont="1" applyFill="1" applyBorder="1" applyAlignment="1">
      <alignment horizontal="center" vertical="center" wrapText="1"/>
    </xf>
    <xf numFmtId="49" fontId="177" fillId="19" borderId="156" xfId="0" applyNumberFormat="1" applyFont="1" applyFill="1" applyBorder="1" applyAlignment="1">
      <alignment horizontal="center" vertical="center" wrapText="1"/>
    </xf>
    <xf numFmtId="0" fontId="171" fillId="0" borderId="11" xfId="0" applyFont="1" applyBorder="1" applyAlignment="1">
      <alignment horizontal="center" vertical="center"/>
    </xf>
    <xf numFmtId="0" fontId="149" fillId="0" borderId="2" xfId="0" applyFont="1" applyFill="1" applyBorder="1" applyAlignment="1">
      <alignment horizontal="center" vertical="center"/>
    </xf>
    <xf numFmtId="2" fontId="0" fillId="0" borderId="2" xfId="0" applyNumberFormat="1" applyBorder="1" applyAlignment="1">
      <alignment horizontal="center" vertical="center"/>
    </xf>
  </cellXfs>
  <cellStyles count="22">
    <cellStyle name="百分比 2" xfId="11"/>
    <cellStyle name="常规" xfId="0" builtinId="0"/>
    <cellStyle name="常规 10" xfId="17"/>
    <cellStyle name="常规 11"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165;&#27905;&#36710;&#36742;&#21378;%20&#32456;&#29256;&#27979;&#31639;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陈颖、土地估价师</v>
      </c>
      <c r="N4" s="2904" t="str">
        <f>'预评函-1'!A28</f>
        <v>——</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5" thickBot="1">
      <c r="A21" s="2924" t="s">
        <v>2677</v>
      </c>
      <c r="B21" s="2925" t="str">
        <f>'预评函-1'!A28</f>
        <v>——</v>
      </c>
    </row>
    <row r="22" spans="1:48" ht="15" thickTop="1">
      <c r="A22" s="2913" t="s">
        <v>2678</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8097</v>
      </c>
    </row>
    <row r="47" spans="1:2">
      <c r="A47" s="2902" t="s">
        <v>2727</v>
      </c>
      <c r="B47" s="2903">
        <f ca="1">'预评函-2'!Q5</f>
        <v>24388</v>
      </c>
    </row>
    <row r="48" spans="1:2">
      <c r="A48" s="2902" t="s">
        <v>2728</v>
      </c>
      <c r="B48" s="2903">
        <f ca="1">'预评函-2'!R5</f>
        <v>147484</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陈颖</v>
      </c>
    </row>
    <row r="70" spans="1:2">
      <c r="A70" s="2902" t="s">
        <v>2693</v>
      </c>
      <c r="B70" s="2909">
        <f ca="1">'预评函-3'!B20</f>
        <v>2004110096</v>
      </c>
    </row>
    <row r="71" spans="1:2">
      <c r="A71" s="2902" t="s">
        <v>2694</v>
      </c>
      <c r="B71" s="2903" t="str">
        <f>'预评函-3'!A21</f>
        <v>土地估价师</v>
      </c>
    </row>
    <row r="72" spans="1:2" s="2917" customFormat="1" ht="15" thickBot="1">
      <c r="A72" s="2924" t="s">
        <v>2694</v>
      </c>
      <c r="B72" s="2930">
        <f>'预评函-3'!B21</f>
        <v>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6" sqref="C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556" t="str">
        <f>IF(B10="北京市","北京市",C10)&amp;F10&amp;B16&amp;"国有建设用地使用权"&amp;B9&amp;"预评估"</f>
        <v>北京市海淀区西三旗建材城中路2号出让国有建设用地使用权市场价格预评估</v>
      </c>
      <c r="C1" s="3557"/>
      <c r="D1" s="3557"/>
      <c r="E1" s="3557"/>
      <c r="F1" s="3557"/>
      <c r="G1" s="3557"/>
      <c r="H1" s="3557"/>
      <c r="I1" s="3558"/>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3592</v>
      </c>
      <c r="C4" s="1845">
        <f ca="1">SUMIF(土地估价师,B4,估价师及机构信息!E3:E24)</f>
        <v>2004110096</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2980</v>
      </c>
      <c r="C8" s="1670"/>
      <c r="D8" s="3562"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t="s">
        <v>2981</v>
      </c>
      <c r="C9" s="1674"/>
      <c r="D9" s="3563"/>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1947</v>
      </c>
      <c r="C10" s="1675"/>
      <c r="D10" s="1666"/>
      <c r="E10" s="1676" t="s">
        <v>1948</v>
      </c>
      <c r="F10" s="1677" t="s">
        <v>3520</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559"/>
      <c r="C12" s="3560"/>
      <c r="D12" s="3561"/>
      <c r="E12" s="1698" t="s">
        <v>2063</v>
      </c>
      <c r="F12" s="3577" t="s">
        <v>2891</v>
      </c>
      <c r="G12" s="3578"/>
      <c r="H12" s="3578"/>
      <c r="I12" s="3579"/>
      <c r="J12" s="1693"/>
      <c r="K12" s="1773"/>
      <c r="L12" s="1722"/>
      <c r="M12" s="1722"/>
      <c r="N12" s="1693"/>
      <c r="O12" s="1694"/>
      <c r="P12" s="1693"/>
      <c r="Q12" s="1693"/>
      <c r="R12" s="1693"/>
      <c r="S12" s="1693"/>
      <c r="T12" s="1693"/>
      <c r="U12" s="1693"/>
    </row>
    <row r="13" spans="1:21">
      <c r="A13" s="1686" t="s">
        <v>2061</v>
      </c>
      <c r="B13" s="3559"/>
      <c r="C13" s="3560"/>
      <c r="D13" s="3561"/>
      <c r="E13" s="1698" t="s">
        <v>2063</v>
      </c>
      <c r="F13" s="3577" t="s">
        <v>2892</v>
      </c>
      <c r="G13" s="3578"/>
      <c r="H13" s="3578"/>
      <c r="I13" s="3579"/>
      <c r="J13" s="1693"/>
      <c r="K13" s="1773"/>
      <c r="L13" s="1722"/>
      <c r="M13" s="1722"/>
      <c r="N13" s="1693"/>
      <c r="O13" s="1694"/>
      <c r="P13" s="1693"/>
      <c r="Q13" s="1693"/>
      <c r="R13" s="1693"/>
      <c r="S13" s="1693"/>
      <c r="T13" s="1693"/>
      <c r="U13" s="1693"/>
    </row>
    <row r="14" spans="1:21">
      <c r="A14" s="1660" t="s">
        <v>2064</v>
      </c>
      <c r="B14" s="1698"/>
      <c r="C14" s="1844" t="s">
        <v>3006</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3009</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574"/>
      <c r="E20" s="3575"/>
      <c r="F20" s="3575"/>
      <c r="G20" s="3575"/>
      <c r="H20" s="3575"/>
      <c r="I20" s="3576"/>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564" t="s">
        <v>2000</v>
      </c>
      <c r="F21" s="3565"/>
      <c r="G21" s="3565"/>
      <c r="H21" s="3565"/>
      <c r="I21" s="3566"/>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564" t="s">
        <v>2893</v>
      </c>
      <c r="F22" s="3565"/>
      <c r="G22" s="3565"/>
      <c r="H22" s="3565"/>
      <c r="I22" s="3566"/>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567" t="s">
        <v>1968</v>
      </c>
      <c r="C24" s="3568"/>
      <c r="D24" s="3569" t="s">
        <v>1969</v>
      </c>
      <c r="E24" s="3570"/>
      <c r="F24" s="1707" t="s">
        <v>1970</v>
      </c>
      <c r="G24" s="1693"/>
      <c r="H24" s="1693"/>
      <c r="I24" s="1706"/>
      <c r="J24" s="1693"/>
      <c r="K24" s="3555"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55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55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582" t="s">
        <v>2003</v>
      </c>
      <c r="B31" s="1763" t="s">
        <v>2004</v>
      </c>
      <c r="C31" s="3580"/>
      <c r="D31" s="3581"/>
      <c r="E31" s="1693"/>
      <c r="F31" s="1693"/>
      <c r="G31" s="1693"/>
      <c r="H31" s="1693"/>
      <c r="I31" s="1706"/>
      <c r="J31" s="1693"/>
      <c r="K31" s="2482"/>
      <c r="L31" s="1693"/>
      <c r="M31" s="1693"/>
      <c r="N31" s="1693"/>
      <c r="O31" s="1693"/>
      <c r="P31" s="1693"/>
      <c r="Q31" s="1693"/>
      <c r="R31" s="1693"/>
      <c r="S31" s="1693"/>
      <c r="T31" s="1693"/>
      <c r="U31" s="1693"/>
    </row>
    <row r="32" spans="1:21">
      <c r="A32" s="3582"/>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82"/>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83"/>
      <c r="B34" s="1660" t="s">
        <v>2007</v>
      </c>
      <c r="C34" s="3584"/>
      <c r="D34" s="3585"/>
      <c r="E34" s="1693"/>
      <c r="F34" s="1693"/>
      <c r="G34" s="1693"/>
      <c r="H34" s="1693"/>
      <c r="I34" s="1706"/>
      <c r="J34" s="1693"/>
      <c r="K34" s="2482"/>
      <c r="L34" s="1693"/>
      <c r="M34" s="1693"/>
      <c r="N34" s="1693"/>
      <c r="O34" s="1693"/>
      <c r="P34" s="1693"/>
      <c r="Q34" s="1693"/>
      <c r="R34" s="1693"/>
      <c r="S34" s="1693"/>
      <c r="T34" s="1693"/>
      <c r="U34" s="1693"/>
    </row>
    <row r="35" spans="1:21">
      <c r="A35" s="3586" t="s">
        <v>846</v>
      </c>
      <c r="B35" s="1721"/>
      <c r="C35" s="1775" t="str">
        <f>IF(B35="场地平整","——","具体情况：")</f>
        <v>具体情况：</v>
      </c>
      <c r="D35" s="3588"/>
      <c r="E35" s="3589"/>
      <c r="F35" s="3589"/>
      <c r="G35" s="3589"/>
      <c r="H35" s="3589"/>
      <c r="I35" s="3590"/>
      <c r="J35" s="1693"/>
      <c r="K35" s="1774"/>
      <c r="L35" s="1722"/>
      <c r="M35" s="1722"/>
      <c r="N35" s="1693"/>
      <c r="O35" s="1694"/>
      <c r="P35" s="1693"/>
      <c r="Q35" s="1693"/>
      <c r="R35" s="1693"/>
      <c r="S35" s="1693"/>
      <c r="T35" s="1693"/>
      <c r="U35" s="1693"/>
    </row>
    <row r="36" spans="1:21">
      <c r="A36" s="3582"/>
      <c r="B36" s="3591" t="s">
        <v>2056</v>
      </c>
      <c r="C36" s="3592"/>
      <c r="D36" s="1791"/>
      <c r="E36" s="3593"/>
      <c r="F36" s="3593"/>
      <c r="G36" s="1686" t="str">
        <f>IF(B35="场地未平整","估价结果处理","")</f>
        <v/>
      </c>
      <c r="H36" s="3594"/>
      <c r="I36" s="3594"/>
      <c r="J36" s="1693"/>
      <c r="K36" s="1774"/>
      <c r="L36" s="1722"/>
      <c r="M36" s="1722"/>
      <c r="N36" s="1693"/>
      <c r="O36" s="1694"/>
      <c r="P36" s="1693"/>
      <c r="Q36" s="1693"/>
      <c r="R36" s="1693"/>
      <c r="S36" s="1693"/>
      <c r="T36" s="1693"/>
      <c r="U36" s="1693"/>
    </row>
    <row r="37" spans="1:21" ht="28.5">
      <c r="A37" s="3582"/>
      <c r="B37" s="357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582"/>
      <c r="B38" s="3572"/>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583"/>
      <c r="B39" s="357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554" t="s">
        <v>1987</v>
      </c>
      <c r="T40" s="1730" t="str">
        <f>NUMBERSTRING(7-K40,1)&amp;"通"</f>
        <v>七通</v>
      </c>
      <c r="U40" s="1693"/>
    </row>
    <row r="41" spans="1:21">
      <c r="A41" s="1662"/>
      <c r="B41" s="3587" t="s">
        <v>1721</v>
      </c>
      <c r="C41" s="3587"/>
      <c r="D41" s="3587"/>
      <c r="E41" s="358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54"/>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0"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2989</v>
      </c>
      <c r="J9" s="51"/>
      <c r="K9" s="3042" t="s">
        <v>2989</v>
      </c>
      <c r="L9" s="51"/>
      <c r="M9" s="3042" t="s">
        <v>2989</v>
      </c>
      <c r="N9" s="51"/>
      <c r="O9" s="59" t="s">
        <v>2989</v>
      </c>
      <c r="P9" s="51"/>
      <c r="Q9" s="59" t="s">
        <v>2989</v>
      </c>
      <c r="R9" s="51"/>
      <c r="S9" s="59" t="s">
        <v>2989</v>
      </c>
      <c r="T9" s="51"/>
      <c r="U9" s="59" t="s">
        <v>2995</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2982</v>
      </c>
      <c r="J11" s="71"/>
      <c r="K11" s="3043" t="s">
        <v>2990</v>
      </c>
      <c r="L11" s="71"/>
      <c r="M11" s="70" t="s">
        <v>2991</v>
      </c>
      <c r="N11" s="71"/>
      <c r="O11" s="70" t="s">
        <v>2992</v>
      </c>
      <c r="P11" s="71"/>
      <c r="Q11" s="70" t="s">
        <v>2993</v>
      </c>
      <c r="R11" s="71"/>
      <c r="S11" s="70" t="s">
        <v>2994</v>
      </c>
      <c r="T11" s="71"/>
      <c r="U11" s="70" t="s">
        <v>2996</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606" t="s">
        <v>202</v>
      </c>
      <c r="B2" s="3606"/>
      <c r="C2" s="3606"/>
      <c r="D2" s="1975" t="s">
        <v>203</v>
      </c>
      <c r="E2" s="106" t="s">
        <v>204</v>
      </c>
      <c r="F2" s="1984"/>
      <c r="G2" s="1198"/>
      <c r="H2" s="1199"/>
      <c r="I2" s="1200" t="s">
        <v>856</v>
      </c>
      <c r="J2" s="1984"/>
      <c r="K2" s="1984"/>
      <c r="L2" s="1984"/>
    </row>
    <row r="3" spans="1:16" ht="15.75" thickBot="1">
      <c r="A3" s="3607" t="s">
        <v>205</v>
      </c>
      <c r="B3" s="3607"/>
      <c r="C3" s="3607"/>
      <c r="D3" s="107">
        <f>'数据-基础表'!AY6</f>
        <v>182153.37</v>
      </c>
      <c r="E3" s="107">
        <f>'数据-基础表'!AZ5</f>
        <v>60473.499999999985</v>
      </c>
      <c r="F3" s="1984"/>
      <c r="G3" s="280" t="s">
        <v>857</v>
      </c>
      <c r="H3" s="275" t="s">
        <v>858</v>
      </c>
      <c r="I3" s="1976">
        <f>ROUND('数据-基础表'!B3/'数据-基础表'!A3,2)</f>
        <v>0.33</v>
      </c>
      <c r="J3" s="1984"/>
      <c r="K3" s="1984"/>
      <c r="L3" s="1984"/>
    </row>
    <row r="4" spans="1:16" ht="15">
      <c r="A4" s="3608"/>
      <c r="B4" s="3609"/>
      <c r="C4" s="3610"/>
      <c r="D4" s="108" t="s">
        <v>203</v>
      </c>
      <c r="E4" s="109" t="s">
        <v>204</v>
      </c>
      <c r="F4" s="1984"/>
      <c r="G4" s="1201"/>
      <c r="H4" s="275" t="s">
        <v>859</v>
      </c>
      <c r="I4" s="1976">
        <f>ROUND(SUMIF('数据-基础表'!I9:AS9,"地上",'数据-基础表'!I5:AS5)/'数据-基础表'!A3,2)</f>
        <v>0.33</v>
      </c>
      <c r="J4" s="1984"/>
      <c r="K4" s="1984"/>
      <c r="L4" s="1984"/>
    </row>
    <row r="5" spans="1:16">
      <c r="A5" s="110" t="s">
        <v>206</v>
      </c>
      <c r="B5" s="3611" t="s">
        <v>229</v>
      </c>
      <c r="C5" s="3611"/>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611" t="s">
        <v>207</v>
      </c>
      <c r="C6" s="3611"/>
      <c r="D6" s="111">
        <f>ROUND($D$3*E6/$E$3,2)</f>
        <v>169800.67</v>
      </c>
      <c r="E6" s="112">
        <f>E3-E5</f>
        <v>56372.499999999985</v>
      </c>
      <c r="F6" s="1984"/>
      <c r="G6" s="1201"/>
      <c r="H6" s="275" t="s">
        <v>859</v>
      </c>
      <c r="I6" s="1976">
        <f>ROUND(F31/D31,2)</f>
        <v>0.33</v>
      </c>
      <c r="J6" s="1984"/>
      <c r="K6" s="1984"/>
      <c r="L6" s="1984"/>
    </row>
    <row r="7" spans="1:16" ht="15">
      <c r="A7" s="3603"/>
      <c r="B7" s="3604"/>
      <c r="C7" s="3605"/>
      <c r="D7" s="108" t="s">
        <v>203</v>
      </c>
      <c r="E7" s="114" t="s">
        <v>230</v>
      </c>
      <c r="F7" s="1984"/>
      <c r="G7" s="1156" t="s">
        <v>1645</v>
      </c>
      <c r="H7" s="1157"/>
      <c r="I7" s="1846">
        <v>1</v>
      </c>
      <c r="J7" s="1984"/>
      <c r="K7" s="1984"/>
      <c r="L7" s="1984"/>
    </row>
    <row r="8" spans="1:16">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178806.6</v>
      </c>
      <c r="E16" s="120">
        <f>SUM(E8:E15)</f>
        <v>59362.400000000001</v>
      </c>
      <c r="F16" s="1984"/>
      <c r="G16" s="1986"/>
      <c r="H16" s="968" t="s">
        <v>218</v>
      </c>
      <c r="I16" s="969"/>
      <c r="J16" s="1984"/>
      <c r="K16" s="3597" t="s">
        <v>2569</v>
      </c>
      <c r="L16" s="3598"/>
      <c r="M16" s="3598"/>
      <c r="N16" s="3598"/>
      <c r="O16" s="3598"/>
      <c r="P16" s="3599"/>
    </row>
    <row r="17" spans="1:19" ht="15">
      <c r="A17" s="121" t="s">
        <v>215</v>
      </c>
      <c r="B17" s="122" t="s">
        <v>216</v>
      </c>
      <c r="C17" s="2298" t="s">
        <v>2315</v>
      </c>
      <c r="D17" s="108" t="s">
        <v>203</v>
      </c>
      <c r="E17" s="124" t="s">
        <v>204</v>
      </c>
      <c r="F17" s="125"/>
      <c r="G17" s="1365"/>
      <c r="H17" s="970" t="s">
        <v>217</v>
      </c>
      <c r="I17" s="971" t="s">
        <v>2314</v>
      </c>
      <c r="J17" s="1984"/>
      <c r="K17" s="3600" t="s">
        <v>2570</v>
      </c>
      <c r="L17" s="3601"/>
      <c r="M17" s="3602"/>
      <c r="N17" s="3600" t="s">
        <v>2571</v>
      </c>
      <c r="O17" s="3601"/>
      <c r="P17" s="3602"/>
      <c r="R17" s="2299" t="s">
        <v>2313</v>
      </c>
      <c r="S17" s="144"/>
    </row>
    <row r="18" spans="1:19" ht="15">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c r="A19" s="133"/>
      <c r="B19" s="115" t="s">
        <v>224</v>
      </c>
      <c r="C19" s="3048" t="s">
        <v>2997</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c r="A20" s="138"/>
      <c r="B20" s="115" t="s">
        <v>225</v>
      </c>
      <c r="C20" s="3048" t="s">
        <v>2998</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c r="A21" s="138"/>
      <c r="B21" s="115" t="s">
        <v>225</v>
      </c>
      <c r="C21" s="3048" t="s">
        <v>2999</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c r="A22" s="138"/>
      <c r="B22" s="115" t="s">
        <v>225</v>
      </c>
      <c r="C22" s="3184" t="s">
        <v>3000</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c r="A23" s="138"/>
      <c r="B23" s="115" t="s">
        <v>225</v>
      </c>
      <c r="C23" s="139" t="s">
        <v>3001</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c r="A24" s="138"/>
      <c r="B24" s="115" t="s">
        <v>225</v>
      </c>
      <c r="C24" s="139" t="s">
        <v>3002</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c r="A25" s="138"/>
      <c r="B25" s="115" t="s">
        <v>225</v>
      </c>
      <c r="C25" s="3184" t="s">
        <v>3003</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3008</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3011</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3019</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3020</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3021</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3022</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3023</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1409</v>
      </c>
      <c r="C53" s="3100" t="s">
        <v>2906</v>
      </c>
      <c r="D53" s="3101"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2908</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2909</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2910</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2911</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2912</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2913</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7"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12" t="s">
        <v>1663</v>
      </c>
      <c r="B1" s="3613"/>
      <c r="C1" s="3613"/>
      <c r="D1" s="3613"/>
      <c r="E1" s="3613"/>
      <c r="F1" s="3613"/>
      <c r="G1" s="3613"/>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5" t="s">
        <v>2922</v>
      </c>
      <c r="D3" s="2009"/>
      <c r="E3" s="1229" t="s">
        <v>1666</v>
      </c>
      <c r="F3" s="1230" t="s">
        <v>1654</v>
      </c>
      <c r="G3" s="3413" t="s">
        <v>3476</v>
      </c>
      <c r="H3" s="2008"/>
      <c r="I3" s="2008"/>
      <c r="J3" s="2008"/>
      <c r="K3" s="2008"/>
      <c r="L3" s="2008"/>
      <c r="M3" s="2008"/>
      <c r="N3" s="2008"/>
      <c r="O3" s="2008"/>
      <c r="P3" s="2008"/>
      <c r="Q3" s="2008"/>
      <c r="R3" s="2008"/>
    </row>
    <row r="4" spans="1:18" ht="41.25">
      <c r="A4" s="1229"/>
      <c r="B4" s="1231" t="s">
        <v>1667</v>
      </c>
      <c r="C4" s="3106" t="s">
        <v>2923</v>
      </c>
      <c r="D4" s="2009"/>
      <c r="E4" s="1232"/>
      <c r="F4" s="1233" t="s">
        <v>1668</v>
      </c>
      <c r="G4" s="3107" t="s">
        <v>2920</v>
      </c>
      <c r="H4" s="2008"/>
      <c r="I4" s="2008"/>
      <c r="J4" s="2008"/>
      <c r="K4" s="2008"/>
      <c r="L4" s="2008"/>
      <c r="M4" s="2008"/>
      <c r="N4" s="2008"/>
      <c r="O4" s="2008"/>
      <c r="P4" s="2008"/>
      <c r="Q4" s="2008"/>
      <c r="R4" s="2008"/>
    </row>
    <row r="5" spans="1:18" ht="41.25">
      <c r="A5" s="1229"/>
      <c r="B5" s="1231" t="s">
        <v>1669</v>
      </c>
      <c r="C5" s="3106" t="s">
        <v>2924</v>
      </c>
      <c r="D5" s="2009"/>
      <c r="E5" s="1232"/>
      <c r="F5" s="1231" t="s">
        <v>2549</v>
      </c>
      <c r="G5" s="3414" t="s">
        <v>3477</v>
      </c>
      <c r="H5" s="2008"/>
      <c r="I5" s="2008"/>
      <c r="J5" s="2008"/>
      <c r="K5" s="2008"/>
      <c r="L5" s="2008"/>
      <c r="M5" s="2008"/>
      <c r="N5" s="2008"/>
      <c r="O5" s="2008"/>
      <c r="P5" s="2008"/>
      <c r="Q5" s="2008"/>
      <c r="R5" s="2008"/>
    </row>
    <row r="6" spans="1:18" ht="39.75" customHeight="1">
      <c r="A6" s="1229"/>
      <c r="B6" s="1231" t="s">
        <v>1655</v>
      </c>
      <c r="C6" s="3107" t="s">
        <v>2920</v>
      </c>
      <c r="D6" s="2009"/>
      <c r="E6" s="1232"/>
      <c r="F6" s="1231" t="s">
        <v>2550</v>
      </c>
      <c r="G6" s="3414" t="s">
        <v>3479</v>
      </c>
      <c r="H6" s="2008"/>
      <c r="I6" s="2008"/>
      <c r="J6" s="2008"/>
      <c r="K6" s="2008"/>
      <c r="L6" s="2008"/>
      <c r="M6" s="2008"/>
      <c r="N6" s="2008"/>
      <c r="O6" s="2008"/>
      <c r="P6" s="2008"/>
      <c r="Q6" s="2008"/>
      <c r="R6" s="2008"/>
    </row>
    <row r="7" spans="1:18" ht="41.25" thickBot="1">
      <c r="A7" s="1229"/>
      <c r="B7" s="1231" t="s">
        <v>2549</v>
      </c>
      <c r="C7" s="3107" t="s">
        <v>2921</v>
      </c>
      <c r="D7" s="2010"/>
      <c r="E7" s="1234"/>
      <c r="F7" s="1235" t="s">
        <v>1670</v>
      </c>
      <c r="G7" s="3415" t="s">
        <v>3480</v>
      </c>
      <c r="H7" s="2008"/>
      <c r="I7" s="2008"/>
      <c r="J7" s="2008"/>
      <c r="K7" s="2008"/>
      <c r="L7" s="2008"/>
      <c r="M7" s="2008"/>
      <c r="N7" s="2008"/>
      <c r="O7" s="2008"/>
      <c r="P7" s="2008"/>
      <c r="Q7" s="2008"/>
      <c r="R7" s="2008"/>
    </row>
    <row r="8" spans="1:18" ht="27">
      <c r="A8" s="1229"/>
      <c r="B8" s="1231" t="s">
        <v>2550</v>
      </c>
      <c r="C8" s="3107" t="s">
        <v>2918</v>
      </c>
      <c r="D8" s="2010"/>
      <c r="E8" s="2010"/>
      <c r="F8" s="1553"/>
      <c r="G8" s="1553"/>
      <c r="H8" s="2008"/>
      <c r="I8" s="2008"/>
      <c r="J8" s="2008"/>
      <c r="K8" s="2008"/>
      <c r="L8" s="2008"/>
      <c r="M8" s="2008"/>
      <c r="N8" s="2008"/>
      <c r="O8" s="2008"/>
      <c r="P8" s="2008"/>
      <c r="Q8" s="2008"/>
      <c r="R8" s="2008"/>
    </row>
    <row r="9" spans="1:18" ht="40.5">
      <c r="A9" s="1229"/>
      <c r="B9" s="1231" t="s">
        <v>1656</v>
      </c>
      <c r="C9" s="3106"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7">
      <c r="A19" s="2613"/>
      <c r="B19" s="1247" t="s">
        <v>1659</v>
      </c>
      <c r="C19" s="2818"/>
      <c r="D19" s="2009"/>
      <c r="E19" s="2610"/>
      <c r="F19" s="1231" t="s">
        <v>2549</v>
      </c>
      <c r="G19" s="1005" t="str">
        <f>G5</f>
        <v>估价对象所在区域公共配套设施齐备情况好</v>
      </c>
    </row>
    <row r="20" spans="1:7" ht="40.5">
      <c r="A20" s="2613"/>
      <c r="B20" s="1247" t="s">
        <v>1660</v>
      </c>
      <c r="C20" s="1246" t="str">
        <f>C9</f>
        <v>区域自然环境：；人文环境；综合评价环境状况一般</v>
      </c>
      <c r="D20" s="2010"/>
      <c r="E20" s="2610"/>
      <c r="F20" s="1231" t="s">
        <v>2550</v>
      </c>
      <c r="G20" s="1005" t="str">
        <f>G6</f>
        <v>七通</v>
      </c>
    </row>
    <row r="21" spans="1:7" ht="27">
      <c r="A21" s="2613"/>
      <c r="B21" s="1231" t="s">
        <v>2549</v>
      </c>
      <c r="C21" s="1005" t="str">
        <f>C7</f>
        <v>估价对象所在区域公共配套设施齐备情况</v>
      </c>
      <c r="D21" s="2009"/>
      <c r="E21" s="2610"/>
      <c r="F21" s="1247" t="s">
        <v>1661</v>
      </c>
      <c r="G21" s="3109" t="s">
        <v>3486</v>
      </c>
    </row>
    <row r="22" spans="1:7" ht="27">
      <c r="A22" s="2613"/>
      <c r="B22" s="1231" t="s">
        <v>2550</v>
      </c>
      <c r="C22" s="1005" t="str">
        <f>C8</f>
        <v>估价对象所在区域基础设施水平</v>
      </c>
      <c r="D22" s="2009"/>
      <c r="E22" s="2610"/>
      <c r="F22" s="1247" t="s">
        <v>1671</v>
      </c>
      <c r="G22" s="3419" t="s">
        <v>3487</v>
      </c>
    </row>
    <row r="23" spans="1:7" ht="15" thickBot="1">
      <c r="A23" s="2613"/>
      <c r="B23" s="1247" t="s">
        <v>1661</v>
      </c>
      <c r="C23" s="3109"/>
      <c r="E23" s="2611"/>
      <c r="F23" s="1248" t="s">
        <v>1675</v>
      </c>
      <c r="G23" s="3420" t="s">
        <v>3488</v>
      </c>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25" defaultRowHeight="13.5"/>
  <cols>
    <col min="1" max="1" width="24.375" customWidth="1"/>
  </cols>
  <sheetData>
    <row r="1" spans="1:9" ht="16.5">
      <c r="A1" s="3069" t="s">
        <v>2845</v>
      </c>
      <c r="B1" s="3069">
        <f>SUM(B14:B23)</f>
        <v>60473.499999999985</v>
      </c>
      <c r="C1" s="3070"/>
      <c r="D1" s="3070"/>
      <c r="E1" s="3070"/>
      <c r="F1" s="3070"/>
    </row>
    <row r="2" spans="1:9" ht="16.5">
      <c r="A2" s="3069" t="s">
        <v>2846</v>
      </c>
      <c r="B2" s="3069">
        <f>SUM(C14:C23)</f>
        <v>182153.37</v>
      </c>
      <c r="C2" s="3070"/>
      <c r="D2" s="3070"/>
      <c r="E2" s="3070"/>
      <c r="F2" s="3070"/>
    </row>
    <row r="3" spans="1:9" ht="16.5">
      <c r="A3" s="3069" t="s">
        <v>2847</v>
      </c>
      <c r="B3" s="3071">
        <f>项目基本情况!D3</f>
        <v>43251</v>
      </c>
      <c r="C3" s="3070"/>
      <c r="D3" s="3070"/>
      <c r="E3" s="3070"/>
      <c r="F3" s="3070"/>
    </row>
    <row r="4" spans="1:9" ht="33">
      <c r="A4" s="3069" t="s">
        <v>2848</v>
      </c>
      <c r="B4" s="3069" t="s">
        <v>2849</v>
      </c>
      <c r="C4" s="3069" t="s">
        <v>2850</v>
      </c>
      <c r="D4" s="3069" t="s">
        <v>2851</v>
      </c>
      <c r="E4" s="3070"/>
      <c r="F4" s="3070"/>
    </row>
    <row r="5" spans="1:9" ht="16.5">
      <c r="A5" s="3069" t="s">
        <v>2852</v>
      </c>
      <c r="B5" s="3069">
        <f ca="1">SUM(D14:D23)</f>
        <v>147484</v>
      </c>
      <c r="C5" s="3069">
        <f ca="1">ROUND(B5*10000/$B$1,0)</f>
        <v>24388</v>
      </c>
      <c r="D5" s="3069">
        <f ca="1">ROUND(B5*10000/$B$2,0)</f>
        <v>8097</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60473.499999999985</v>
      </c>
      <c r="C14" s="3073">
        <f>结果表!K38</f>
        <v>182153.37</v>
      </c>
      <c r="D14" s="3073">
        <f ca="1">结果表!C42</f>
        <v>147484</v>
      </c>
      <c r="E14" s="3073">
        <f ca="1">ROUND(D14*10000/B14,0)</f>
        <v>24388</v>
      </c>
      <c r="F14" s="3073">
        <f ca="1">ROUND(D14*10000/C14,0)</f>
        <v>8097</v>
      </c>
      <c r="G14" s="3073" t="str">
        <f>结果表!C44</f>
        <v>——</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659" t="str">
        <f>项目基本情况!K2</f>
        <v>北京市海淀区西三旗建材城中路2号出让国有建设用地使用权</v>
      </c>
      <c r="B2" s="3660"/>
      <c r="C2" s="3661"/>
      <c r="D2" s="3661"/>
      <c r="E2" s="3661"/>
      <c r="F2" s="3661"/>
      <c r="G2" s="3660"/>
      <c r="H2" s="3660"/>
      <c r="I2" s="3662"/>
      <c r="J2" s="2030"/>
      <c r="K2" s="2029"/>
      <c r="L2" s="2029"/>
      <c r="M2" s="2029"/>
      <c r="N2" s="2029"/>
      <c r="O2" s="2029"/>
      <c r="P2" s="2029"/>
      <c r="Q2" s="2029"/>
      <c r="R2" s="2029"/>
      <c r="S2" s="2029"/>
      <c r="T2" s="2029"/>
      <c r="U2" s="2029"/>
      <c r="V2" s="2029"/>
    </row>
    <row r="3" spans="1:22" ht="14.25">
      <c r="A3" s="3670" t="s">
        <v>297</v>
      </c>
      <c r="B3" s="3671"/>
      <c r="C3" s="3671"/>
      <c r="D3" s="3671"/>
      <c r="E3" s="3671"/>
      <c r="F3" s="3671"/>
      <c r="G3" s="3671"/>
      <c r="H3" s="3671"/>
      <c r="I3" s="3671"/>
      <c r="J3" s="2030"/>
      <c r="K3" s="2029"/>
      <c r="L3" s="2029"/>
      <c r="M3" s="2029"/>
      <c r="N3" s="2029"/>
      <c r="O3" s="2029"/>
      <c r="P3" s="2029"/>
      <c r="Q3" s="2029"/>
      <c r="R3" s="2029"/>
      <c r="S3" s="2029"/>
      <c r="T3" s="2029"/>
      <c r="U3" s="2029"/>
      <c r="V3" s="2029"/>
    </row>
    <row r="4" spans="1:22" ht="14.25">
      <c r="A4" s="258" t="s">
        <v>298</v>
      </c>
      <c r="B4" s="259" t="s">
        <v>299</v>
      </c>
      <c r="C4" s="260" t="s">
        <v>2953</v>
      </c>
      <c r="D4" s="260" t="s">
        <v>3184</v>
      </c>
      <c r="E4" s="3634" t="s">
        <v>300</v>
      </c>
      <c r="F4" s="3676"/>
      <c r="G4" s="3676"/>
      <c r="H4" s="3676"/>
      <c r="I4" s="3635"/>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663" t="s">
        <v>301</v>
      </c>
      <c r="B5" s="3664">
        <v>25</v>
      </c>
      <c r="C5" s="3672">
        <v>3</v>
      </c>
      <c r="D5" s="3675">
        <f>10-C5</f>
        <v>7</v>
      </c>
      <c r="E5" s="261" t="s">
        <v>302</v>
      </c>
      <c r="F5" s="262"/>
      <c r="G5" s="262"/>
      <c r="H5" s="262"/>
      <c r="I5" s="263"/>
      <c r="J5" s="2030"/>
      <c r="K5" s="2029"/>
      <c r="L5" s="2029"/>
      <c r="M5" s="2029"/>
      <c r="N5" s="2029"/>
      <c r="O5" s="2029"/>
      <c r="P5" s="2029"/>
      <c r="Q5" s="2029"/>
      <c r="R5" s="2029"/>
      <c r="S5" s="2029"/>
      <c r="T5" s="2029"/>
      <c r="U5" s="2029"/>
      <c r="V5" s="2029"/>
    </row>
    <row r="6" spans="1:22" ht="14.25">
      <c r="A6" s="3663"/>
      <c r="B6" s="3664"/>
      <c r="C6" s="3673"/>
      <c r="D6" s="3675"/>
      <c r="E6" s="261" t="s">
        <v>303</v>
      </c>
      <c r="F6" s="262"/>
      <c r="G6" s="262"/>
      <c r="H6" s="262"/>
      <c r="I6" s="263"/>
      <c r="J6" s="2030"/>
      <c r="K6" s="2029"/>
      <c r="L6" s="2029"/>
      <c r="M6" s="2029"/>
      <c r="N6" s="2029"/>
      <c r="O6" s="2029"/>
      <c r="P6" s="2029"/>
      <c r="Q6" s="2029"/>
      <c r="R6" s="2029"/>
      <c r="S6" s="2029"/>
      <c r="T6" s="2029"/>
      <c r="U6" s="2029"/>
      <c r="V6" s="2029"/>
    </row>
    <row r="7" spans="1:22" ht="14.25">
      <c r="A7" s="3663"/>
      <c r="B7" s="3664"/>
      <c r="C7" s="3674"/>
      <c r="D7" s="3675"/>
      <c r="E7" s="261" t="s">
        <v>304</v>
      </c>
      <c r="F7" s="262"/>
      <c r="G7" s="262"/>
      <c r="H7" s="262"/>
      <c r="I7" s="263"/>
      <c r="J7" s="2030"/>
      <c r="K7" s="2029"/>
      <c r="L7" s="2029"/>
      <c r="M7" s="2029"/>
      <c r="N7" s="2029"/>
      <c r="O7" s="2029"/>
      <c r="P7" s="2029"/>
      <c r="Q7" s="2029"/>
      <c r="R7" s="2029"/>
      <c r="S7" s="2029"/>
      <c r="T7" s="2029"/>
      <c r="U7" s="2029"/>
      <c r="V7" s="2029"/>
    </row>
    <row r="8" spans="1:22" ht="14.25">
      <c r="A8" s="3663" t="s">
        <v>305</v>
      </c>
      <c r="B8" s="3664">
        <v>15</v>
      </c>
      <c r="C8" s="3672"/>
      <c r="D8" s="3675"/>
      <c r="E8" s="261" t="s">
        <v>306</v>
      </c>
      <c r="F8" s="262"/>
      <c r="G8" s="262"/>
      <c r="H8" s="262"/>
      <c r="I8" s="263"/>
      <c r="J8" s="2030"/>
      <c r="K8" s="2029"/>
      <c r="L8" s="2029"/>
      <c r="M8" s="2029"/>
      <c r="N8" s="2029"/>
      <c r="O8" s="2029"/>
      <c r="P8" s="2029"/>
      <c r="Q8" s="2029"/>
      <c r="R8" s="2029"/>
      <c r="S8" s="2029"/>
      <c r="T8" s="2029"/>
      <c r="U8" s="2029"/>
      <c r="V8" s="2029"/>
    </row>
    <row r="9" spans="1:22" ht="14.25">
      <c r="A9" s="3663"/>
      <c r="B9" s="3664"/>
      <c r="C9" s="3674"/>
      <c r="D9" s="3675"/>
      <c r="E9" s="261" t="s">
        <v>307</v>
      </c>
      <c r="F9" s="262"/>
      <c r="G9" s="262"/>
      <c r="H9" s="262"/>
      <c r="I9" s="263"/>
      <c r="J9" s="2030"/>
      <c r="K9" s="2029"/>
      <c r="L9" s="2029"/>
      <c r="M9" s="2029"/>
      <c r="N9" s="2029"/>
      <c r="O9" s="2029"/>
      <c r="P9" s="2029"/>
      <c r="Q9" s="2029"/>
      <c r="R9" s="2029"/>
      <c r="S9" s="2029"/>
      <c r="T9" s="2029"/>
      <c r="U9" s="2029"/>
      <c r="V9" s="2029"/>
    </row>
    <row r="10" spans="1:22" ht="14.25">
      <c r="A10" s="3663" t="s">
        <v>308</v>
      </c>
      <c r="B10" s="3664">
        <v>15</v>
      </c>
      <c r="C10" s="3672"/>
      <c r="D10" s="3675"/>
      <c r="E10" s="261" t="s">
        <v>309</v>
      </c>
      <c r="F10" s="262"/>
      <c r="G10" s="262"/>
      <c r="H10" s="262"/>
      <c r="I10" s="263"/>
      <c r="J10" s="2030"/>
      <c r="K10" s="2029"/>
      <c r="L10" s="2029"/>
      <c r="M10" s="2029"/>
      <c r="N10" s="2029"/>
      <c r="O10" s="2029"/>
      <c r="P10" s="2029"/>
      <c r="Q10" s="2029"/>
      <c r="R10" s="2029"/>
      <c r="S10" s="2029"/>
      <c r="T10" s="2029"/>
      <c r="U10" s="2029"/>
      <c r="V10" s="2029"/>
    </row>
    <row r="11" spans="1:22" ht="14.25">
      <c r="A11" s="3663"/>
      <c r="B11" s="3664"/>
      <c r="C11" s="3674"/>
      <c r="D11" s="3675"/>
      <c r="E11" s="261" t="s">
        <v>310</v>
      </c>
      <c r="F11" s="262"/>
      <c r="G11" s="262"/>
      <c r="H11" s="262"/>
      <c r="I11" s="263"/>
      <c r="J11" s="2030"/>
      <c r="K11" s="2029"/>
      <c r="L11" s="2029"/>
      <c r="M11" s="2029"/>
      <c r="N11" s="2029"/>
      <c r="O11" s="2029"/>
      <c r="P11" s="2029"/>
      <c r="Q11" s="2029"/>
      <c r="R11" s="2029"/>
      <c r="S11" s="2029"/>
      <c r="T11" s="2029"/>
      <c r="U11" s="2029"/>
      <c r="V11" s="2029"/>
    </row>
    <row r="12" spans="1:22" ht="14.25">
      <c r="A12" s="3663" t="s">
        <v>311</v>
      </c>
      <c r="B12" s="3664">
        <v>15</v>
      </c>
      <c r="C12" s="3672"/>
      <c r="D12" s="3675"/>
      <c r="E12" s="261" t="s">
        <v>312</v>
      </c>
      <c r="F12" s="262"/>
      <c r="G12" s="262"/>
      <c r="H12" s="262"/>
      <c r="I12" s="263"/>
      <c r="J12" s="2030"/>
      <c r="K12" s="2029"/>
      <c r="L12" s="2029"/>
      <c r="M12" s="2029"/>
      <c r="N12" s="2029"/>
      <c r="O12" s="2029"/>
      <c r="P12" s="2029"/>
      <c r="Q12" s="2029"/>
      <c r="R12" s="2029"/>
      <c r="S12" s="2029"/>
      <c r="T12" s="2029"/>
      <c r="U12" s="2029"/>
      <c r="V12" s="2029"/>
    </row>
    <row r="13" spans="1:22" ht="14.25">
      <c r="A13" s="3663"/>
      <c r="B13" s="3664"/>
      <c r="C13" s="3674"/>
      <c r="D13" s="3675"/>
      <c r="E13" s="261" t="s">
        <v>313</v>
      </c>
      <c r="F13" s="262"/>
      <c r="G13" s="262"/>
      <c r="H13" s="262"/>
      <c r="I13" s="263"/>
      <c r="J13" s="2030"/>
      <c r="K13" s="2029"/>
      <c r="L13" s="2029"/>
      <c r="M13" s="2029"/>
      <c r="N13" s="2029"/>
      <c r="O13" s="2029"/>
      <c r="P13" s="2029"/>
      <c r="Q13" s="2029"/>
      <c r="R13" s="2029"/>
      <c r="S13" s="2029"/>
      <c r="T13" s="2029"/>
      <c r="U13" s="2029"/>
      <c r="V13" s="2029"/>
    </row>
    <row r="14" spans="1:22" ht="14.25">
      <c r="A14" s="3663" t="s">
        <v>314</v>
      </c>
      <c r="B14" s="3664">
        <v>30</v>
      </c>
      <c r="C14" s="3672"/>
      <c r="D14" s="3675"/>
      <c r="E14" s="261" t="s">
        <v>315</v>
      </c>
      <c r="F14" s="262"/>
      <c r="G14" s="262"/>
      <c r="H14" s="262"/>
      <c r="I14" s="263"/>
      <c r="J14" s="2030"/>
      <c r="K14" s="2029"/>
      <c r="L14" s="2029"/>
      <c r="M14" s="2029"/>
      <c r="N14" s="2029"/>
      <c r="O14" s="2029"/>
      <c r="P14" s="2029"/>
      <c r="Q14" s="2029"/>
      <c r="R14" s="2029"/>
      <c r="S14" s="2029"/>
      <c r="T14" s="2029"/>
      <c r="U14" s="2029"/>
      <c r="V14" s="2029"/>
    </row>
    <row r="15" spans="1:22" ht="14.25">
      <c r="A15" s="3663"/>
      <c r="B15" s="3664"/>
      <c r="C15" s="3673"/>
      <c r="D15" s="3675"/>
      <c r="E15" s="261" t="s">
        <v>316</v>
      </c>
      <c r="F15" s="262"/>
      <c r="G15" s="262"/>
      <c r="H15" s="262"/>
      <c r="I15" s="263"/>
      <c r="J15" s="2030"/>
      <c r="K15" s="2029"/>
      <c r="L15" s="2029"/>
      <c r="M15" s="2029"/>
      <c r="N15" s="2029"/>
      <c r="O15" s="2029"/>
      <c r="P15" s="2029"/>
      <c r="Q15" s="2029"/>
      <c r="R15" s="2029"/>
      <c r="S15" s="2029"/>
      <c r="T15" s="2029"/>
      <c r="U15" s="2029"/>
      <c r="V15" s="2029"/>
    </row>
    <row r="16" spans="1:22" ht="14.25">
      <c r="A16" s="3663"/>
      <c r="B16" s="3664"/>
      <c r="C16" s="3674"/>
      <c r="D16" s="3675"/>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43061</v>
      </c>
      <c r="D19" s="271">
        <f ca="1">SUMIF(INDIRECT("'"&amp;D4&amp;"'"&amp;"!A:A"),结果表!B19,INDIRECT("'"&amp;D4&amp;"'"&amp;"!B:B"))</f>
        <v>192236</v>
      </c>
      <c r="E19" s="268" t="s">
        <v>322</v>
      </c>
      <c r="F19" s="269" t="s">
        <v>321</v>
      </c>
      <c r="G19" s="272">
        <f ca="1">ROUND(C19*$C$18+D19*$D$18,0)</f>
        <v>147484</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2364</v>
      </c>
      <c r="D20" s="277">
        <f ca="1">SUMIF(INDIRECT("'"&amp;D4&amp;"'"&amp;"!A:A"),结果表!B20,INDIRECT("'"&amp;D4&amp;"'"&amp;"!B:B"))</f>
        <v>31788</v>
      </c>
      <c r="E20" s="274"/>
      <c r="F20" s="275" t="s">
        <v>324</v>
      </c>
      <c r="G20" s="278">
        <f ca="1">ROUND(C20*$C$18+D20*$D$18,0)</f>
        <v>22961</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2364</v>
      </c>
      <c r="D21" s="151">
        <f ca="1">SUMIF(INDIRECT("'"&amp;D4&amp;"'"&amp;"!A:A"),结果表!B21,INDIRECT("'"&amp;D4&amp;"'"&amp;"!B:B"))</f>
        <v>10554</v>
      </c>
      <c r="E21" s="274"/>
      <c r="F21" s="280" t="s">
        <v>326</v>
      </c>
      <c r="G21" s="282">
        <f ca="1">ROUND(C21*$C$18+D21*$D$18,0)</f>
        <v>8097</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3.464271614686143</v>
      </c>
      <c r="E22" s="284"/>
      <c r="F22" s="285"/>
      <c r="G22" s="286">
        <f ca="1">ROUND(G19/('数据-汇总表'!D3/666.67),0)</f>
        <v>540</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36"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78"/>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出让国有建设用地使用权价格：147484万元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大写金额：人民币壹拾肆亿柒仟肆佰捌拾肆万元整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单位面积地价：8097元/平方米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楼面地价：24388元/平方米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335</v>
      </c>
      <c r="B30" s="309"/>
      <c r="C30" s="309"/>
      <c r="D30" s="310"/>
      <c r="E30" s="3158" t="s">
        <v>2970</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336</v>
      </c>
      <c r="B32" s="1381" t="s">
        <v>1688</v>
      </c>
      <c r="C32" s="1382">
        <f ca="1">G19-C24</f>
        <v>147484</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339</v>
      </c>
      <c r="B33" s="1384" t="s">
        <v>1690</v>
      </c>
      <c r="C33" s="264">
        <f ca="1">ROUND(C32*10000/'数据-汇总表'!E3,0)</f>
        <v>24388</v>
      </c>
      <c r="D33" s="1385" t="s">
        <v>1691</v>
      </c>
      <c r="E33" s="3636"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8097</v>
      </c>
      <c r="D34" s="1387" t="s">
        <v>1691</v>
      </c>
      <c r="E34" s="3637"/>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540</v>
      </c>
      <c r="D35" s="1390" t="s">
        <v>1693</v>
      </c>
      <c r="E35" s="3638"/>
      <c r="F35" s="301" t="s">
        <v>341</v>
      </c>
      <c r="G35" s="982"/>
      <c r="H35" s="981" t="s">
        <v>342</v>
      </c>
      <c r="I35" s="311"/>
      <c r="J35" s="2029"/>
      <c r="K35" s="3642" t="s">
        <v>349</v>
      </c>
      <c r="L35" s="3642" t="s">
        <v>350</v>
      </c>
      <c r="M35" s="1264" t="s">
        <v>351</v>
      </c>
      <c r="N35" s="3642" t="s">
        <v>352</v>
      </c>
      <c r="O35" s="3642" t="s">
        <v>353</v>
      </c>
      <c r="P35" s="2029"/>
      <c r="V35" s="2029"/>
    </row>
    <row r="36" spans="1:26" ht="16.5" customHeight="1">
      <c r="A36" s="303" t="s">
        <v>343</v>
      </c>
      <c r="B36" s="304" t="s">
        <v>332</v>
      </c>
      <c r="C36" s="305" t="s">
        <v>344</v>
      </c>
      <c r="D36" s="305" t="s">
        <v>345</v>
      </c>
      <c r="E36" s="306" t="s">
        <v>346</v>
      </c>
      <c r="F36" s="311"/>
      <c r="G36" s="311"/>
      <c r="H36" s="311"/>
      <c r="I36" s="311"/>
      <c r="J36" s="2031"/>
      <c r="K36" s="3643"/>
      <c r="L36" s="3643"/>
      <c r="M36" s="1266" t="s">
        <v>354</v>
      </c>
      <c r="N36" s="3643"/>
      <c r="O36" s="3643"/>
      <c r="P36" s="2029"/>
      <c r="V36" s="2029"/>
    </row>
    <row r="37" spans="1:26" ht="16.5" customHeight="1" thickBot="1">
      <c r="A37" s="1260" t="s">
        <v>347</v>
      </c>
      <c r="B37" s="307"/>
      <c r="C37" s="294"/>
      <c r="D37" s="294"/>
      <c r="E37" s="295"/>
      <c r="F37" s="311"/>
      <c r="G37" s="311"/>
      <c r="H37" s="311"/>
      <c r="I37" s="311"/>
      <c r="J37" s="2031"/>
      <c r="K37" s="3644"/>
      <c r="L37" s="3644"/>
      <c r="M37" s="1267"/>
      <c r="N37" s="3644"/>
      <c r="O37" s="3644"/>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8097</v>
      </c>
      <c r="N38" s="1269">
        <f ca="1">C33</f>
        <v>24388</v>
      </c>
      <c r="O38" s="1270">
        <f ca="1">C32</f>
        <v>147484</v>
      </c>
      <c r="P38" s="2029"/>
      <c r="V38" s="2029"/>
    </row>
    <row r="39" spans="1:26" ht="16.5" customHeight="1" thickBot="1">
      <c r="A39" s="1265"/>
      <c r="B39" s="308"/>
      <c r="C39" s="309"/>
      <c r="D39" s="309"/>
      <c r="E39" s="310"/>
      <c r="F39" s="311"/>
      <c r="G39" s="311"/>
      <c r="H39" s="311"/>
      <c r="I39" s="311"/>
      <c r="J39" s="2031"/>
      <c r="K39" s="3619" t="str">
        <f>MID(A44,3,LEN(A44)-2)</f>
        <v/>
      </c>
      <c r="L39" s="3620"/>
      <c r="M39" s="3620"/>
      <c r="N39" s="3621"/>
      <c r="O39" s="1392" t="str">
        <f>C44</f>
        <v>——</v>
      </c>
      <c r="P39" s="2029"/>
      <c r="V39" s="2029"/>
    </row>
    <row r="40" spans="1:26" ht="19.5" thickBot="1">
      <c r="A40" s="104" t="s">
        <v>872</v>
      </c>
      <c r="B40" s="311"/>
      <c r="C40" s="311"/>
      <c r="D40" s="311"/>
      <c r="E40" s="311"/>
      <c r="F40" s="311"/>
      <c r="G40" s="311"/>
      <c r="H40" s="311"/>
      <c r="I40" s="311"/>
      <c r="J40" s="2031"/>
      <c r="K40" s="3619" t="str">
        <f t="shared" ref="K40:K41" si="0">MID(A45,3,LEN(A45)-2)</f>
        <v/>
      </c>
      <c r="L40" s="3620"/>
      <c r="M40" s="3620"/>
      <c r="N40" s="3621"/>
      <c r="O40" s="1392" t="str">
        <f>C45</f>
        <v>——</v>
      </c>
      <c r="P40" s="2029"/>
      <c r="V40" s="2029"/>
    </row>
    <row r="41" spans="1:26" ht="16.5" thickBot="1">
      <c r="A41" s="312" t="s">
        <v>355</v>
      </c>
      <c r="B41" s="313"/>
      <c r="C41" s="314" t="s">
        <v>356</v>
      </c>
      <c r="D41" s="315" t="s">
        <v>357</v>
      </c>
      <c r="E41" s="315" t="s">
        <v>358</v>
      </c>
      <c r="F41" s="316" t="s">
        <v>359</v>
      </c>
      <c r="G41" s="311"/>
      <c r="H41" s="311"/>
      <c r="I41" s="311"/>
      <c r="J41" s="2031"/>
      <c r="K41" s="3619" t="str">
        <f t="shared" si="0"/>
        <v/>
      </c>
      <c r="L41" s="3620"/>
      <c r="M41" s="3620"/>
      <c r="N41" s="3621"/>
      <c r="O41" s="1392" t="str">
        <f>C46</f>
        <v>——</v>
      </c>
      <c r="P41" s="2029"/>
      <c r="V41" s="2029"/>
    </row>
    <row r="42" spans="1:26" ht="29.25">
      <c r="A42" s="3679" t="s">
        <v>2069</v>
      </c>
      <c r="B42" s="3680"/>
      <c r="C42" s="264">
        <f ca="1">C32</f>
        <v>147484</v>
      </c>
      <c r="D42" s="317">
        <f ca="1">C33</f>
        <v>24388</v>
      </c>
      <c r="E42" s="317">
        <f ca="1">C34</f>
        <v>8097</v>
      </c>
      <c r="F42" s="318">
        <f ca="1">C35</f>
        <v>540</v>
      </c>
      <c r="G42" s="311"/>
      <c r="H42" s="311"/>
      <c r="I42" s="319"/>
      <c r="J42" s="2031"/>
      <c r="K42" s="1271" t="s">
        <v>360</v>
      </c>
      <c r="L42" s="2048" t="s">
        <v>361</v>
      </c>
      <c r="M42" s="1272" t="s">
        <v>362</v>
      </c>
      <c r="N42" s="2049" t="s">
        <v>363</v>
      </c>
      <c r="O42" s="2050" t="s">
        <v>364</v>
      </c>
      <c r="P42" s="2029"/>
      <c r="V42" s="2029"/>
    </row>
    <row r="43" spans="1:26" ht="18">
      <c r="A43" s="3689" t="s">
        <v>2733</v>
      </c>
      <c r="B43" s="3690"/>
      <c r="C43" s="264">
        <f>IF(H33="正常操作",G33+G34+G35,G34+G35)</f>
        <v>0</v>
      </c>
      <c r="D43" s="317" t="s">
        <v>43</v>
      </c>
      <c r="E43" s="317" t="s">
        <v>44</v>
      </c>
      <c r="F43" s="318" t="s">
        <v>44</v>
      </c>
      <c r="G43" s="2891" t="s">
        <v>951</v>
      </c>
      <c r="H43" s="311"/>
      <c r="I43" s="319"/>
      <c r="J43" s="2031"/>
      <c r="K43" s="1273" t="str">
        <f>C4</f>
        <v>基准地价</v>
      </c>
      <c r="L43" s="1274">
        <f ca="1">IF(L42="估价结果/万元",C19,C20)</f>
        <v>43061</v>
      </c>
      <c r="M43" s="1275">
        <f>C18</f>
        <v>0.3</v>
      </c>
      <c r="N43" s="1276">
        <f ca="1">IF(N42="测算结果/万元",G19,G20)</f>
        <v>147484</v>
      </c>
      <c r="O43" s="1277">
        <f ca="1">IF(O42="最终结果/万元",C32,C33)</f>
        <v>147484</v>
      </c>
      <c r="P43" s="2029"/>
      <c r="V43" s="2029"/>
    </row>
    <row r="44" spans="1:26" ht="18.75" thickBot="1">
      <c r="A44" s="3679" t="str">
        <f>IF(OR(项目基本情况!E8="抵押价格",项目基本情况!E8="已注销及未注销"),"3.抵押价格","——")</f>
        <v>——</v>
      </c>
      <c r="B44" s="368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192236</v>
      </c>
      <c r="M44" s="1280">
        <f>D18</f>
        <v>0.7</v>
      </c>
      <c r="N44" s="1281"/>
      <c r="O44" s="1282"/>
      <c r="P44" s="2029"/>
      <c r="V44" s="2029"/>
    </row>
    <row r="45" spans="1:26" ht="15">
      <c r="A45" s="3684" t="str">
        <f>IF(项目基本情况!E8="已注销及未注销","4.抵押担保权已注销时的抵押价格",IF(项目基本情况!E8="已注销","3.抵押担保权已注销时的抵押价格","——"))</f>
        <v>——</v>
      </c>
      <c r="B45" s="36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81" t="str">
        <f>IF(项目基本情况!E9="抵押净值",IF(A45="——","4.抵押净值","5.抵押净值"),"——")</f>
        <v>——</v>
      </c>
      <c r="B46" s="368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47" t="s">
        <v>373</v>
      </c>
      <c r="B63" s="3648"/>
      <c r="C63" s="3649"/>
      <c r="D63" s="341">
        <f ca="1">ROUND(C42*F63,0)</f>
        <v>88490</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686" t="s">
        <v>377</v>
      </c>
      <c r="B64" s="3687"/>
      <c r="C64" s="3687"/>
      <c r="D64" s="3687"/>
      <c r="E64" s="3687"/>
      <c r="F64" s="3687"/>
      <c r="G64" s="3688"/>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683" t="s">
        <v>385</v>
      </c>
      <c r="B66" s="3654"/>
      <c r="C66" s="3654"/>
      <c r="D66" s="261">
        <f ca="1">IF(H66="情况1",0,IF(H66="情况2",D70,IF(H66="情况3",D71,IF(H66="情况4",D72))))</f>
        <v>4719</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623" t="s">
        <v>384</v>
      </c>
      <c r="M66" s="3624"/>
      <c r="N66" s="2483"/>
      <c r="O66" s="2484"/>
      <c r="P66" s="2485"/>
      <c r="Q66" s="2029"/>
      <c r="R66" s="2029"/>
      <c r="S66" s="2029"/>
      <c r="T66" s="2029"/>
      <c r="U66" s="2029"/>
      <c r="V66" s="2029"/>
    </row>
    <row r="67" spans="1:22" ht="25.5" customHeight="1">
      <c r="A67" s="352" t="s">
        <v>389</v>
      </c>
      <c r="B67" s="3666" t="s">
        <v>390</v>
      </c>
      <c r="C67" s="3666"/>
      <c r="D67" s="353">
        <v>0</v>
      </c>
      <c r="E67" s="41" t="s">
        <v>391</v>
      </c>
      <c r="F67" s="62" t="s">
        <v>21</v>
      </c>
      <c r="G67" s="3650"/>
      <c r="H67" s="311"/>
      <c r="I67" s="1292"/>
      <c r="J67" s="2036"/>
      <c r="K67" s="1977">
        <v>2</v>
      </c>
      <c r="L67" s="3622" t="s">
        <v>388</v>
      </c>
      <c r="M67" s="3622"/>
      <c r="N67" s="1325">
        <f>'数据-取费表'!B2</f>
        <v>43251</v>
      </c>
      <c r="O67" s="1325"/>
      <c r="P67" s="1325"/>
      <c r="Q67" s="2029"/>
      <c r="R67" s="2029"/>
      <c r="S67" s="2029"/>
      <c r="T67" s="2029"/>
      <c r="U67" s="2029"/>
      <c r="V67" s="2029"/>
    </row>
    <row r="68" spans="1:22" ht="25.5" customHeight="1">
      <c r="A68" s="354"/>
      <c r="B68" s="3666" t="s">
        <v>393</v>
      </c>
      <c r="C68" s="3666"/>
      <c r="D68" s="355"/>
      <c r="E68" s="77"/>
      <c r="F68" s="356"/>
      <c r="G68" s="3651"/>
      <c r="H68" s="311"/>
      <c r="I68" s="1292"/>
      <c r="J68" s="2036"/>
      <c r="K68" s="1977">
        <v>3</v>
      </c>
      <c r="L68" s="3622" t="s">
        <v>392</v>
      </c>
      <c r="M68" s="3622"/>
      <c r="N68" s="1293">
        <f ca="1">C42</f>
        <v>147484</v>
      </c>
      <c r="O68" s="1293"/>
      <c r="P68" s="1293"/>
      <c r="Q68" s="2029"/>
      <c r="R68" s="2029"/>
      <c r="S68" s="2029"/>
      <c r="T68" s="2029"/>
      <c r="U68" s="2029"/>
      <c r="V68" s="2029"/>
    </row>
    <row r="69" spans="1:22" ht="12" customHeight="1">
      <c r="A69" s="357"/>
      <c r="B69" s="3666" t="s">
        <v>394</v>
      </c>
      <c r="C69" s="3666"/>
      <c r="D69" s="358"/>
      <c r="E69" s="73"/>
      <c r="F69" s="356"/>
      <c r="G69" s="3652"/>
      <c r="H69" s="311"/>
      <c r="I69" s="1292"/>
      <c r="J69" s="2036"/>
      <c r="K69" s="1294">
        <v>4</v>
      </c>
      <c r="L69" s="3628" t="s">
        <v>2884</v>
      </c>
      <c r="M69" s="3629"/>
      <c r="N69" s="1295" t="str">
        <f>C44</f>
        <v>——</v>
      </c>
      <c r="O69" s="1295"/>
      <c r="P69" s="1295"/>
      <c r="Q69" s="2029"/>
      <c r="R69" s="2029"/>
      <c r="S69" s="2029"/>
      <c r="T69" s="2029"/>
      <c r="U69" s="2029"/>
      <c r="V69" s="2029"/>
    </row>
    <row r="70" spans="1:22" ht="24" customHeight="1">
      <c r="A70" s="359" t="s">
        <v>395</v>
      </c>
      <c r="B70" s="3666" t="s">
        <v>396</v>
      </c>
      <c r="C70" s="3666"/>
      <c r="D70" s="358">
        <f ca="1">ROUND(D63*'数据-取费表'!B41/(1+'数据-取费表'!C42),0)</f>
        <v>4719</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665" t="s">
        <v>404</v>
      </c>
      <c r="C71" s="3677"/>
      <c r="D71" s="358">
        <f ca="1">ROUND(D63*'数据-取费表'!B41/(1+'数据-取费表'!C42),0)</f>
        <v>4719</v>
      </c>
      <c r="E71" s="17" t="s">
        <v>397</v>
      </c>
      <c r="F71" s="360">
        <f>'数据-取费表'!B41</f>
        <v>5.6000000000000001E-2</v>
      </c>
      <c r="G71" s="361"/>
      <c r="H71" s="311"/>
      <c r="I71" s="1292"/>
      <c r="J71" s="2036"/>
      <c r="K71" s="3085" t="s">
        <v>398</v>
      </c>
      <c r="L71" s="3630" t="s">
        <v>399</v>
      </c>
      <c r="M71" s="3630"/>
      <c r="N71" s="3085" t="s">
        <v>400</v>
      </c>
      <c r="O71" s="3085" t="s">
        <v>401</v>
      </c>
      <c r="P71" s="3085" t="s">
        <v>402</v>
      </c>
      <c r="Q71" s="2029"/>
      <c r="R71" s="2029"/>
      <c r="S71" s="2029"/>
      <c r="T71" s="2029"/>
      <c r="U71" s="2029"/>
      <c r="V71" s="2029"/>
    </row>
    <row r="72" spans="1:22" ht="12" customHeight="1">
      <c r="A72" s="359" t="s">
        <v>406</v>
      </c>
      <c r="B72" s="3665" t="s">
        <v>407</v>
      </c>
      <c r="C72" s="3677"/>
      <c r="D72" s="358">
        <f ca="1">C86</f>
        <v>4607</v>
      </c>
      <c r="E72" s="73" t="s">
        <v>408</v>
      </c>
      <c r="F72" s="360">
        <f>'数据-取费表'!B41</f>
        <v>5.6000000000000001E-2</v>
      </c>
      <c r="G72" s="361"/>
      <c r="H72" s="1298"/>
      <c r="I72" s="1292"/>
      <c r="J72" s="2036"/>
      <c r="K72" s="1977">
        <v>1</v>
      </c>
      <c r="L72" s="3627" t="s">
        <v>405</v>
      </c>
      <c r="M72" s="3627"/>
      <c r="N72" s="1296">
        <f ca="1">D66</f>
        <v>4719</v>
      </c>
      <c r="O72" s="1860" t="str">
        <f>E66</f>
        <v>销售额×税（费）率</v>
      </c>
      <c r="P72" s="1297">
        <f>F66</f>
        <v>5.6000000000000001E-2</v>
      </c>
      <c r="Q72" s="2029"/>
      <c r="R72" s="2029"/>
      <c r="S72" s="2029"/>
      <c r="T72" s="2029"/>
      <c r="U72" s="2029"/>
      <c r="V72" s="2029"/>
    </row>
    <row r="73" spans="1:22" ht="24" customHeight="1">
      <c r="A73" s="3653" t="s">
        <v>410</v>
      </c>
      <c r="B73" s="3654"/>
      <c r="C73" s="3654"/>
      <c r="D73" s="362">
        <f>IF(H73="个人住宅",0,ROUND(D63*I73,0))</f>
        <v>0</v>
      </c>
      <c r="E73" s="17" t="s">
        <v>411</v>
      </c>
      <c r="F73" s="360" t="str">
        <f>IF(H73="正常",I73,"免征")</f>
        <v>免征</v>
      </c>
      <c r="G73" s="361"/>
      <c r="H73" s="191" t="s">
        <v>2458</v>
      </c>
      <c r="I73" s="360">
        <f>'数据-取费表'!B49</f>
        <v>5.0000000000000001E-4</v>
      </c>
      <c r="J73" s="2036"/>
      <c r="K73" s="1977">
        <v>2</v>
      </c>
      <c r="L73" s="3627" t="s">
        <v>409</v>
      </c>
      <c r="M73" s="3627"/>
      <c r="N73" s="1296">
        <f t="shared" ref="N73:P74" si="1">D73</f>
        <v>0</v>
      </c>
      <c r="O73" s="1860" t="str">
        <f t="shared" si="1"/>
        <v>销售额×税（费）率</v>
      </c>
      <c r="P73" s="1297" t="str">
        <f t="shared" si="1"/>
        <v>免征</v>
      </c>
      <c r="Q73" s="2029"/>
      <c r="R73" s="2029"/>
      <c r="S73" s="2029"/>
      <c r="T73" s="2029"/>
      <c r="U73" s="2029"/>
      <c r="V73" s="2029"/>
    </row>
    <row r="74" spans="1:22" ht="24.75">
      <c r="A74" s="3653" t="s">
        <v>414</v>
      </c>
      <c r="B74" s="3654"/>
      <c r="C74" s="3654"/>
      <c r="D74" s="362">
        <f ca="1">IF(H74="个人住宅",D75,D76)</f>
        <v>49429</v>
      </c>
      <c r="E74" s="17" t="s">
        <v>415</v>
      </c>
      <c r="F74" s="360" t="str">
        <f>IF(H74="正常",F76,"免征")</f>
        <v>——</v>
      </c>
      <c r="G74" s="983" t="s">
        <v>416</v>
      </c>
      <c r="H74" s="363" t="s">
        <v>412</v>
      </c>
      <c r="I74" s="42"/>
      <c r="J74" s="2036"/>
      <c r="K74" s="1977">
        <v>3</v>
      </c>
      <c r="L74" s="3627" t="s">
        <v>413</v>
      </c>
      <c r="M74" s="3627"/>
      <c r="N74" s="1296">
        <f t="shared" ca="1" si="1"/>
        <v>49429</v>
      </c>
      <c r="O74" s="1860" t="str">
        <f t="shared" si="1"/>
        <v>增值额×税（费）率</v>
      </c>
      <c r="P74" s="1299" t="str">
        <f t="shared" si="1"/>
        <v>——</v>
      </c>
      <c r="Q74" s="2029"/>
      <c r="R74" s="2029"/>
      <c r="S74" s="2029"/>
      <c r="T74" s="2029"/>
      <c r="U74" s="2029"/>
      <c r="V74" s="2029"/>
    </row>
    <row r="75" spans="1:22" ht="24">
      <c r="A75" s="359" t="s">
        <v>417</v>
      </c>
      <c r="B75" s="3634" t="s">
        <v>418</v>
      </c>
      <c r="C75" s="3635"/>
      <c r="D75" s="364">
        <v>0</v>
      </c>
      <c r="E75" s="41" t="s">
        <v>419</v>
      </c>
      <c r="F75" s="365"/>
      <c r="G75" s="361"/>
      <c r="H75" s="42"/>
      <c r="I75" s="42"/>
      <c r="J75" s="2036"/>
      <c r="K75" s="3078">
        <f>IF(H77="非个人房产","",4)</f>
        <v>4</v>
      </c>
      <c r="L75" s="3627" t="str">
        <f>IF(H77="非个人房产","——","个人所得税")</f>
        <v>个人所得税</v>
      </c>
      <c r="M75" s="3627"/>
      <c r="N75" s="1300">
        <f ca="1">D77</f>
        <v>885</v>
      </c>
      <c r="O75" s="1873" t="str">
        <f>E77</f>
        <v>销售额×税（费）率</v>
      </c>
      <c r="P75" s="1301">
        <f>F77</f>
        <v>0.01</v>
      </c>
      <c r="Q75" s="2029"/>
      <c r="R75" s="2029"/>
      <c r="S75" s="2029"/>
      <c r="T75" s="2029"/>
      <c r="U75" s="2029"/>
      <c r="V75" s="2029"/>
    </row>
    <row r="76" spans="1:22" ht="24.75">
      <c r="A76" s="359" t="s">
        <v>395</v>
      </c>
      <c r="B76" s="3634" t="s">
        <v>421</v>
      </c>
      <c r="C76" s="3676"/>
      <c r="D76" s="362">
        <f ca="1">IF(H76="转让取得",C99,C115)</f>
        <v>49429</v>
      </c>
      <c r="E76" s="17" t="s">
        <v>422</v>
      </c>
      <c r="F76" s="53" t="s">
        <v>21</v>
      </c>
      <c r="G76" s="361"/>
      <c r="H76" s="363" t="s">
        <v>423</v>
      </c>
      <c r="I76" s="42"/>
      <c r="J76" s="2036"/>
      <c r="K76" s="3078" t="str">
        <f>IF(项目基本情况!K6="上海银行",IF(K75="",4,K75+1),"")</f>
        <v/>
      </c>
      <c r="L76" s="3615" t="str">
        <f>IF(项目基本情况!K6="上海银行","其他处置费用","")</f>
        <v/>
      </c>
      <c r="M76" s="3616"/>
      <c r="N76" s="1296" t="str">
        <f>IF(项目基本情况!K6="上海银行",N89,"")</f>
        <v/>
      </c>
      <c r="O76" s="3617" t="str">
        <f>IF(项目基本情况!K6="上海银行","包含处置中涉及的律师、诉讼、拍卖、评估等费用","")</f>
        <v/>
      </c>
      <c r="P76" s="3618"/>
      <c r="Q76" s="2029"/>
      <c r="R76" s="2029"/>
      <c r="S76" s="2029"/>
      <c r="T76" s="2029"/>
      <c r="U76" s="2029"/>
      <c r="V76" s="2029"/>
    </row>
    <row r="77" spans="1:22" ht="26.25" thickBot="1">
      <c r="A77" s="3645" t="s">
        <v>425</v>
      </c>
      <c r="B77" s="3646"/>
      <c r="C77" s="3646"/>
      <c r="D77" s="366">
        <f ca="1">IF(H77="非个人房产","——",IF(H77="个人住宅",0,ROUND(D63*I77,0)))</f>
        <v>885</v>
      </c>
      <c r="E77" s="367" t="str">
        <f>IF(H77="非个人房产","——","销售额×税（费）率")</f>
        <v>销售额×税（费）率</v>
      </c>
      <c r="F77" s="368">
        <f>IF(H77="非个人房产","——",IF(H77="个人住宅","免征",I77))</f>
        <v>0.01</v>
      </c>
      <c r="G77" s="984" t="s">
        <v>416</v>
      </c>
      <c r="H77" s="363" t="s">
        <v>2885</v>
      </c>
      <c r="I77" s="369">
        <v>0.01</v>
      </c>
      <c r="J77" s="2036"/>
      <c r="K77" s="3641">
        <f>IF(AND(K75="",K76=""),4,IF(项目基本情况!K6="上海银行",K76+1,K75+1))</f>
        <v>5</v>
      </c>
      <c r="L77" s="3627" t="s">
        <v>2886</v>
      </c>
      <c r="M77" s="3084" t="s">
        <v>420</v>
      </c>
      <c r="N77" s="1302"/>
      <c r="O77" s="1303">
        <f ca="1">SUMIF(N72:N76,"&lt;9e307")</f>
        <v>55033</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641"/>
      <c r="L78" s="3627"/>
      <c r="M78" s="3084" t="s">
        <v>424</v>
      </c>
      <c r="N78" s="1302"/>
      <c r="O78" s="1303" t="str">
        <f ca="1">NUMBERSTRING(INT(O77*10000),2)&amp;"元整"</f>
        <v>伍亿伍仟零叁拾叁万元整</v>
      </c>
      <c r="P78" s="1304"/>
      <c r="Q78" s="2029"/>
      <c r="R78" s="2029"/>
      <c r="S78" s="2029"/>
      <c r="T78" s="2029"/>
      <c r="U78" s="2029"/>
      <c r="V78" s="2029"/>
    </row>
    <row r="79" spans="1:22" ht="13.5" thickBot="1">
      <c r="A79" s="3631" t="s">
        <v>426</v>
      </c>
      <c r="B79" s="3631"/>
      <c r="C79" s="3631"/>
      <c r="D79" s="3631"/>
      <c r="E79" s="3631"/>
      <c r="F79" s="42"/>
      <c r="G79" s="42"/>
      <c r="H79" s="1003"/>
      <c r="I79" s="311"/>
      <c r="J79" s="2036"/>
      <c r="K79" s="3625">
        <f>K77+1</f>
        <v>6</v>
      </c>
      <c r="L79" s="3627" t="s">
        <v>2887</v>
      </c>
      <c r="M79" s="3084" t="s">
        <v>420</v>
      </c>
      <c r="N79" s="1302"/>
      <c r="O79" s="1303" t="e">
        <f ca="1">N69-O77</f>
        <v>#VALUE!</v>
      </c>
      <c r="P79" s="1304"/>
      <c r="Q79" s="2029"/>
      <c r="R79" s="2029"/>
      <c r="S79" s="2029"/>
      <c r="T79" s="2029"/>
      <c r="U79" s="2029"/>
      <c r="V79" s="2029"/>
    </row>
    <row r="80" spans="1:22" ht="12.75">
      <c r="A80" s="3632" t="s">
        <v>427</v>
      </c>
      <c r="B80" s="3633"/>
      <c r="C80" s="994"/>
      <c r="D80" s="994" t="s">
        <v>428</v>
      </c>
      <c r="E80" s="370" t="s">
        <v>429</v>
      </c>
      <c r="F80" s="42"/>
      <c r="G80" s="42"/>
      <c r="H80" s="1003"/>
      <c r="I80" s="311"/>
      <c r="J80" s="2029"/>
      <c r="K80" s="3626"/>
      <c r="L80" s="3627"/>
      <c r="M80" s="3084"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84276</v>
      </c>
      <c r="D81" s="373"/>
      <c r="E81" s="374"/>
      <c r="F81" s="42"/>
      <c r="G81" s="42"/>
      <c r="H81" s="1003"/>
      <c r="I81" s="311"/>
      <c r="J81" s="2029"/>
      <c r="K81" s="3078">
        <f>K79+1</f>
        <v>7</v>
      </c>
      <c r="L81" s="3639" t="s">
        <v>2888</v>
      </c>
      <c r="M81" s="3640"/>
      <c r="N81" s="1306"/>
      <c r="O81" s="1307" t="e">
        <f ca="1">ROUND(O79*10000/'数据-汇总表'!E3,0)</f>
        <v>#VALUE!</v>
      </c>
      <c r="P81" s="1308"/>
      <c r="Q81" s="2029"/>
      <c r="R81" s="2029"/>
      <c r="S81" s="2029"/>
      <c r="T81" s="2029"/>
      <c r="U81" s="2029"/>
      <c r="V81" s="2029"/>
    </row>
    <row r="82" spans="1:26" ht="13.5" thickTop="1">
      <c r="A82" s="375" t="s">
        <v>1824</v>
      </c>
      <c r="B82" s="376" t="s">
        <v>431</v>
      </c>
      <c r="C82" s="377">
        <f ca="1">D63</f>
        <v>88490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614"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12.75">
      <c r="A84" s="381" t="s">
        <v>1826</v>
      </c>
      <c r="B84" s="382" t="s">
        <v>433</v>
      </c>
      <c r="C84" s="383">
        <v>2000</v>
      </c>
      <c r="D84" s="384" t="s">
        <v>19</v>
      </c>
      <c r="E84" s="3122" t="s">
        <v>2941</v>
      </c>
      <c r="F84" s="42"/>
      <c r="G84" s="42"/>
      <c r="H84" s="1003"/>
      <c r="I84" s="311"/>
      <c r="J84" s="2029"/>
      <c r="K84" s="3614"/>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1827</v>
      </c>
      <c r="B85" s="382" t="s">
        <v>434</v>
      </c>
      <c r="C85" s="385">
        <f ca="1">C81-C84</f>
        <v>82276</v>
      </c>
      <c r="D85" s="378" t="s">
        <v>19</v>
      </c>
      <c r="E85" s="379"/>
      <c r="F85" s="42"/>
      <c r="G85" s="42"/>
      <c r="H85" s="1003"/>
      <c r="I85" s="311"/>
      <c r="J85" s="2029"/>
      <c r="K85" s="3614"/>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1828</v>
      </c>
      <c r="B86" s="387" t="s">
        <v>435</v>
      </c>
      <c r="C86" s="388">
        <f ca="1">IF(C85&lt;=0,0,ROUND(C85*D86,0))</f>
        <v>4607</v>
      </c>
      <c r="D86" s="389">
        <f>'数据-取费表'!B41</f>
        <v>5.6000000000000001E-2</v>
      </c>
      <c r="E86" s="390"/>
      <c r="F86" s="42"/>
      <c r="G86" s="42"/>
      <c r="H86" s="1003"/>
      <c r="I86" s="311"/>
      <c r="J86" s="2029"/>
      <c r="K86" s="3614"/>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14"/>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5" thickBot="1">
      <c r="A88" s="3668" t="s">
        <v>436</v>
      </c>
      <c r="B88" s="3669"/>
      <c r="C88" s="3669"/>
      <c r="D88" s="3669"/>
      <c r="E88" s="3669"/>
      <c r="F88" s="3669"/>
      <c r="G88" s="3669"/>
      <c r="H88" s="3669"/>
      <c r="I88" s="1315"/>
      <c r="J88" s="2037"/>
      <c r="K88" s="3614"/>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4.25">
      <c r="A89" s="3632" t="s">
        <v>427</v>
      </c>
      <c r="B89" s="3633"/>
      <c r="C89" s="994"/>
      <c r="D89" s="994" t="s">
        <v>428</v>
      </c>
      <c r="E89" s="391" t="s">
        <v>437</v>
      </c>
      <c r="F89" s="392"/>
      <c r="G89" s="392"/>
      <c r="H89" s="393"/>
      <c r="I89" s="1316"/>
      <c r="J89" s="2039"/>
      <c r="K89" s="3614"/>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84276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3067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665" t="s">
        <v>446</v>
      </c>
      <c r="F94" s="3666"/>
      <c r="G94" s="3666"/>
      <c r="H94" s="366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506</v>
      </c>
      <c r="D96" s="406">
        <f>'数据-取费表'!B43</f>
        <v>6.000000000000001E-3</v>
      </c>
      <c r="E96" s="3655" t="s">
        <v>2431</v>
      </c>
      <c r="F96" s="3656"/>
      <c r="G96" s="3656"/>
      <c r="H96" s="365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81209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26.478317574176721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47652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68" t="s">
        <v>453</v>
      </c>
      <c r="B101" s="3669"/>
      <c r="C101" s="3669"/>
      <c r="D101" s="3669"/>
      <c r="E101" s="3669"/>
      <c r="F101" s="3669"/>
      <c r="G101" s="3669"/>
      <c r="H101" s="366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32" t="s">
        <v>427</v>
      </c>
      <c r="B102" s="3633"/>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84276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1196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658" t="s">
        <v>461</v>
      </c>
      <c r="F109" s="3656"/>
      <c r="G109" s="365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658" t="s">
        <v>463</v>
      </c>
      <c r="F110" s="3656"/>
      <c r="G110" s="3656"/>
      <c r="H110" s="365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506</v>
      </c>
      <c r="D111" s="406">
        <f>'数据-取费表'!B43</f>
        <v>6.000000000000001E-3</v>
      </c>
      <c r="E111" s="3655" t="s">
        <v>2431</v>
      </c>
      <c r="F111" s="3656"/>
      <c r="G111" s="3656"/>
      <c r="H111" s="365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658" t="s">
        <v>2456</v>
      </c>
      <c r="F112" s="3656"/>
      <c r="G112" s="3656"/>
      <c r="H112" s="365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83080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69.464882943143806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49429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3"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5">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2974</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5">
      <c r="A7" s="434" t="s">
        <v>469</v>
      </c>
      <c r="B7" s="435" t="s">
        <v>470</v>
      </c>
      <c r="C7" s="436" t="s">
        <v>2982</v>
      </c>
      <c r="D7" s="436" t="s">
        <v>2990</v>
      </c>
      <c r="E7" s="436" t="s">
        <v>2991</v>
      </c>
      <c r="F7" s="436" t="s">
        <v>2992</v>
      </c>
      <c r="G7" s="436" t="s">
        <v>2993</v>
      </c>
      <c r="H7" s="436" t="s">
        <v>2994</v>
      </c>
      <c r="I7" s="436" t="s">
        <v>2995</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2975</v>
      </c>
      <c r="H32" s="483"/>
      <c r="I32" s="483"/>
      <c r="J32" s="483"/>
      <c r="K32" s="485"/>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526" t="str">
        <f>项目基本情况!B1</f>
        <v>北京市海淀区西三旗建材城中路2号出让国有建设用地使用权市场价格预评估</v>
      </c>
      <c r="C37" s="3526"/>
      <c r="D37" s="3526"/>
      <c r="E37" s="3526"/>
      <c r="F37" s="3526"/>
      <c r="G37" s="3526"/>
      <c r="H37" s="3526"/>
      <c r="I37" s="3526"/>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陈颖、土地估价师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713" t="s">
        <v>521</v>
      </c>
      <c r="D6" s="3714"/>
      <c r="E6" s="3713" t="s">
        <v>522</v>
      </c>
      <c r="F6" s="3714"/>
      <c r="G6" s="3713" t="s">
        <v>523</v>
      </c>
      <c r="H6" s="3714"/>
      <c r="I6" s="3713" t="s">
        <v>524</v>
      </c>
      <c r="J6" s="3714"/>
      <c r="K6" s="514" t="s">
        <v>525</v>
      </c>
      <c r="L6" s="2134"/>
      <c r="M6" s="2133"/>
      <c r="N6" s="2133"/>
      <c r="O6" s="2135"/>
      <c r="P6" s="3715" t="s">
        <v>526</v>
      </c>
      <c r="Q6" s="3716"/>
      <c r="R6" s="3701" t="s">
        <v>522</v>
      </c>
      <c r="S6" s="3702"/>
      <c r="T6" s="3701" t="s">
        <v>523</v>
      </c>
      <c r="U6" s="3702"/>
      <c r="V6" s="3721" t="s">
        <v>524</v>
      </c>
      <c r="W6" s="3721"/>
      <c r="X6" s="1567"/>
      <c r="Y6" s="3701" t="s">
        <v>526</v>
      </c>
      <c r="Z6" s="3702"/>
      <c r="AA6" s="3696" t="s">
        <v>522</v>
      </c>
      <c r="AB6" s="3697" t="s">
        <v>523</v>
      </c>
      <c r="AC6" s="3696" t="s">
        <v>524</v>
      </c>
    </row>
    <row r="7" spans="1:30" ht="20.25">
      <c r="A7" s="515"/>
      <c r="B7" s="516"/>
      <c r="C7" s="3724" t="s">
        <v>2930</v>
      </c>
      <c r="D7" s="3725"/>
      <c r="E7" s="3724" t="s">
        <v>2931</v>
      </c>
      <c r="F7" s="3725"/>
      <c r="G7" s="3724" t="s">
        <v>2932</v>
      </c>
      <c r="H7" s="3725"/>
      <c r="I7" s="3724" t="s">
        <v>2933</v>
      </c>
      <c r="J7" s="3725"/>
      <c r="K7" s="514"/>
      <c r="L7" s="2134"/>
      <c r="M7" s="2133"/>
      <c r="N7" s="2133"/>
      <c r="O7" s="2135"/>
      <c r="P7" s="3717"/>
      <c r="Q7" s="3718"/>
      <c r="R7" s="3703"/>
      <c r="S7" s="3704"/>
      <c r="T7" s="3703"/>
      <c r="U7" s="3704"/>
      <c r="V7" s="3721"/>
      <c r="W7" s="3721"/>
      <c r="X7" s="1567"/>
      <c r="Y7" s="3703"/>
      <c r="Z7" s="3704"/>
      <c r="AA7" s="3697"/>
      <c r="AB7" s="3697"/>
      <c r="AC7" s="3697"/>
    </row>
    <row r="8" spans="1:30" ht="21" thickBot="1">
      <c r="A8" s="515"/>
      <c r="B8" s="516"/>
      <c r="C8" s="3726" t="s">
        <v>2934</v>
      </c>
      <c r="D8" s="3727"/>
      <c r="E8" s="3726" t="s">
        <v>2934</v>
      </c>
      <c r="F8" s="3727"/>
      <c r="G8" s="3722" t="s">
        <v>2934</v>
      </c>
      <c r="H8" s="3723"/>
      <c r="I8" s="3722" t="s">
        <v>2934</v>
      </c>
      <c r="J8" s="3723"/>
      <c r="K8" s="514" t="s">
        <v>527</v>
      </c>
      <c r="L8" s="2134"/>
      <c r="M8" s="2133"/>
      <c r="N8" s="2133"/>
      <c r="O8" s="2135"/>
      <c r="P8" s="3719"/>
      <c r="Q8" s="3720"/>
      <c r="R8" s="3703"/>
      <c r="S8" s="3704"/>
      <c r="T8" s="3705"/>
      <c r="U8" s="3706"/>
      <c r="V8" s="3721"/>
      <c r="W8" s="3721"/>
      <c r="X8" s="1567"/>
      <c r="Y8" s="3705"/>
      <c r="Z8" s="3706"/>
      <c r="AA8" s="3698"/>
      <c r="AB8" s="3698"/>
      <c r="AC8" s="3698"/>
    </row>
    <row r="9" spans="1:30" s="1220" customFormat="1" ht="21"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699" t="s">
        <v>529</v>
      </c>
      <c r="Q9" s="3708"/>
      <c r="R9" s="1568" t="s">
        <v>8</v>
      </c>
      <c r="S9" s="1569">
        <f t="shared" ref="S9:S17" si="0">F9</f>
        <v>0</v>
      </c>
      <c r="T9" s="1568" t="s">
        <v>8</v>
      </c>
      <c r="U9" s="1569">
        <f t="shared" ref="U9:U17" si="1">H9</f>
        <v>0</v>
      </c>
      <c r="V9" s="1568" t="s">
        <v>8</v>
      </c>
      <c r="W9" s="1569">
        <f t="shared" ref="W9:W17" si="2">J9</f>
        <v>0</v>
      </c>
      <c r="X9" s="1570"/>
      <c r="Y9" s="3699" t="s">
        <v>529</v>
      </c>
      <c r="Z9" s="3700"/>
      <c r="AA9" s="1571" t="e">
        <f>D9/F9</f>
        <v>#DIV/0!</v>
      </c>
      <c r="AB9" s="1571" t="e">
        <f>D9/H9</f>
        <v>#DIV/0!</v>
      </c>
      <c r="AC9" s="1571" t="e">
        <f>D9/J9</f>
        <v>#DIV/0!</v>
      </c>
    </row>
    <row r="10" spans="1:30" s="1220" customFormat="1" ht="21"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699" t="s">
        <v>532</v>
      </c>
      <c r="Q10" s="3700"/>
      <c r="R10" s="1568" t="s">
        <v>8</v>
      </c>
      <c r="S10" s="1569">
        <f t="shared" si="0"/>
        <v>0</v>
      </c>
      <c r="T10" s="1568" t="s">
        <v>8</v>
      </c>
      <c r="U10" s="1569">
        <f t="shared" si="1"/>
        <v>0</v>
      </c>
      <c r="V10" s="1568" t="s">
        <v>8</v>
      </c>
      <c r="W10" s="1569">
        <f t="shared" si="2"/>
        <v>0</v>
      </c>
      <c r="X10" s="1570"/>
      <c r="Y10" s="3699" t="s">
        <v>532</v>
      </c>
      <c r="Z10" s="3700"/>
      <c r="AA10" s="1571" t="e">
        <f t="shared" ref="AA10:AA47" si="3">D10/F10</f>
        <v>#DIV/0!</v>
      </c>
      <c r="AB10" s="1571" t="e">
        <f t="shared" ref="AB10:AB47" si="4">D10/H10</f>
        <v>#DIV/0!</v>
      </c>
      <c r="AC10" s="1571" t="e">
        <f t="shared" ref="AC10:AC47" si="5">D10/J10</f>
        <v>#DIV/0!</v>
      </c>
    </row>
    <row r="11" spans="1:30" s="1220" customFormat="1" ht="20.25">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707" t="s">
        <v>534</v>
      </c>
      <c r="Q11" s="1151" t="str">
        <f t="shared" ref="Q11:Q17" si="6">B11</f>
        <v>用途</v>
      </c>
      <c r="R11" s="1568" t="s">
        <v>8</v>
      </c>
      <c r="S11" s="1569">
        <f t="shared" si="0"/>
        <v>100</v>
      </c>
      <c r="T11" s="1568" t="s">
        <v>8</v>
      </c>
      <c r="U11" s="1569">
        <f t="shared" si="1"/>
        <v>100</v>
      </c>
      <c r="V11" s="1568" t="s">
        <v>8</v>
      </c>
      <c r="W11" s="1569">
        <f t="shared" si="2"/>
        <v>100</v>
      </c>
      <c r="X11" s="1570"/>
      <c r="Y11" s="3664" t="s">
        <v>535</v>
      </c>
      <c r="Z11" s="1150" t="str">
        <f t="shared" ref="Z11:Z17" si="7">Q11</f>
        <v>用途</v>
      </c>
      <c r="AA11" s="1571">
        <f t="shared" si="3"/>
        <v>1</v>
      </c>
      <c r="AB11" s="1571">
        <f t="shared" si="4"/>
        <v>1</v>
      </c>
      <c r="AC11" s="1571">
        <f t="shared" si="5"/>
        <v>1</v>
      </c>
    </row>
    <row r="12" spans="1:30" s="1338" customFormat="1" ht="27">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707"/>
      <c r="Q12" s="1151" t="str">
        <f t="shared" si="6"/>
        <v>土地使用年限（年）</v>
      </c>
      <c r="R12" s="1568" t="s">
        <v>8</v>
      </c>
      <c r="S12" s="1569">
        <f t="shared" si="0"/>
        <v>136</v>
      </c>
      <c r="T12" s="1568" t="s">
        <v>8</v>
      </c>
      <c r="U12" s="1569">
        <f t="shared" si="1"/>
        <v>136</v>
      </c>
      <c r="V12" s="1568" t="s">
        <v>8</v>
      </c>
      <c r="W12" s="1569">
        <f t="shared" si="2"/>
        <v>136</v>
      </c>
      <c r="X12" s="1570"/>
      <c r="Y12" s="3664"/>
      <c r="Z12" s="1150" t="str">
        <f t="shared" si="7"/>
        <v>土地使用年限（年）</v>
      </c>
      <c r="AA12" s="1571">
        <f t="shared" si="3"/>
        <v>0.73529411764705888</v>
      </c>
      <c r="AB12" s="1571">
        <f t="shared" si="4"/>
        <v>0.73529411764705888</v>
      </c>
      <c r="AC12" s="1571">
        <f t="shared" si="5"/>
        <v>0.73529411764705888</v>
      </c>
    </row>
    <row r="13" spans="1:30" ht="20.25">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707"/>
      <c r="Q13" s="1151" t="str">
        <f t="shared" si="6"/>
        <v>容积率</v>
      </c>
      <c r="R13" s="1568" t="s">
        <v>8</v>
      </c>
      <c r="S13" s="1569" t="e">
        <f t="shared" si="0"/>
        <v>#N/A</v>
      </c>
      <c r="T13" s="1568" t="s">
        <v>8</v>
      </c>
      <c r="U13" s="1569" t="e">
        <f t="shared" si="1"/>
        <v>#N/A</v>
      </c>
      <c r="V13" s="1568" t="s">
        <v>8</v>
      </c>
      <c r="W13" s="1569" t="e">
        <f t="shared" si="2"/>
        <v>#N/A</v>
      </c>
      <c r="X13" s="1570"/>
      <c r="Y13" s="3664"/>
      <c r="Z13" s="1150" t="str">
        <f t="shared" si="7"/>
        <v>容积率</v>
      </c>
      <c r="AA13" s="1571" t="e">
        <f t="shared" si="3"/>
        <v>#N/A</v>
      </c>
      <c r="AB13" s="1571" t="e">
        <f t="shared" si="4"/>
        <v>#N/A</v>
      </c>
      <c r="AC13" s="1571" t="e">
        <f t="shared" si="5"/>
        <v>#N/A</v>
      </c>
    </row>
    <row r="14" spans="1:30" s="1220" customFormat="1" ht="20.25">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707"/>
      <c r="Q14" s="1151" t="str">
        <f t="shared" si="6"/>
        <v>配建</v>
      </c>
      <c r="R14" s="1568" t="s">
        <v>8</v>
      </c>
      <c r="S14" s="1569">
        <f t="shared" si="0"/>
        <v>100</v>
      </c>
      <c r="T14" s="1568" t="s">
        <v>8</v>
      </c>
      <c r="U14" s="1569">
        <f t="shared" si="1"/>
        <v>100</v>
      </c>
      <c r="V14" s="1568" t="s">
        <v>8</v>
      </c>
      <c r="W14" s="1569">
        <f t="shared" si="2"/>
        <v>100</v>
      </c>
      <c r="X14" s="1570"/>
      <c r="Y14" s="3664"/>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707"/>
      <c r="Q15" s="1151">
        <f t="shared" si="6"/>
        <v>111</v>
      </c>
      <c r="R15" s="1568" t="s">
        <v>8</v>
      </c>
      <c r="S15" s="1569">
        <f t="shared" si="0"/>
        <v>100</v>
      </c>
      <c r="T15" s="1568" t="s">
        <v>8</v>
      </c>
      <c r="U15" s="1569">
        <f t="shared" si="1"/>
        <v>100</v>
      </c>
      <c r="V15" s="1568" t="s">
        <v>8</v>
      </c>
      <c r="W15" s="1569">
        <f t="shared" si="2"/>
        <v>100</v>
      </c>
      <c r="X15" s="1570"/>
      <c r="Y15" s="3664"/>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707"/>
      <c r="Q16" s="1151">
        <f t="shared" si="6"/>
        <v>111</v>
      </c>
      <c r="R16" s="1568" t="s">
        <v>8</v>
      </c>
      <c r="S16" s="1569">
        <f t="shared" si="0"/>
        <v>100</v>
      </c>
      <c r="T16" s="1568" t="s">
        <v>8</v>
      </c>
      <c r="U16" s="1569">
        <f t="shared" si="1"/>
        <v>100</v>
      </c>
      <c r="V16" s="1568" t="s">
        <v>8</v>
      </c>
      <c r="W16" s="1569">
        <f t="shared" si="2"/>
        <v>100</v>
      </c>
      <c r="X16" s="1570"/>
      <c r="Y16" s="3664"/>
      <c r="Z16" s="1150">
        <f t="shared" si="7"/>
        <v>111</v>
      </c>
      <c r="AA16" s="1571">
        <f>D16/F16</f>
        <v>1</v>
      </c>
      <c r="AB16" s="1571">
        <f>D16/H16</f>
        <v>1</v>
      </c>
      <c r="AC16" s="1571">
        <f>D16/J16</f>
        <v>1</v>
      </c>
    </row>
    <row r="17" spans="1:29" ht="99.75">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709" t="s">
        <v>539</v>
      </c>
      <c r="Q17" s="1572" t="str">
        <f t="shared" si="6"/>
        <v>居住社区成熟度</v>
      </c>
      <c r="R17" s="1573" t="s">
        <v>8</v>
      </c>
      <c r="S17" s="1574">
        <f t="shared" si="0"/>
        <v>100</v>
      </c>
      <c r="T17" s="1573" t="s">
        <v>8</v>
      </c>
      <c r="U17" s="1574">
        <f t="shared" si="1"/>
        <v>100</v>
      </c>
      <c r="V17" s="1573" t="s">
        <v>8</v>
      </c>
      <c r="W17" s="1574">
        <f t="shared" si="2"/>
        <v>100</v>
      </c>
      <c r="X17" s="1567"/>
      <c r="Y17" s="3709"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710"/>
      <c r="Q18" s="1572"/>
      <c r="R18" s="1573"/>
      <c r="S18" s="1574"/>
      <c r="T18" s="1573"/>
      <c r="U18" s="1574"/>
      <c r="V18" s="1573"/>
      <c r="W18" s="1574"/>
      <c r="X18" s="1567"/>
      <c r="Y18" s="3710"/>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10"/>
      <c r="Q19" s="1572" t="str">
        <f>B19</f>
        <v>商业繁华度</v>
      </c>
      <c r="R19" s="1573" t="s">
        <v>8</v>
      </c>
      <c r="S19" s="1574">
        <f>F19</f>
        <v>100</v>
      </c>
      <c r="T19" s="1573" t="s">
        <v>8</v>
      </c>
      <c r="U19" s="1574">
        <f>H19</f>
        <v>100</v>
      </c>
      <c r="V19" s="1573" t="s">
        <v>8</v>
      </c>
      <c r="W19" s="1574">
        <f>J19</f>
        <v>100</v>
      </c>
      <c r="X19" s="1567"/>
      <c r="Y19" s="371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710"/>
      <c r="Q20" s="1572"/>
      <c r="R20" s="1573"/>
      <c r="S20" s="1574"/>
      <c r="T20" s="1573"/>
      <c r="U20" s="1574"/>
      <c r="V20" s="1573"/>
      <c r="W20" s="1574"/>
      <c r="X20" s="1567"/>
      <c r="Y20" s="3710"/>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10"/>
      <c r="Q21" s="1572" t="str">
        <f>B21</f>
        <v>办公集聚程度</v>
      </c>
      <c r="R21" s="1573" t="s">
        <v>8</v>
      </c>
      <c r="S21" s="1574">
        <f>F21</f>
        <v>100</v>
      </c>
      <c r="T21" s="1573" t="s">
        <v>8</v>
      </c>
      <c r="U21" s="1574">
        <f>H21</f>
        <v>100</v>
      </c>
      <c r="V21" s="1573" t="s">
        <v>8</v>
      </c>
      <c r="W21" s="1574">
        <f>J21</f>
        <v>100</v>
      </c>
      <c r="X21" s="1567"/>
      <c r="Y21" s="371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710"/>
      <c r="Q22" s="1572"/>
      <c r="R22" s="1573"/>
      <c r="S22" s="1574"/>
      <c r="T22" s="1573"/>
      <c r="U22" s="1574"/>
      <c r="V22" s="1573"/>
      <c r="W22" s="1574"/>
      <c r="X22" s="1567"/>
      <c r="Y22" s="3710"/>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710"/>
      <c r="Q23" s="1572" t="str">
        <f>B23</f>
        <v>交通便捷度</v>
      </c>
      <c r="R23" s="1573" t="s">
        <v>8</v>
      </c>
      <c r="S23" s="1574">
        <f>F23</f>
        <v>100</v>
      </c>
      <c r="T23" s="1573" t="s">
        <v>8</v>
      </c>
      <c r="U23" s="1574">
        <f>H23</f>
        <v>100</v>
      </c>
      <c r="V23" s="1573" t="s">
        <v>8</v>
      </c>
      <c r="W23" s="1574">
        <f>J23</f>
        <v>100</v>
      </c>
      <c r="X23" s="1567"/>
      <c r="Y23" s="3710"/>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710"/>
      <c r="Q24" s="1572"/>
      <c r="R24" s="1573"/>
      <c r="S24" s="1574"/>
      <c r="T24" s="1573"/>
      <c r="U24" s="1574"/>
      <c r="V24" s="1573"/>
      <c r="W24" s="1574"/>
      <c r="X24" s="1567"/>
      <c r="Y24" s="3710"/>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10"/>
      <c r="Q25" s="1572" t="str">
        <f t="shared" ref="Q25:Q39" si="8">B25</f>
        <v>区域土地利用方向</v>
      </c>
      <c r="R25" s="1573" t="s">
        <v>8</v>
      </c>
      <c r="S25" s="1574">
        <f>F25</f>
        <v>100</v>
      </c>
      <c r="T25" s="1573" t="s">
        <v>8</v>
      </c>
      <c r="U25" s="1574">
        <f>H25</f>
        <v>100</v>
      </c>
      <c r="V25" s="1573" t="s">
        <v>8</v>
      </c>
      <c r="W25" s="1574">
        <f>J25</f>
        <v>100</v>
      </c>
      <c r="X25" s="1567"/>
      <c r="Y25" s="3710"/>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710"/>
      <c r="Q26" s="1572"/>
      <c r="R26" s="1573"/>
      <c r="S26" s="1574"/>
      <c r="T26" s="1573"/>
      <c r="U26" s="1574"/>
      <c r="V26" s="1573"/>
      <c r="W26" s="1574"/>
      <c r="X26" s="1567"/>
      <c r="Y26" s="3710"/>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710"/>
      <c r="Q27" s="1572" t="str">
        <f t="shared" si="8"/>
        <v>自然及人文环境状况</v>
      </c>
      <c r="R27" s="1573" t="s">
        <v>8</v>
      </c>
      <c r="S27" s="1574">
        <f>F27</f>
        <v>100</v>
      </c>
      <c r="T27" s="1573" t="s">
        <v>8</v>
      </c>
      <c r="U27" s="1574">
        <f>H27</f>
        <v>100</v>
      </c>
      <c r="V27" s="1573" t="s">
        <v>8</v>
      </c>
      <c r="W27" s="1574">
        <f>J27</f>
        <v>100</v>
      </c>
      <c r="X27" s="1567"/>
      <c r="Y27" s="3710"/>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710"/>
      <c r="Q28" s="1572"/>
      <c r="R28" s="1573"/>
      <c r="S28" s="1574"/>
      <c r="T28" s="1573"/>
      <c r="U28" s="1574"/>
      <c r="V28" s="1573"/>
      <c r="W28" s="1574"/>
      <c r="X28" s="1567"/>
      <c r="Y28" s="3710"/>
      <c r="Z28" s="1575"/>
      <c r="AA28" s="1576">
        <v>1</v>
      </c>
      <c r="AB28" s="1576">
        <v>1</v>
      </c>
      <c r="AC28" s="1576">
        <v>1</v>
      </c>
    </row>
    <row r="29" spans="1:29" s="1220"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710"/>
      <c r="Q29" s="1151" t="str">
        <f t="shared" si="8"/>
        <v>公共配套设施</v>
      </c>
      <c r="R29" s="1568" t="s">
        <v>8</v>
      </c>
      <c r="S29" s="1569">
        <f>F29</f>
        <v>100</v>
      </c>
      <c r="T29" s="1568" t="s">
        <v>8</v>
      </c>
      <c r="U29" s="1569">
        <f>H29</f>
        <v>100</v>
      </c>
      <c r="V29" s="1568" t="s">
        <v>8</v>
      </c>
      <c r="W29" s="1569">
        <f>J29</f>
        <v>100</v>
      </c>
      <c r="X29" s="1570"/>
      <c r="Y29" s="3710"/>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710"/>
      <c r="Q30" s="1151"/>
      <c r="R30" s="1568"/>
      <c r="S30" s="1569"/>
      <c r="T30" s="1568"/>
      <c r="U30" s="1569"/>
      <c r="V30" s="1568"/>
      <c r="W30" s="1569"/>
      <c r="X30" s="1570"/>
      <c r="Y30" s="3710"/>
      <c r="Z30" s="1150"/>
      <c r="AA30" s="1576">
        <v>1</v>
      </c>
      <c r="AB30" s="1576">
        <v>1</v>
      </c>
      <c r="AC30" s="1576">
        <v>1</v>
      </c>
    </row>
    <row r="31" spans="1:29" s="1220"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710"/>
      <c r="Q31" s="2603" t="str">
        <f t="shared" ref="Q31" si="9">B31</f>
        <v>基础设施水平</v>
      </c>
      <c r="R31" s="1568" t="s">
        <v>8</v>
      </c>
      <c r="S31" s="1569">
        <f>F31</f>
        <v>100</v>
      </c>
      <c r="T31" s="1568" t="s">
        <v>8</v>
      </c>
      <c r="U31" s="1569">
        <f>H31</f>
        <v>100</v>
      </c>
      <c r="V31" s="1568" t="s">
        <v>8</v>
      </c>
      <c r="W31" s="1569">
        <f>J31</f>
        <v>100</v>
      </c>
      <c r="X31" s="1570"/>
      <c r="Y31" s="3710"/>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710"/>
      <c r="Q32" s="2603"/>
      <c r="R32" s="1568"/>
      <c r="S32" s="1569"/>
      <c r="T32" s="1568"/>
      <c r="U32" s="1569"/>
      <c r="V32" s="1568"/>
      <c r="W32" s="1569"/>
      <c r="X32" s="1570"/>
      <c r="Y32" s="3710"/>
      <c r="Z32" s="2600"/>
      <c r="AA32" s="1576">
        <v>1</v>
      </c>
      <c r="AB32" s="1576">
        <v>1</v>
      </c>
      <c r="AC32" s="157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71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10"/>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710"/>
      <c r="Q34" s="1572" t="str">
        <f t="shared" si="8"/>
        <v>毗邻道路的类型与等级</v>
      </c>
      <c r="R34" s="1573" t="s">
        <v>8</v>
      </c>
      <c r="S34" s="1574">
        <f t="shared" si="10"/>
        <v>100</v>
      </c>
      <c r="T34" s="1573" t="s">
        <v>8</v>
      </c>
      <c r="U34" s="1574">
        <f t="shared" si="11"/>
        <v>100</v>
      </c>
      <c r="V34" s="1573" t="s">
        <v>8</v>
      </c>
      <c r="W34" s="1574">
        <f t="shared" si="12"/>
        <v>100</v>
      </c>
      <c r="X34" s="1567"/>
      <c r="Y34" s="3710"/>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710"/>
      <c r="Q35" s="1572"/>
      <c r="R35" s="1573"/>
      <c r="S35" s="1574"/>
      <c r="T35" s="1573"/>
      <c r="U35" s="1574"/>
      <c r="V35" s="1573"/>
      <c r="W35" s="1574"/>
      <c r="X35" s="1567"/>
      <c r="Y35" s="3710"/>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10"/>
      <c r="Q36" s="1572" t="str">
        <f t="shared" si="8"/>
        <v>土地级别</v>
      </c>
      <c r="R36" s="1573" t="s">
        <v>8</v>
      </c>
      <c r="S36" s="1574">
        <f t="shared" si="10"/>
        <v>100</v>
      </c>
      <c r="T36" s="1573" t="s">
        <v>8</v>
      </c>
      <c r="U36" s="1574">
        <f t="shared" si="11"/>
        <v>100</v>
      </c>
      <c r="V36" s="1573" t="s">
        <v>8</v>
      </c>
      <c r="W36" s="1574">
        <f t="shared" si="12"/>
        <v>100</v>
      </c>
      <c r="X36" s="1567"/>
      <c r="Y36" s="371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10"/>
      <c r="Q37" s="1572">
        <f t="shared" si="8"/>
        <v>111</v>
      </c>
      <c r="R37" s="1573" t="s">
        <v>8</v>
      </c>
      <c r="S37" s="1574">
        <f t="shared" si="10"/>
        <v>100</v>
      </c>
      <c r="T37" s="1573" t="s">
        <v>8</v>
      </c>
      <c r="U37" s="1574">
        <f t="shared" si="11"/>
        <v>100</v>
      </c>
      <c r="V37" s="1573" t="s">
        <v>8</v>
      </c>
      <c r="W37" s="1574">
        <f t="shared" si="12"/>
        <v>100</v>
      </c>
      <c r="X37" s="1567"/>
      <c r="Y37" s="371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11" t="s">
        <v>549</v>
      </c>
      <c r="Q38" s="1572">
        <f t="shared" si="8"/>
        <v>111</v>
      </c>
      <c r="R38" s="1573" t="s">
        <v>8</v>
      </c>
      <c r="S38" s="1574">
        <f t="shared" si="10"/>
        <v>100</v>
      </c>
      <c r="T38" s="1573" t="s">
        <v>8</v>
      </c>
      <c r="U38" s="1574">
        <f t="shared" si="11"/>
        <v>100</v>
      </c>
      <c r="V38" s="1573" t="s">
        <v>8</v>
      </c>
      <c r="W38" s="1574">
        <f t="shared" si="12"/>
        <v>100</v>
      </c>
      <c r="X38" s="1567"/>
      <c r="Y38" s="3712"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12"/>
      <c r="Q39" s="1572">
        <f t="shared" si="8"/>
        <v>111</v>
      </c>
      <c r="R39" s="1577" t="s">
        <v>8</v>
      </c>
      <c r="S39" s="1578">
        <f t="shared" si="10"/>
        <v>100</v>
      </c>
      <c r="T39" s="1577" t="s">
        <v>8</v>
      </c>
      <c r="U39" s="1578">
        <f t="shared" si="11"/>
        <v>100</v>
      </c>
      <c r="V39" s="1577" t="s">
        <v>8</v>
      </c>
      <c r="W39" s="1578">
        <f t="shared" si="12"/>
        <v>100</v>
      </c>
      <c r="X39" s="1579"/>
      <c r="Y39" s="3712"/>
      <c r="Z39" s="1580">
        <f t="shared" si="13"/>
        <v>111</v>
      </c>
      <c r="AA39" s="1576">
        <f t="shared" si="3"/>
        <v>1</v>
      </c>
      <c r="AB39" s="1576">
        <f t="shared" si="4"/>
        <v>1</v>
      </c>
      <c r="AC39" s="1576">
        <f t="shared" si="5"/>
        <v>1</v>
      </c>
    </row>
    <row r="40" spans="1:29" ht="20.25">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712"/>
      <c r="Q40" s="1572" t="str">
        <f>B40</f>
        <v>宗地面积</v>
      </c>
      <c r="R40" s="1573" t="s">
        <v>8</v>
      </c>
      <c r="S40" s="1574" t="e">
        <f t="shared" si="10"/>
        <v>#N/A</v>
      </c>
      <c r="T40" s="1573" t="s">
        <v>8</v>
      </c>
      <c r="U40" s="1574" t="e">
        <f t="shared" si="11"/>
        <v>#N/A</v>
      </c>
      <c r="V40" s="1573" t="s">
        <v>8</v>
      </c>
      <c r="W40" s="1574" t="e">
        <f t="shared" si="12"/>
        <v>#N/A</v>
      </c>
      <c r="X40" s="1567"/>
      <c r="Y40" s="3712"/>
      <c r="Z40" s="1575" t="str">
        <f t="shared" si="13"/>
        <v>宗地面积</v>
      </c>
      <c r="AA40" s="1576" t="e">
        <f t="shared" si="3"/>
        <v>#N/A</v>
      </c>
      <c r="AB40" s="1576" t="e">
        <f t="shared" si="4"/>
        <v>#N/A</v>
      </c>
      <c r="AC40" s="1576"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712"/>
      <c r="Q41" s="1572" t="str">
        <f t="shared" ref="Q41:Q47" si="14">B41</f>
        <v>宗地形状</v>
      </c>
      <c r="R41" s="1573" t="s">
        <v>8</v>
      </c>
      <c r="S41" s="1574">
        <f t="shared" si="10"/>
        <v>100</v>
      </c>
      <c r="T41" s="1573" t="s">
        <v>8</v>
      </c>
      <c r="U41" s="1574">
        <f t="shared" si="11"/>
        <v>100</v>
      </c>
      <c r="V41" s="1573" t="s">
        <v>8</v>
      </c>
      <c r="W41" s="1574">
        <f t="shared" si="12"/>
        <v>100</v>
      </c>
      <c r="X41" s="1567"/>
      <c r="Y41" s="3712"/>
      <c r="Z41" s="1575" t="str">
        <f t="shared" si="13"/>
        <v>宗地形状</v>
      </c>
      <c r="AA41" s="1576">
        <f t="shared" si="3"/>
        <v>1</v>
      </c>
      <c r="AB41" s="1576">
        <f t="shared" si="4"/>
        <v>1</v>
      </c>
      <c r="AC41" s="1576">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712"/>
      <c r="Q42" s="1572" t="str">
        <f t="shared" si="14"/>
        <v>临街宽度及深度</v>
      </c>
      <c r="R42" s="1573" t="s">
        <v>8</v>
      </c>
      <c r="S42" s="1574">
        <f t="shared" si="10"/>
        <v>100</v>
      </c>
      <c r="T42" s="1573" t="s">
        <v>8</v>
      </c>
      <c r="U42" s="1574">
        <f t="shared" si="11"/>
        <v>100</v>
      </c>
      <c r="V42" s="1573" t="s">
        <v>8</v>
      </c>
      <c r="W42" s="1574">
        <f t="shared" si="12"/>
        <v>100</v>
      </c>
      <c r="X42" s="1567"/>
      <c r="Y42" s="3712"/>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712"/>
      <c r="Q43" s="1572" t="str">
        <f t="shared" si="14"/>
        <v>宗地开发程度</v>
      </c>
      <c r="R43" s="1568" t="s">
        <v>8</v>
      </c>
      <c r="S43" s="1569">
        <f t="shared" si="10"/>
        <v>100</v>
      </c>
      <c r="T43" s="1568" t="s">
        <v>8</v>
      </c>
      <c r="U43" s="1569">
        <f t="shared" si="11"/>
        <v>100</v>
      </c>
      <c r="V43" s="1568" t="s">
        <v>8</v>
      </c>
      <c r="W43" s="1569">
        <f t="shared" si="12"/>
        <v>100</v>
      </c>
      <c r="X43" s="1570"/>
      <c r="Y43" s="3712"/>
      <c r="Z43" s="1150" t="str">
        <f t="shared" si="13"/>
        <v>宗地开发程度</v>
      </c>
      <c r="AA43" s="1571">
        <f t="shared" si="3"/>
        <v>1</v>
      </c>
      <c r="AB43" s="1571">
        <f t="shared" si="4"/>
        <v>1</v>
      </c>
      <c r="AC43" s="1571">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712" t="s">
        <v>549</v>
      </c>
      <c r="Q44" s="1572" t="str">
        <f t="shared" si="14"/>
        <v>工程地质条件</v>
      </c>
      <c r="R44" s="1573" t="s">
        <v>8</v>
      </c>
      <c r="S44" s="1574">
        <f t="shared" si="10"/>
        <v>100</v>
      </c>
      <c r="T44" s="1573" t="s">
        <v>8</v>
      </c>
      <c r="U44" s="1574">
        <f t="shared" si="11"/>
        <v>100</v>
      </c>
      <c r="V44" s="1573" t="s">
        <v>8</v>
      </c>
      <c r="W44" s="1574">
        <f t="shared" si="12"/>
        <v>100</v>
      </c>
      <c r="X44" s="1567"/>
      <c r="Y44" s="3712"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12"/>
      <c r="Q45" s="1572">
        <f t="shared" si="14"/>
        <v>111</v>
      </c>
      <c r="R45" s="1573" t="s">
        <v>8</v>
      </c>
      <c r="S45" s="1574">
        <f t="shared" si="10"/>
        <v>100</v>
      </c>
      <c r="T45" s="1573" t="s">
        <v>8</v>
      </c>
      <c r="U45" s="1574">
        <f t="shared" si="11"/>
        <v>100</v>
      </c>
      <c r="V45" s="1573" t="s">
        <v>8</v>
      </c>
      <c r="W45" s="1574">
        <f t="shared" si="12"/>
        <v>100</v>
      </c>
      <c r="X45" s="1567"/>
      <c r="Y45" s="371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12"/>
      <c r="Q46" s="1572">
        <f t="shared" si="14"/>
        <v>111</v>
      </c>
      <c r="R46" s="1573" t="s">
        <v>8</v>
      </c>
      <c r="S46" s="1574">
        <f t="shared" si="10"/>
        <v>100</v>
      </c>
      <c r="T46" s="1573" t="s">
        <v>8</v>
      </c>
      <c r="U46" s="1574">
        <f t="shared" si="11"/>
        <v>100</v>
      </c>
      <c r="V46" s="1573" t="s">
        <v>8</v>
      </c>
      <c r="W46" s="1574">
        <f t="shared" si="12"/>
        <v>100</v>
      </c>
      <c r="X46" s="1567"/>
      <c r="Y46" s="371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12"/>
      <c r="Q47" s="1572">
        <f t="shared" si="14"/>
        <v>111</v>
      </c>
      <c r="R47" s="1577" t="s">
        <v>8</v>
      </c>
      <c r="S47" s="1578">
        <f t="shared" si="10"/>
        <v>100</v>
      </c>
      <c r="T47" s="1577" t="s">
        <v>8</v>
      </c>
      <c r="U47" s="1578">
        <f t="shared" si="11"/>
        <v>100</v>
      </c>
      <c r="V47" s="1577" t="s">
        <v>8</v>
      </c>
      <c r="W47" s="1578">
        <f t="shared" si="12"/>
        <v>100</v>
      </c>
      <c r="X47" s="1579"/>
      <c r="Y47" s="3712"/>
      <c r="Z47" s="1580">
        <f t="shared" si="13"/>
        <v>111</v>
      </c>
      <c r="AA47" s="1576">
        <f t="shared" si="3"/>
        <v>1</v>
      </c>
      <c r="AB47" s="1576">
        <f t="shared" si="4"/>
        <v>1</v>
      </c>
      <c r="AC47" s="1576">
        <f t="shared" si="5"/>
        <v>1</v>
      </c>
    </row>
    <row r="48" spans="1:29" ht="20.25">
      <c r="A48" s="607" t="s">
        <v>555</v>
      </c>
      <c r="B48" s="608" t="s">
        <v>2935</v>
      </c>
      <c r="C48" s="609" t="s">
        <v>1</v>
      </c>
      <c r="D48" s="610"/>
      <c r="E48" s="611"/>
      <c r="F48" s="612"/>
      <c r="G48" s="613"/>
      <c r="H48" s="614"/>
      <c r="I48" s="611"/>
      <c r="J48" s="614"/>
      <c r="K48" s="1340"/>
      <c r="L48" s="2145"/>
      <c r="M48" s="2133"/>
      <c r="N48" s="2133"/>
      <c r="O48" s="2146"/>
      <c r="P48" s="3707" t="str">
        <f>A48</f>
        <v>成交单价</v>
      </c>
      <c r="Q48" s="3707"/>
      <c r="R48" s="3721">
        <f>E48</f>
        <v>0</v>
      </c>
      <c r="S48" s="3721"/>
      <c r="T48" s="3721">
        <f>G48</f>
        <v>0</v>
      </c>
      <c r="U48" s="3721"/>
      <c r="V48" s="3721">
        <f>I48</f>
        <v>0</v>
      </c>
      <c r="W48" s="3721"/>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707" t="str">
        <f>A49</f>
        <v>比较价格（元/平方米）</v>
      </c>
      <c r="Q49" s="3707"/>
      <c r="R49" s="3731" t="e">
        <f>ROUND(PRODUCT(R48,AA9:AA47),0)</f>
        <v>#DIV/0!</v>
      </c>
      <c r="S49" s="3731"/>
      <c r="T49" s="3731" t="e">
        <f>ROUND(PRODUCT(T48,AB9:AB47),0)</f>
        <v>#DIV/0!</v>
      </c>
      <c r="U49" s="3731"/>
      <c r="V49" s="3731" t="e">
        <f>ROUND(PRODUCT(V48,AC9:AC47),0)</f>
        <v>#DIV/0!</v>
      </c>
      <c r="W49" s="3731"/>
      <c r="X49" s="1559"/>
      <c r="Y49" s="1559"/>
      <c r="Z49" s="1559"/>
      <c r="AA49" s="1559"/>
      <c r="AB49" s="1559"/>
      <c r="AC49" s="1559"/>
    </row>
    <row r="50" spans="1:29" ht="21" thickBot="1">
      <c r="A50" s="621" t="s">
        <v>2936</v>
      </c>
      <c r="B50" s="622"/>
      <c r="C50" s="623" t="e">
        <f>R50</f>
        <v>#DIV/0!</v>
      </c>
      <c r="D50" s="623"/>
      <c r="E50" s="623"/>
      <c r="F50" s="623"/>
      <c r="G50" s="623"/>
      <c r="H50" s="623"/>
      <c r="I50" s="623"/>
      <c r="J50" s="623"/>
      <c r="K50" s="1342"/>
      <c r="L50" s="2145"/>
      <c r="M50" s="2133"/>
      <c r="N50" s="2133"/>
      <c r="O50" s="2146"/>
      <c r="P50" s="3728" t="str">
        <f>A50</f>
        <v>估价对象XX用房的比较价格（楼面单价，元/平方米）</v>
      </c>
      <c r="Q50" s="3729"/>
      <c r="R50" s="3730" t="e">
        <f>ROUND(AVERAGE(R49:V49),0)</f>
        <v>#DIV/0!</v>
      </c>
      <c r="S50" s="3730"/>
      <c r="T50" s="3730"/>
      <c r="U50" s="3730"/>
      <c r="V50" s="3730"/>
      <c r="W50" s="373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691" t="s">
        <v>2283</v>
      </c>
      <c r="H57" s="3692"/>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t="e">
        <f>C50</f>
        <v>#DIV/0!</v>
      </c>
      <c r="C58" s="635">
        <v>1</v>
      </c>
      <c r="D58" s="2229">
        <v>1</v>
      </c>
      <c r="E58" s="635">
        <f>'数据-汇总表'!E8+'数据-汇总表'!E9</f>
        <v>59362.400000000001</v>
      </c>
      <c r="F58" s="636" t="e">
        <f t="shared" ref="F58:F67" si="15">ROUND(B58*E58/10000,0)</f>
        <v>#DIV/0!</v>
      </c>
      <c r="G58" s="3693"/>
      <c r="H58" s="369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t="e">
        <f>ROUND($C$50*C59*D59,0)</f>
        <v>#DIV/0!</v>
      </c>
      <c r="C59" s="378">
        <f t="shared" ref="C59:C67" si="16">IF($C$57="北京市系数",I59,J59)</f>
        <v>0</v>
      </c>
      <c r="D59" s="2230">
        <v>0.25</v>
      </c>
      <c r="E59" s="639">
        <v>0</v>
      </c>
      <c r="F59" s="636" t="e">
        <f t="shared" si="15"/>
        <v>#DIV/0!</v>
      </c>
      <c r="G59" s="3695"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t="e">
        <f t="shared" ref="B60:B67" si="17">ROUND($C$50*C60*D60,0)</f>
        <v>#DIV/0!</v>
      </c>
      <c r="C60" s="378">
        <f t="shared" si="16"/>
        <v>0</v>
      </c>
      <c r="D60" s="2230">
        <v>0.25</v>
      </c>
      <c r="E60" s="639">
        <v>0</v>
      </c>
      <c r="F60" s="636" t="e">
        <f t="shared" si="15"/>
        <v>#DIV/0!</v>
      </c>
      <c r="G60" s="369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t="e">
        <f t="shared" si="17"/>
        <v>#DIV/0!</v>
      </c>
      <c r="C61" s="378">
        <f t="shared" si="16"/>
        <v>0</v>
      </c>
      <c r="D61" s="2230">
        <v>0.25</v>
      </c>
      <c r="E61" s="639">
        <v>0</v>
      </c>
      <c r="F61" s="636" t="e">
        <f t="shared" si="15"/>
        <v>#DIV/0!</v>
      </c>
      <c r="G61" s="369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t="e">
        <f t="shared" si="17"/>
        <v>#DIV/0!</v>
      </c>
      <c r="C62" s="378">
        <f t="shared" si="16"/>
        <v>0</v>
      </c>
      <c r="D62" s="2230">
        <v>0.25</v>
      </c>
      <c r="E62" s="639">
        <v>0</v>
      </c>
      <c r="F62" s="636" t="e">
        <f t="shared" si="15"/>
        <v>#DIV/0!</v>
      </c>
      <c r="G62" s="369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0"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3.5"/>
  <cols>
    <col min="2" max="2" width="9" customWidth="1"/>
    <col min="3" max="3" width="23" customWidth="1"/>
    <col min="4" max="4" width="13" customWidth="1"/>
  </cols>
  <sheetData>
    <row r="2" spans="2:6" ht="24.75" customHeight="1">
      <c r="B2" s="3732" t="s">
        <v>3142</v>
      </c>
      <c r="C2" s="3732"/>
      <c r="D2" s="3732"/>
    </row>
    <row r="3" spans="2:6" ht="24.75" customHeight="1">
      <c r="B3" s="3229" t="s">
        <v>3143</v>
      </c>
      <c r="C3" s="3229" t="s">
        <v>3144</v>
      </c>
      <c r="D3" s="3229" t="s">
        <v>3147</v>
      </c>
    </row>
    <row r="4" spans="2:6" ht="24.75" customHeight="1">
      <c r="B4" s="3227">
        <v>1</v>
      </c>
      <c r="C4" s="3229" t="s">
        <v>3189</v>
      </c>
      <c r="D4" s="3227">
        <f ca="1">结果表!G19</f>
        <v>147484</v>
      </c>
    </row>
    <row r="5" spans="2:6" ht="24.75" customHeight="1">
      <c r="B5" s="3236">
        <v>2</v>
      </c>
      <c r="C5" s="3235" t="s">
        <v>3190</v>
      </c>
      <c r="D5" s="3236">
        <f ca="1">ROUND(F5*(结果表!G21-基准地价!C30)/10000,0)</f>
        <v>8423</v>
      </c>
      <c r="F5">
        <v>10879.7</v>
      </c>
    </row>
    <row r="6" spans="2:6" ht="24.75" customHeight="1">
      <c r="B6" s="3227">
        <v>3</v>
      </c>
      <c r="C6" s="3229" t="s">
        <v>3146</v>
      </c>
      <c r="D6" s="3233">
        <f>建筑物价格!Q91</f>
        <v>7850.2000000000007</v>
      </c>
    </row>
    <row r="7" spans="2:6" ht="24.75" customHeight="1">
      <c r="B7" s="3227">
        <v>4</v>
      </c>
      <c r="C7" s="3229" t="s">
        <v>3145</v>
      </c>
      <c r="D7" s="3227">
        <f>'附属物-树木'!F44</f>
        <v>212.25</v>
      </c>
    </row>
    <row r="8" spans="2:6" ht="24.75" customHeight="1">
      <c r="B8" s="3227">
        <v>5</v>
      </c>
      <c r="C8" s="3227" t="s">
        <v>3140</v>
      </c>
      <c r="D8" s="3227">
        <f>停产停业损失补偿!G9</f>
        <v>4064.17</v>
      </c>
    </row>
    <row r="9" spans="2:6" ht="24.75" customHeight="1">
      <c r="B9" s="3227">
        <v>6</v>
      </c>
      <c r="C9" s="3227" t="s">
        <v>3141</v>
      </c>
      <c r="D9" s="3227">
        <f>搬迁费!D5</f>
        <v>302.37</v>
      </c>
    </row>
    <row r="10" spans="2:6" ht="24.75" customHeight="1">
      <c r="B10" s="3733" t="s">
        <v>3148</v>
      </c>
      <c r="C10" s="3733"/>
      <c r="D10" s="3227">
        <f ca="1">SUM(D4:D9)</f>
        <v>168335.99000000002</v>
      </c>
    </row>
  </sheetData>
  <mergeCells count="2">
    <mergeCell ref="B2:D2"/>
    <mergeCell ref="B10:C10"/>
  </mergeCells>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F5" sqref="F5"/>
    </sheetView>
  </sheetViews>
  <sheetFormatPr defaultRowHeight="13.5"/>
  <cols>
    <col min="2" max="2" width="9" customWidth="1"/>
    <col min="3" max="3" width="33.5" customWidth="1"/>
    <col min="4" max="4" width="13" customWidth="1"/>
    <col min="6" max="6" width="13" customWidth="1"/>
    <col min="8" max="8" width="9" customWidth="1"/>
  </cols>
  <sheetData>
    <row r="2" spans="2:14" ht="24.75" customHeight="1">
      <c r="B2" s="3732" t="s">
        <v>3142</v>
      </c>
      <c r="C2" s="3732"/>
      <c r="D2" s="3732"/>
      <c r="F2" s="3354" t="s">
        <v>3514</v>
      </c>
      <c r="G2" s="3192" t="s">
        <v>3515</v>
      </c>
      <c r="H2" s="3192"/>
      <c r="I2" s="3192"/>
      <c r="J2" s="3192"/>
    </row>
    <row r="3" spans="2:14" ht="24.75" customHeight="1">
      <c r="B3" s="3242" t="s">
        <v>3143</v>
      </c>
      <c r="C3" s="3242" t="s">
        <v>3144</v>
      </c>
      <c r="D3" s="3242" t="s">
        <v>3147</v>
      </c>
      <c r="F3" s="1794">
        <f>'数据-基础表'!A3</f>
        <v>182153.37</v>
      </c>
      <c r="G3" s="1794">
        <f>'数据-基础表'!B3</f>
        <v>60473.499999999985</v>
      </c>
      <c r="I3" s="3737" t="s">
        <v>3509</v>
      </c>
      <c r="J3" s="3737"/>
      <c r="K3" s="3737" t="s">
        <v>3510</v>
      </c>
      <c r="L3" s="3737"/>
      <c r="M3" s="3737" t="s">
        <v>3511</v>
      </c>
      <c r="N3" s="3737"/>
    </row>
    <row r="4" spans="2:14" ht="24.75" customHeight="1">
      <c r="B4" s="3243">
        <v>1</v>
      </c>
      <c r="C4" s="3242" t="s">
        <v>3189</v>
      </c>
      <c r="D4" s="3243">
        <f ca="1">结果表!G21*'结果一览表 (基)'!F3</f>
        <v>1474895836.8899999</v>
      </c>
      <c r="F4" s="3354" t="s">
        <v>3232</v>
      </c>
      <c r="H4" s="3737" t="s">
        <v>3512</v>
      </c>
      <c r="I4" s="3192" t="s">
        <v>3516</v>
      </c>
      <c r="J4" s="3426" t="s">
        <v>3517</v>
      </c>
      <c r="K4" s="3192" t="s">
        <v>3516</v>
      </c>
      <c r="L4" s="3426" t="s">
        <v>3517</v>
      </c>
      <c r="M4" s="3192" t="s">
        <v>3516</v>
      </c>
      <c r="N4" s="3426" t="s">
        <v>3517</v>
      </c>
    </row>
    <row r="5" spans="2:14" ht="24.75" customHeight="1">
      <c r="B5" s="3243">
        <v>2</v>
      </c>
      <c r="C5" s="3242" t="s">
        <v>3190</v>
      </c>
      <c r="D5" s="3243">
        <f ca="1">ROUND(F5*(结果表!C21-基准地价!C30)/10000,0)</f>
        <v>2186</v>
      </c>
      <c r="F5" s="1794">
        <v>10879.7</v>
      </c>
      <c r="H5" s="3737"/>
      <c r="I5">
        <f ca="1">基准地价!B3</f>
        <v>2364</v>
      </c>
      <c r="J5">
        <f ca="1">基准地价!B4</f>
        <v>2364</v>
      </c>
      <c r="K5">
        <f ca="1">成本逼近法!B3</f>
        <v>31788</v>
      </c>
      <c r="L5">
        <f ca="1">成本逼近法!B4</f>
        <v>10554</v>
      </c>
      <c r="M5">
        <f>'比较法-工业'!B3</f>
        <v>9762</v>
      </c>
      <c r="N5">
        <f>'比较法-工业'!B4</f>
        <v>3241</v>
      </c>
    </row>
    <row r="6" spans="2:14" ht="24.75" customHeight="1">
      <c r="B6" s="3243">
        <v>3</v>
      </c>
      <c r="C6" s="3242" t="s">
        <v>3229</v>
      </c>
      <c r="D6" s="3244">
        <f>建筑物价格!Q43</f>
        <v>6004.7400000000007</v>
      </c>
      <c r="F6" s="3192" t="s">
        <v>3528</v>
      </c>
      <c r="G6" s="3192" t="s">
        <v>3529</v>
      </c>
      <c r="H6" s="3737"/>
      <c r="I6" s="3737" t="s">
        <v>3518</v>
      </c>
      <c r="J6" s="3737"/>
      <c r="K6" s="3737" t="s">
        <v>3518</v>
      </c>
      <c r="L6" s="3737"/>
      <c r="M6" s="3737" t="s">
        <v>3518</v>
      </c>
      <c r="N6" s="3737"/>
    </row>
    <row r="7" spans="2:14" ht="24.75" customHeight="1">
      <c r="B7" s="3243">
        <v>4</v>
      </c>
      <c r="C7" s="3242" t="s">
        <v>3230</v>
      </c>
      <c r="D7" s="3244">
        <f>建筑物价格!Q53</f>
        <v>228.82999999999998</v>
      </c>
      <c r="F7" s="1794">
        <f>44844-1468.94</f>
        <v>43375.06</v>
      </c>
      <c r="G7">
        <f>F7/F3</f>
        <v>0.23812384036595094</v>
      </c>
      <c r="H7" s="3737"/>
      <c r="I7" s="3738">
        <f ca="1">ROUND((J5*F3+基准地价!D38*基准地价!C38)/10000,0)</f>
        <v>43061</v>
      </c>
      <c r="J7" s="3738"/>
      <c r="K7" s="3738">
        <f ca="1">ROUND(L5*F3/10000,0)</f>
        <v>192245</v>
      </c>
      <c r="L7" s="3738"/>
      <c r="M7" s="3738"/>
      <c r="N7" s="3738"/>
    </row>
    <row r="8" spans="2:14" ht="24.75" customHeight="1">
      <c r="B8" s="3243">
        <v>5</v>
      </c>
      <c r="C8" s="3242" t="s">
        <v>3231</v>
      </c>
      <c r="D8" s="3244">
        <f>建筑物价格!Q89</f>
        <v>1616.6300000000003</v>
      </c>
      <c r="H8" s="3192" t="s">
        <v>3513</v>
      </c>
      <c r="I8">
        <f>'基准地价 (划拨)'!B3</f>
        <v>1486</v>
      </c>
      <c r="K8">
        <f ca="1">'成本逼近法 (划拨)'!B3</f>
        <v>2011</v>
      </c>
    </row>
    <row r="9" spans="2:14" ht="24.75" customHeight="1">
      <c r="B9" s="3243">
        <v>6</v>
      </c>
      <c r="C9" s="3242" t="s">
        <v>3443</v>
      </c>
      <c r="D9" s="3243">
        <f>'附属物-树木'!F44</f>
        <v>212.25</v>
      </c>
    </row>
    <row r="10" spans="2:14" ht="24.75" customHeight="1">
      <c r="B10" s="3250">
        <v>7</v>
      </c>
      <c r="C10" s="3249" t="s">
        <v>3519</v>
      </c>
      <c r="D10" s="3250">
        <f>ROUND('附属物-墙地泉'!G9,2)</f>
        <v>82.6</v>
      </c>
      <c r="F10" s="3427">
        <f>D6+D7+D8+D9+D10+D11+D12</f>
        <v>12511.590000000002</v>
      </c>
    </row>
    <row r="11" spans="2:14" ht="24.75" customHeight="1">
      <c r="B11" s="3243">
        <v>8</v>
      </c>
      <c r="C11" s="3243" t="s">
        <v>3140</v>
      </c>
      <c r="D11" s="3243">
        <f>停产停业损失补偿!G9</f>
        <v>4064.17</v>
      </c>
    </row>
    <row r="12" spans="2:14" ht="24.75" customHeight="1">
      <c r="B12" s="3243">
        <v>9</v>
      </c>
      <c r="C12" s="3243" t="s">
        <v>3141</v>
      </c>
      <c r="D12" s="3243">
        <f>搬迁费!D5</f>
        <v>302.37</v>
      </c>
    </row>
    <row r="13" spans="2:14" ht="24.75" customHeight="1">
      <c r="B13" s="3733" t="s">
        <v>3148</v>
      </c>
      <c r="C13" s="3733"/>
      <c r="D13" s="3243">
        <f ca="1">SUM(D4:D12)</f>
        <v>1474910534.4799998</v>
      </c>
      <c r="F13" s="3457"/>
      <c r="G13" s="3733" t="s">
        <v>3509</v>
      </c>
      <c r="H13" s="3733"/>
      <c r="I13" s="3733" t="s">
        <v>3510</v>
      </c>
      <c r="J13" s="3733"/>
      <c r="K13" s="3733" t="s">
        <v>3531</v>
      </c>
      <c r="L13" s="3733"/>
    </row>
    <row r="14" spans="2:14">
      <c r="F14" s="3452" t="s">
        <v>3533</v>
      </c>
      <c r="G14" s="3734">
        <f ca="1">基准地价!E29+基准地价!E38</f>
        <v>43061</v>
      </c>
      <c r="H14" s="3734"/>
      <c r="I14" s="3734">
        <f ca="1">成本逼近法!B2</f>
        <v>192236</v>
      </c>
      <c r="J14" s="3734"/>
      <c r="K14" s="3734">
        <f ca="1">ROUND(ROUND('比较法-工业'!C44*基准地价!C20,0)*'结果一览表 (基)'!F3/10000,0)</f>
        <v>46959</v>
      </c>
      <c r="L14" s="3734"/>
    </row>
    <row r="15" spans="2:14">
      <c r="D15" s="3427">
        <f>D6+D7+D8+D9+D10+D11+D12</f>
        <v>12511.590000000002</v>
      </c>
      <c r="F15" s="3452" t="s">
        <v>3534</v>
      </c>
      <c r="G15" s="3735">
        <f ca="1">ROUND(G14*G7,0)</f>
        <v>10254</v>
      </c>
      <c r="H15" s="3736"/>
      <c r="I15" s="3735">
        <f ca="1">ROUND(I14*G7,0)</f>
        <v>45776</v>
      </c>
      <c r="J15" s="3736"/>
      <c r="K15" s="3735">
        <f ca="1">ROUND(K14*G7,0)</f>
        <v>11182</v>
      </c>
      <c r="L15" s="3736"/>
    </row>
    <row r="16" spans="2:14">
      <c r="D16">
        <v>9903.83</v>
      </c>
      <c r="F16" s="3452" t="s">
        <v>3527</v>
      </c>
      <c r="G16" s="3734">
        <f>'基准地价 (划拨)'!E29-'基准地价 (划拨)'!E30</f>
        <v>2748</v>
      </c>
      <c r="H16" s="3734"/>
      <c r="I16" s="3734">
        <f ca="1">'成本逼近法 (划拨)'!B2</f>
        <v>12163</v>
      </c>
      <c r="J16" s="3734"/>
      <c r="K16" s="3734">
        <f>ROUND(('比较法-工业'!C44-'基准地价 (划拨)'!C30)*'结果一览表 (基)'!F5/10000,0)</f>
        <v>3041</v>
      </c>
      <c r="L16" s="3734"/>
    </row>
    <row r="17" spans="4:12">
      <c r="D17" s="3427">
        <f>SUM(D15:D16)</f>
        <v>22415.420000000002</v>
      </c>
      <c r="F17" s="3452" t="s">
        <v>3535</v>
      </c>
      <c r="G17" s="3734">
        <f ca="1">G14+G16</f>
        <v>45809</v>
      </c>
      <c r="H17" s="3734"/>
      <c r="I17" s="3734">
        <f t="shared" ref="I17" ca="1" si="0">I14+I16</f>
        <v>204399</v>
      </c>
      <c r="J17" s="3734"/>
      <c r="K17" s="3734">
        <f t="shared" ref="K17" ca="1" si="1">K14+K16</f>
        <v>50000</v>
      </c>
      <c r="L17" s="3734"/>
    </row>
    <row r="18" spans="4:12">
      <c r="D18">
        <v>102048</v>
      </c>
    </row>
    <row r="19" spans="4:12">
      <c r="D19" s="3427">
        <f>SUM(D17:D18)</f>
        <v>124463.42</v>
      </c>
      <c r="F19" s="3458" t="s">
        <v>3530</v>
      </c>
    </row>
    <row r="20" spans="4:12">
      <c r="F20" s="3733" t="str">
        <f>G13</f>
        <v>基准地价法</v>
      </c>
      <c r="G20" s="3733"/>
      <c r="H20" s="3455">
        <v>0.3</v>
      </c>
      <c r="I20" s="3734">
        <f ca="1">ROUND(G14*H20+I14*H21,0)</f>
        <v>147484</v>
      </c>
      <c r="J20" s="3734"/>
    </row>
    <row r="21" spans="4:12">
      <c r="F21" s="3733" t="str">
        <f>I13</f>
        <v>成本法</v>
      </c>
      <c r="G21" s="3733"/>
      <c r="H21" s="3455">
        <f>1-H20</f>
        <v>0.7</v>
      </c>
      <c r="I21" s="3734"/>
      <c r="J21" s="3734"/>
    </row>
    <row r="22" spans="4:12">
      <c r="F22" s="3733" t="str">
        <f>G13</f>
        <v>基准地价法</v>
      </c>
      <c r="G22" s="3733"/>
      <c r="H22" s="3455">
        <v>0.5</v>
      </c>
      <c r="I22" s="3734">
        <f ca="1">ROUND(G17*H22+K17*H23,0)</f>
        <v>47905</v>
      </c>
      <c r="J22" s="3734"/>
    </row>
    <row r="23" spans="4:12">
      <c r="F23" s="3733" t="str">
        <f>K13</f>
        <v>市场比较法</v>
      </c>
      <c r="G23" s="3733"/>
      <c r="H23" s="3452">
        <f>1-H22</f>
        <v>0.5</v>
      </c>
      <c r="I23" s="3734"/>
      <c r="J23" s="3734"/>
    </row>
    <row r="24" spans="4:12">
      <c r="H24" s="3454"/>
    </row>
    <row r="25" spans="4:12">
      <c r="F25" s="3453" t="s">
        <v>3532</v>
      </c>
      <c r="H25" s="3454"/>
    </row>
    <row r="26" spans="4:12">
      <c r="F26" s="3733" t="str">
        <f>G13</f>
        <v>基准地价法</v>
      </c>
      <c r="G26" s="3733"/>
      <c r="H26" s="3455">
        <v>0.3</v>
      </c>
      <c r="I26" s="3734">
        <f ca="1">ROUND(G15*H26+I15*H27,0)</f>
        <v>35119</v>
      </c>
      <c r="J26" s="3734"/>
    </row>
    <row r="27" spans="4:12">
      <c r="F27" s="3733" t="str">
        <f>I13</f>
        <v>成本法</v>
      </c>
      <c r="G27" s="3733"/>
      <c r="H27" s="3455">
        <f>1-H26</f>
        <v>0.7</v>
      </c>
      <c r="I27" s="3734"/>
      <c r="J27" s="3734"/>
    </row>
    <row r="28" spans="4:12">
      <c r="F28" s="3733" t="str">
        <f>G13</f>
        <v>基准地价法</v>
      </c>
      <c r="G28" s="3733"/>
      <c r="H28" s="3455">
        <v>0.5</v>
      </c>
      <c r="I28" s="3734">
        <f ca="1">ROUND(G15*H28+K15*H29,0)</f>
        <v>10718</v>
      </c>
      <c r="J28" s="3734"/>
    </row>
    <row r="29" spans="4:12">
      <c r="F29" s="3733" t="str">
        <f>K13</f>
        <v>市场比较法</v>
      </c>
      <c r="G29" s="3733"/>
      <c r="H29" s="3452">
        <f>1-H28</f>
        <v>0.5</v>
      </c>
      <c r="I29" s="3734"/>
      <c r="J29" s="3734"/>
    </row>
  </sheetData>
  <mergeCells count="39">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 ref="G14:H14"/>
    <mergeCell ref="G16:H16"/>
    <mergeCell ref="I14:J14"/>
    <mergeCell ref="I16:J16"/>
    <mergeCell ref="K14:L14"/>
    <mergeCell ref="K16:L16"/>
    <mergeCell ref="G15:H15"/>
    <mergeCell ref="I15:J15"/>
    <mergeCell ref="K15:L15"/>
    <mergeCell ref="G17:H17"/>
    <mergeCell ref="I17:J17"/>
    <mergeCell ref="K17:L17"/>
    <mergeCell ref="I20:J21"/>
    <mergeCell ref="I22:J23"/>
    <mergeCell ref="F20:G20"/>
    <mergeCell ref="F21:G21"/>
    <mergeCell ref="F22:G22"/>
    <mergeCell ref="F23:G23"/>
    <mergeCell ref="F26:G26"/>
    <mergeCell ref="I26:J27"/>
    <mergeCell ref="F27:G27"/>
    <mergeCell ref="F28:G28"/>
    <mergeCell ref="I28:J29"/>
    <mergeCell ref="F29:G29"/>
  </mergeCells>
  <phoneticPr fontId="23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7" workbookViewId="0">
      <selection activeCell="F16" sqref="F16"/>
    </sheetView>
  </sheetViews>
  <sheetFormatPr defaultRowHeight="13.5"/>
  <cols>
    <col min="2" max="2" width="9.125" bestFit="1" customWidth="1"/>
    <col min="3" max="3" width="24.5" customWidth="1"/>
    <col min="4" max="4" width="14.75" customWidth="1"/>
    <col min="5" max="5" width="13.5" customWidth="1"/>
    <col min="6" max="6" width="52.25" customWidth="1"/>
    <col min="8" max="8" width="19.5" customWidth="1"/>
  </cols>
  <sheetData>
    <row r="1" spans="1:19" ht="20.100000000000001" customHeight="1"/>
    <row r="2" spans="1:19" ht="20.100000000000001" customHeight="1"/>
    <row r="3" spans="1:19" ht="20.100000000000001" customHeight="1" thickBot="1"/>
    <row r="4" spans="1:19" s="3190" customFormat="1" ht="22.5" customHeight="1" thickBot="1">
      <c r="A4" s="3468"/>
      <c r="B4" s="3466" t="s">
        <v>3559</v>
      </c>
      <c r="C4" s="3466" t="s">
        <v>3560</v>
      </c>
      <c r="D4" s="3467" t="s">
        <v>3563</v>
      </c>
      <c r="E4" s="3466" t="s">
        <v>3561</v>
      </c>
      <c r="F4" s="3466" t="s">
        <v>3562</v>
      </c>
      <c r="G4" s="3471"/>
      <c r="H4" s="3460"/>
      <c r="I4" s="3460"/>
      <c r="J4" s="3460"/>
      <c r="K4" s="3460"/>
      <c r="L4" s="3460"/>
      <c r="M4" s="3460"/>
      <c r="N4" s="3460"/>
      <c r="O4" s="3460"/>
      <c r="P4" s="3461"/>
      <c r="Q4" s="3460"/>
    </row>
    <row r="5" spans="1:19" s="3190" customFormat="1" ht="22.5" customHeight="1" thickTop="1">
      <c r="A5" s="3469"/>
      <c r="B5" s="3524" t="s">
        <v>3594</v>
      </c>
      <c r="C5" s="3525" t="s">
        <v>3596</v>
      </c>
      <c r="D5" s="3220" t="s">
        <v>3598</v>
      </c>
      <c r="E5" s="3523">
        <f ca="1">ROUND(结果表!C19*0.3+结果表!D19*0.7,0)</f>
        <v>147484</v>
      </c>
      <c r="F5" s="3224" t="s">
        <v>3548</v>
      </c>
      <c r="G5" s="3472"/>
      <c r="H5" s="3221">
        <f ca="1">E5*10000/'数据-基础表'!A3</f>
        <v>8096.6934622181298</v>
      </c>
      <c r="I5" s="3221"/>
      <c r="J5" s="3221"/>
      <c r="K5" s="3221"/>
      <c r="L5" s="3221"/>
      <c r="M5" s="3221"/>
      <c r="N5" s="3221"/>
      <c r="O5" s="3223"/>
      <c r="P5" s="3221"/>
      <c r="Q5" s="3224"/>
      <c r="S5"/>
    </row>
    <row r="6" spans="1:19" s="3190" customFormat="1" ht="22.5" customHeight="1">
      <c r="A6" s="3469"/>
      <c r="B6" s="3524" t="s">
        <v>3595</v>
      </c>
      <c r="C6" s="3525" t="s">
        <v>3597</v>
      </c>
      <c r="D6" s="3220" t="s">
        <v>3599</v>
      </c>
      <c r="E6" s="3523">
        <f>ROUND(2748*0.3+12163*0.7,0)</f>
        <v>9339</v>
      </c>
      <c r="F6" s="3224" t="str">
        <f>F5</f>
        <v>基准地价修正系数法、成本法</v>
      </c>
      <c r="G6" s="3472"/>
      <c r="H6" s="3221">
        <f>E6*10000/'结果一览表 (基)'!F5</f>
        <v>8583.8763936505602</v>
      </c>
      <c r="I6" s="3221"/>
      <c r="J6" s="3221"/>
      <c r="K6" s="3221"/>
      <c r="L6" s="3221"/>
      <c r="M6" s="3221"/>
      <c r="N6" s="3221"/>
      <c r="O6" s="3223"/>
      <c r="P6" s="3221"/>
      <c r="Q6" s="3224"/>
      <c r="S6"/>
    </row>
    <row r="7" spans="1:19" s="3190" customFormat="1" ht="58.5" customHeight="1">
      <c r="A7" s="3470"/>
      <c r="B7" s="3210">
        <v>2</v>
      </c>
      <c r="C7" s="3478" t="s">
        <v>3564</v>
      </c>
      <c r="D7" s="3198" t="s">
        <v>3565</v>
      </c>
      <c r="E7" s="3197">
        <f>建筑物价格!Q91</f>
        <v>7850.2000000000007</v>
      </c>
      <c r="F7" s="3475" t="s">
        <v>3551</v>
      </c>
      <c r="G7" s="3473"/>
      <c r="H7" s="3199"/>
      <c r="I7" s="3199"/>
      <c r="J7" s="3199"/>
      <c r="K7" s="3199"/>
      <c r="L7" s="3199"/>
      <c r="M7" s="3199"/>
      <c r="N7" s="3199"/>
      <c r="O7" s="3200"/>
      <c r="P7" s="3199"/>
      <c r="Q7" s="3208"/>
      <c r="S7"/>
    </row>
    <row r="8" spans="1:19" s="3190" customFormat="1" ht="41.25" customHeight="1">
      <c r="A8" s="3469"/>
      <c r="B8" s="3474">
        <v>3</v>
      </c>
      <c r="C8" s="3477" t="s">
        <v>3566</v>
      </c>
      <c r="D8" s="3220" t="s">
        <v>3557</v>
      </c>
      <c r="E8" s="3219">
        <f>'附属物-墙地泉'!G9+'附属物-树木'!F44</f>
        <v>294.85000000000002</v>
      </c>
      <c r="F8" s="3476" t="s">
        <v>3552</v>
      </c>
      <c r="G8" s="3472"/>
      <c r="H8" s="3221"/>
      <c r="I8" s="3221"/>
      <c r="J8" s="3221"/>
      <c r="K8" s="3221"/>
      <c r="L8" s="3221"/>
      <c r="M8" s="3221"/>
      <c r="N8" s="3221"/>
      <c r="O8" s="3223"/>
      <c r="P8" s="3221"/>
      <c r="Q8" s="3224"/>
      <c r="S8"/>
    </row>
    <row r="9" spans="1:19" s="3190" customFormat="1" ht="45.75" customHeight="1">
      <c r="A9" s="3470"/>
      <c r="B9" s="3210">
        <v>4</v>
      </c>
      <c r="C9" s="3478" t="s">
        <v>3567</v>
      </c>
      <c r="D9" s="3198" t="s">
        <v>3557</v>
      </c>
      <c r="E9" s="3197">
        <v>9903.83</v>
      </c>
      <c r="F9" s="3475" t="s">
        <v>3553</v>
      </c>
      <c r="G9" s="3473"/>
      <c r="H9" s="3199"/>
      <c r="I9" s="3199"/>
      <c r="J9" s="3199"/>
      <c r="K9" s="3199"/>
      <c r="L9" s="3199"/>
      <c r="M9" s="3199"/>
      <c r="N9" s="3199"/>
      <c r="O9" s="3200"/>
      <c r="P9" s="3199"/>
      <c r="Q9" s="3208"/>
      <c r="S9"/>
    </row>
    <row r="10" spans="1:19" s="3190" customFormat="1" ht="67.5" customHeight="1">
      <c r="A10" s="3469"/>
      <c r="B10" s="3474">
        <v>5</v>
      </c>
      <c r="C10" s="3477" t="s">
        <v>3568</v>
      </c>
      <c r="D10" s="3220" t="s">
        <v>3557</v>
      </c>
      <c r="E10" s="3219">
        <f>停产停业损失补偿!G9</f>
        <v>4064.17</v>
      </c>
      <c r="F10" s="3476" t="s">
        <v>3556</v>
      </c>
      <c r="G10" s="3472"/>
      <c r="H10" s="3221"/>
      <c r="I10" s="3221"/>
      <c r="J10" s="3221"/>
      <c r="K10" s="3221"/>
      <c r="L10" s="3221"/>
      <c r="M10" s="3221"/>
      <c r="N10" s="3221"/>
      <c r="O10" s="3223"/>
      <c r="P10" s="3221"/>
      <c r="Q10" s="3224"/>
      <c r="S10"/>
    </row>
    <row r="11" spans="1:19" s="3190" customFormat="1" ht="84" customHeight="1" thickBot="1">
      <c r="A11" s="3470"/>
      <c r="B11" s="3484">
        <v>6</v>
      </c>
      <c r="C11" s="3485" t="s">
        <v>3549</v>
      </c>
      <c r="D11" s="3486" t="s">
        <v>3569</v>
      </c>
      <c r="E11" s="3487">
        <f>搬迁费!D5</f>
        <v>302.37</v>
      </c>
      <c r="F11" s="3488" t="s">
        <v>3555</v>
      </c>
      <c r="G11" s="3473"/>
      <c r="H11" s="3199"/>
      <c r="I11" s="3199"/>
      <c r="J11" s="3199"/>
      <c r="K11" s="3199"/>
      <c r="L11" s="3199"/>
      <c r="M11" s="3199"/>
      <c r="N11" s="3199"/>
      <c r="O11" s="3200"/>
      <c r="P11" s="3199"/>
      <c r="Q11" s="3208"/>
      <c r="S11"/>
    </row>
    <row r="12" spans="1:19" s="3190" customFormat="1" ht="22.5" customHeight="1" thickTop="1" thickBot="1">
      <c r="A12" s="3469"/>
      <c r="B12" s="3479" t="s">
        <v>3558</v>
      </c>
      <c r="C12" s="3480" t="s">
        <v>3550</v>
      </c>
      <c r="D12" s="3481" t="str">
        <f>D5</f>
        <v>182153.37㎡</v>
      </c>
      <c r="E12" s="3482">
        <f ca="1">SUM(E5:E11)-E6</f>
        <v>169899.42</v>
      </c>
      <c r="F12" s="3483" t="s">
        <v>3554</v>
      </c>
      <c r="G12" s="3472"/>
      <c r="H12" s="3221"/>
      <c r="I12" s="3221"/>
      <c r="J12" s="3221"/>
      <c r="K12" s="3221"/>
      <c r="L12" s="3221"/>
      <c r="M12" s="3221"/>
      <c r="N12" s="3221"/>
      <c r="O12" s="3223"/>
      <c r="P12" s="3221"/>
      <c r="Q12" s="3224"/>
      <c r="S12"/>
    </row>
    <row r="13" spans="1:19" ht="20.100000000000001" customHeight="1"/>
    <row r="14" spans="1:19" ht="20.100000000000001" customHeight="1">
      <c r="E14">
        <f>1698994200/182153.37</f>
        <v>9327.2729458697358</v>
      </c>
    </row>
    <row r="15" spans="1:19" ht="20.100000000000001" customHeight="1"/>
    <row r="16" spans="1:19" ht="20.100000000000001" customHeight="1"/>
    <row r="17" spans="2:12" ht="20.100000000000001" customHeight="1"/>
    <row r="18" spans="2:12" ht="20.100000000000001" customHeight="1" thickBot="1"/>
    <row r="19" spans="2:12" ht="56.25" customHeight="1" thickBot="1">
      <c r="B19" s="3493" t="s">
        <v>3578</v>
      </c>
      <c r="C19" s="3494" t="s">
        <v>3579</v>
      </c>
      <c r="D19" s="3495" t="s">
        <v>3580</v>
      </c>
      <c r="E19" s="3496" t="s">
        <v>3581</v>
      </c>
    </row>
    <row r="20" spans="2:12" ht="56.25" customHeight="1" thickTop="1">
      <c r="B20" s="3498" t="s">
        <v>3574</v>
      </c>
      <c r="C20" s="3499" t="s">
        <v>3584</v>
      </c>
      <c r="D20" s="3499">
        <v>54.943399999999997</v>
      </c>
      <c r="E20" s="3500">
        <f>ROUND(2699.07597636841,0)</f>
        <v>2699</v>
      </c>
    </row>
    <row r="21" spans="2:12" ht="56.25" customHeight="1">
      <c r="B21" s="3501" t="s">
        <v>3575</v>
      </c>
      <c r="C21" s="3478" t="s">
        <v>3583</v>
      </c>
      <c r="D21" s="3502">
        <v>63.74803</v>
      </c>
      <c r="E21" s="3503">
        <v>4260</v>
      </c>
    </row>
    <row r="22" spans="2:12" ht="56.25" customHeight="1" thickBot="1">
      <c r="B22" s="3504" t="s">
        <v>3576</v>
      </c>
      <c r="C22" s="3497" t="s">
        <v>3582</v>
      </c>
      <c r="D22" s="3505">
        <v>15.28</v>
      </c>
      <c r="E22" s="3506">
        <v>10901</v>
      </c>
    </row>
    <row r="23" spans="2:12" ht="14.25" thickBot="1"/>
    <row r="24" spans="2:12" ht="15" thickBot="1">
      <c r="G24" s="3739" t="s">
        <v>2378</v>
      </c>
      <c r="H24" s="3739" t="s">
        <v>3585</v>
      </c>
      <c r="I24" s="3741" t="s">
        <v>3586</v>
      </c>
      <c r="J24" s="3742"/>
      <c r="K24" s="3743"/>
      <c r="L24" s="3739" t="s">
        <v>3587</v>
      </c>
    </row>
    <row r="25" spans="2:12" ht="15" thickBot="1">
      <c r="G25" s="3740"/>
      <c r="H25" s="3740"/>
      <c r="I25" s="3507" t="s">
        <v>3009</v>
      </c>
      <c r="J25" s="3508" t="s">
        <v>3588</v>
      </c>
      <c r="K25" s="3508" t="s">
        <v>24</v>
      </c>
      <c r="L25" s="3740"/>
    </row>
    <row r="26" spans="2:12" ht="15.75" thickBot="1">
      <c r="G26" s="3509">
        <v>36892</v>
      </c>
      <c r="H26" s="3510" t="s">
        <v>3589</v>
      </c>
      <c r="I26" s="3511">
        <v>43120</v>
      </c>
      <c r="J26" s="3511">
        <v>2748</v>
      </c>
      <c r="K26" s="3511">
        <v>45868</v>
      </c>
      <c r="L26" s="3510" t="s">
        <v>951</v>
      </c>
    </row>
    <row r="27" spans="2:12" ht="243.75" thickBot="1">
      <c r="G27" s="3509">
        <v>36893</v>
      </c>
      <c r="H27" s="3510" t="s">
        <v>3184</v>
      </c>
      <c r="I27" s="3511">
        <v>118395</v>
      </c>
      <c r="J27" s="3511">
        <v>7731</v>
      </c>
      <c r="K27" s="3511">
        <v>126126</v>
      </c>
      <c r="L27" s="3510" t="s">
        <v>3590</v>
      </c>
    </row>
    <row r="45" spans="8:11" ht="5.25" customHeight="1" thickBot="1"/>
    <row r="46" spans="8:11" ht="14.25" hidden="1" thickBot="1"/>
    <row r="47" spans="8:11" ht="20.25" customHeight="1">
      <c r="H47" s="3744" t="s">
        <v>3585</v>
      </c>
      <c r="I47" s="3746" t="s">
        <v>3586</v>
      </c>
      <c r="J47" s="3747"/>
      <c r="K47" s="3748"/>
    </row>
    <row r="48" spans="8:11" ht="20.25" customHeight="1" thickBot="1">
      <c r="H48" s="3745"/>
      <c r="I48" s="3520" t="s">
        <v>3009</v>
      </c>
      <c r="J48" s="3521" t="s">
        <v>3588</v>
      </c>
      <c r="K48" s="3522" t="s">
        <v>24</v>
      </c>
    </row>
    <row r="49" spans="8:11" ht="36" customHeight="1">
      <c r="H49" s="3518" t="s">
        <v>3589</v>
      </c>
      <c r="I49" s="3516">
        <v>43120</v>
      </c>
      <c r="J49" s="3514">
        <v>2748</v>
      </c>
      <c r="K49" s="3515">
        <v>45868</v>
      </c>
    </row>
    <row r="50" spans="8:11" ht="36" customHeight="1" thickBot="1">
      <c r="H50" s="3519" t="s">
        <v>3184</v>
      </c>
      <c r="I50" s="3517">
        <v>118395</v>
      </c>
      <c r="J50" s="3512">
        <v>7731</v>
      </c>
      <c r="K50" s="3513">
        <v>126126</v>
      </c>
    </row>
  </sheetData>
  <mergeCells count="6">
    <mergeCell ref="G24:G25"/>
    <mergeCell ref="H24:H25"/>
    <mergeCell ref="I24:K24"/>
    <mergeCell ref="L24:L25"/>
    <mergeCell ref="H47:H48"/>
    <mergeCell ref="I47:K47"/>
  </mergeCells>
  <phoneticPr fontId="23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E42" sqref="E4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75">
      <c r="A2" s="1406" t="s">
        <v>919</v>
      </c>
      <c r="B2" s="1038">
        <f ca="1">C26</f>
        <v>43061</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3961</v>
      </c>
      <c r="U2" s="2951"/>
      <c r="V2" s="2962">
        <f ca="1">ROUND(T2*U2/10000,0)</f>
        <v>0</v>
      </c>
      <c r="W2" s="2190"/>
      <c r="X2" s="2190"/>
      <c r="Y2" s="2190"/>
      <c r="Z2" s="2190"/>
      <c r="AA2" s="2190"/>
      <c r="AB2" s="2190"/>
      <c r="AC2" s="2191"/>
    </row>
    <row r="3" spans="1:39" ht="15.75">
      <c r="A3" s="1411" t="s">
        <v>1687</v>
      </c>
      <c r="B3" s="1038">
        <f ca="1">ROUND(B2*10000/D1,0)</f>
        <v>2364</v>
      </c>
      <c r="C3" s="1407" t="s">
        <v>926</v>
      </c>
      <c r="D3" s="1408" t="s">
        <v>927</v>
      </c>
      <c r="E3" s="1412" t="s">
        <v>3004</v>
      </c>
      <c r="F3" s="1413" t="s">
        <v>3239</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2843</v>
      </c>
      <c r="U3" s="2951"/>
      <c r="V3" s="2962">
        <f t="shared" ref="V3:V16" ca="1" si="1">ROUND(T3*U3/10000,0)</f>
        <v>0</v>
      </c>
      <c r="W3" s="2190"/>
      <c r="X3" s="2190"/>
      <c r="Y3" s="2190"/>
      <c r="Z3" s="2190"/>
      <c r="AA3" s="2190"/>
      <c r="AB3" s="2190"/>
      <c r="AC3" s="2191"/>
    </row>
    <row r="4" spans="1:39" ht="28.5">
      <c r="A4" s="1892" t="s">
        <v>2282</v>
      </c>
      <c r="B4" s="2478">
        <f ca="1">ROUND(B2*10000/F1,0)</f>
        <v>2364</v>
      </c>
      <c r="C4" s="1895" t="s">
        <v>2256</v>
      </c>
      <c r="D4" s="1895">
        <f ca="1">ROUND(B2/(F1/666.67),0)</f>
        <v>158</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2294</v>
      </c>
      <c r="U4" s="2951"/>
      <c r="V4" s="2962">
        <f t="shared" ca="1"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1840</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1567</v>
      </c>
      <c r="U6" s="2951"/>
      <c r="V6" s="2962">
        <f t="shared" ca="1" si="1"/>
        <v>0</v>
      </c>
      <c r="W6" s="2190"/>
      <c r="X6" s="2190"/>
      <c r="Y6" s="2190"/>
      <c r="Z6" s="2190"/>
      <c r="AA6" s="2190"/>
      <c r="AB6" s="2190"/>
      <c r="AC6" s="2192"/>
      <c r="AD6" s="1419"/>
      <c r="AE6" s="1419"/>
      <c r="AF6" s="1419"/>
      <c r="AG6" s="1419"/>
      <c r="AH6" s="1419"/>
      <c r="AI6" s="1419"/>
      <c r="AJ6" s="1420"/>
    </row>
    <row r="7" spans="1:39" ht="24">
      <c r="A7" s="3750"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1378</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751"/>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760" t="s">
        <v>2785</v>
      </c>
      <c r="X8" s="376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51"/>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759"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51"/>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75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51"/>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75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50"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759"/>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52"/>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759"/>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52"/>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753"/>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750" t="s">
        <v>1838</v>
      </c>
      <c r="B16" s="1427" t="s">
        <v>949</v>
      </c>
      <c r="C16" s="1054">
        <f>ROUND(SUM(G17:J17)/C17,0)</f>
        <v>0</v>
      </c>
      <c r="D16" s="1460" t="s">
        <v>950</v>
      </c>
      <c r="E16" s="1461" t="s">
        <v>3005</v>
      </c>
      <c r="F16" s="1462" t="s">
        <v>3006</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13.5" thickBot="1">
      <c r="A17" s="3751"/>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3007</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3010</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 ca="1">E29+SUM(E33:E39)</f>
        <v>43061</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2364</v>
      </c>
      <c r="D29" s="1504">
        <f>'数据-基础表'!A3</f>
        <v>182153.37</v>
      </c>
      <c r="E29" s="1850">
        <f ca="1">ROUND(C29*D29/10000,0)</f>
        <v>43061</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 ca="1">ROUND(IF(E2="工业",C29*M39,C29*M38),0)</f>
        <v>355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56" t="s">
        <v>2963</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57"/>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57"/>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58"/>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 ca="1">ROUND(C5*C19*C20*C24*F37,0)</f>
        <v>532</v>
      </c>
      <c r="D37" s="1537"/>
      <c r="E37" s="1048">
        <f t="shared" ca="1" si="7"/>
        <v>0</v>
      </c>
      <c r="F37" s="1063">
        <f>SUMIF(修正!A45:A56,G2,修正!F45:F56)</f>
        <v>0.25</v>
      </c>
      <c r="G37" s="1048">
        <f t="shared" ca="1" si="6"/>
        <v>133</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 ca="1">ROUND(C5*C19*C20*C24*F38,0)</f>
        <v>532</v>
      </c>
      <c r="D38" s="1537"/>
      <c r="E38" s="1048">
        <f t="shared" ca="1" si="7"/>
        <v>0</v>
      </c>
      <c r="F38" s="1063">
        <f>SUMIF(修正!A45:A56,G2,修正!G45:G56)</f>
        <v>0.25</v>
      </c>
      <c r="G38" s="1048">
        <f t="shared" ca="1" si="6"/>
        <v>133</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 ca="1">ROUND(C5*C19*C20*C24*F39,0)</f>
        <v>425</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3185</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3186</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3187</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3500</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3186</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3188</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2937</v>
      </c>
      <c r="C86" s="1050" t="s">
        <v>3186</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3186</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54" t="s">
        <v>1633</v>
      </c>
      <c r="B90" s="3754"/>
      <c r="C90" s="3754"/>
      <c r="D90" s="3754"/>
      <c r="E90" s="3754"/>
      <c r="F90" s="3754"/>
      <c r="G90" s="3754"/>
      <c r="H90" s="3754"/>
      <c r="I90" s="3754"/>
      <c r="J90" s="3754"/>
      <c r="K90" s="2475"/>
      <c r="L90" s="2475"/>
      <c r="M90" s="2475"/>
      <c r="N90" s="2475"/>
    </row>
    <row r="91" spans="1:40">
      <c r="A91" s="3755" t="s">
        <v>1443</v>
      </c>
      <c r="B91" s="3755" t="s">
        <v>1634</v>
      </c>
      <c r="C91" s="1140" t="s">
        <v>1635</v>
      </c>
      <c r="D91" s="1141"/>
      <c r="E91" s="1141"/>
      <c r="F91" s="1141"/>
      <c r="G91" s="1141"/>
      <c r="H91" s="1141"/>
      <c r="I91" s="1141"/>
      <c r="J91" s="1142"/>
      <c r="K91" s="1134"/>
      <c r="L91" s="1134"/>
      <c r="M91" s="1134"/>
      <c r="N91" s="1134"/>
    </row>
    <row r="92" spans="1:40">
      <c r="A92" s="3755"/>
      <c r="B92" s="3755"/>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76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62"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6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6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6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6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6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6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63"/>
      <c r="B108" s="37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64"/>
      <c r="B109" s="376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49" t="s">
        <v>1639</v>
      </c>
      <c r="B110" s="3749"/>
      <c r="C110" s="3749"/>
      <c r="D110" s="3749"/>
      <c r="E110" s="3749"/>
      <c r="F110" s="3749"/>
      <c r="G110" s="3749"/>
      <c r="H110" s="3749"/>
      <c r="I110" s="3749"/>
      <c r="J110" s="3749"/>
      <c r="K110" s="2473"/>
      <c r="L110" s="2473"/>
      <c r="M110" s="2473"/>
      <c r="N110" s="2473"/>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7"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755" t="s">
        <v>1007</v>
      </c>
      <c r="B18" s="1154" t="s">
        <v>1446</v>
      </c>
      <c r="C18" s="1131" t="s">
        <v>1447</v>
      </c>
      <c r="D18" s="1132"/>
      <c r="E18" s="1154">
        <v>1</v>
      </c>
      <c r="F18" s="1133" t="s">
        <v>1448</v>
      </c>
      <c r="G18" s="1134"/>
      <c r="H18" s="1105"/>
      <c r="I18" s="1105"/>
    </row>
    <row r="19" spans="1:9" s="1599" customFormat="1" ht="19.5" customHeight="1">
      <c r="A19" s="3755"/>
      <c r="B19" s="3755" t="s">
        <v>1449</v>
      </c>
      <c r="C19" s="1131" t="s">
        <v>1450</v>
      </c>
      <c r="D19" s="1132"/>
      <c r="E19" s="1154">
        <v>0.9</v>
      </c>
      <c r="F19" s="1133" t="s">
        <v>1451</v>
      </c>
      <c r="G19" s="1134"/>
      <c r="H19" s="1105"/>
      <c r="I19" s="1105"/>
    </row>
    <row r="20" spans="1:9" s="1599" customFormat="1" ht="19.5" customHeight="1">
      <c r="A20" s="3755"/>
      <c r="B20" s="3755"/>
      <c r="C20" s="1131" t="s">
        <v>1452</v>
      </c>
      <c r="D20" s="1132"/>
      <c r="E20" s="1154">
        <v>1.1000000000000001</v>
      </c>
      <c r="F20" s="1133" t="s">
        <v>1453</v>
      </c>
      <c r="G20" s="1134"/>
      <c r="H20" s="1105"/>
      <c r="I20" s="1105"/>
    </row>
    <row r="21" spans="1:9" s="1599" customFormat="1" ht="19.5" customHeight="1">
      <c r="A21" s="3755"/>
      <c r="B21" s="3755"/>
      <c r="C21" s="1131" t="s">
        <v>1454</v>
      </c>
      <c r="D21" s="1132"/>
      <c r="E21" s="1154">
        <v>0.8</v>
      </c>
      <c r="F21" s="1133" t="s">
        <v>1455</v>
      </c>
      <c r="G21" s="1134"/>
      <c r="H21" s="1105"/>
      <c r="I21" s="1105"/>
    </row>
    <row r="22" spans="1:9" s="1599" customFormat="1" ht="19.5" customHeight="1">
      <c r="A22" s="3755"/>
      <c r="B22" s="3755"/>
      <c r="C22" s="1131" t="s">
        <v>1456</v>
      </c>
      <c r="D22" s="1132"/>
      <c r="E22" s="1154">
        <v>0.5</v>
      </c>
      <c r="F22" s="1133"/>
      <c r="G22" s="1134"/>
      <c r="H22" s="1105"/>
      <c r="I22" s="1105"/>
    </row>
    <row r="23" spans="1:9" s="1599" customFormat="1" ht="19.5" customHeight="1">
      <c r="A23" s="3755" t="s">
        <v>1029</v>
      </c>
      <c r="B23" s="1154" t="s">
        <v>1446</v>
      </c>
      <c r="C23" s="1131" t="s">
        <v>1457</v>
      </c>
      <c r="D23" s="1132"/>
      <c r="E23" s="1154">
        <v>1</v>
      </c>
      <c r="F23" s="1133" t="s">
        <v>1458</v>
      </c>
      <c r="G23" s="1134"/>
      <c r="H23" s="1105"/>
      <c r="I23" s="1105"/>
    </row>
    <row r="24" spans="1:9" s="1599" customFormat="1" ht="19.5" customHeight="1">
      <c r="A24" s="3755"/>
      <c r="B24" s="3755" t="s">
        <v>1449</v>
      </c>
      <c r="C24" s="1131" t="s">
        <v>1459</v>
      </c>
      <c r="D24" s="1132"/>
      <c r="E24" s="1154">
        <v>0.5</v>
      </c>
      <c r="F24" s="1133"/>
      <c r="G24" s="1134"/>
      <c r="H24" s="1105"/>
      <c r="I24" s="1105"/>
    </row>
    <row r="25" spans="1:9" s="1599" customFormat="1" ht="19.5" customHeight="1">
      <c r="A25" s="3755"/>
      <c r="B25" s="3755"/>
      <c r="C25" s="1131" t="s">
        <v>1460</v>
      </c>
      <c r="D25" s="1132"/>
      <c r="E25" s="1154">
        <v>1.1000000000000001</v>
      </c>
      <c r="F25" s="1133"/>
      <c r="G25" s="1134"/>
      <c r="H25" s="1105"/>
      <c r="I25" s="1105"/>
    </row>
    <row r="26" spans="1:9" s="1599" customFormat="1" ht="19.5" customHeight="1">
      <c r="A26" s="3755"/>
      <c r="B26" s="3755"/>
      <c r="C26" s="1131" t="s">
        <v>1461</v>
      </c>
      <c r="D26" s="1132"/>
      <c r="E26" s="1154">
        <v>1.1000000000000001</v>
      </c>
      <c r="F26" s="1133"/>
      <c r="G26" s="1134"/>
      <c r="H26" s="1105"/>
      <c r="I26" s="1105"/>
    </row>
    <row r="27" spans="1:9" s="1599" customFormat="1" ht="19.5" customHeight="1">
      <c r="A27" s="3755"/>
      <c r="B27" s="3755"/>
      <c r="C27" s="1131" t="s">
        <v>1462</v>
      </c>
      <c r="D27" s="1132"/>
      <c r="E27" s="1154">
        <v>0.9</v>
      </c>
      <c r="F27" s="1133" t="s">
        <v>1463</v>
      </c>
      <c r="G27" s="1134"/>
      <c r="H27" s="1105"/>
      <c r="I27" s="1105"/>
    </row>
    <row r="28" spans="1:9" s="1599" customFormat="1" ht="19.5" customHeight="1">
      <c r="A28" s="3755"/>
      <c r="B28" s="3755"/>
      <c r="C28" s="1131" t="s">
        <v>1464</v>
      </c>
      <c r="D28" s="1132"/>
      <c r="E28" s="1154">
        <v>0.9</v>
      </c>
      <c r="F28" s="1133" t="s">
        <v>1465</v>
      </c>
      <c r="G28" s="1134"/>
      <c r="H28" s="1105"/>
      <c r="I28" s="1105"/>
    </row>
    <row r="29" spans="1:9" s="1599" customFormat="1" ht="19.5" customHeight="1">
      <c r="A29" s="3755"/>
      <c r="B29" s="3755"/>
      <c r="C29" s="1131" t="s">
        <v>1466</v>
      </c>
      <c r="D29" s="1132"/>
      <c r="E29" s="1154">
        <v>0.9</v>
      </c>
      <c r="F29" s="1133" t="s">
        <v>1467</v>
      </c>
      <c r="G29" s="1134"/>
      <c r="H29" s="1105"/>
      <c r="I29" s="1105"/>
    </row>
    <row r="30" spans="1:9" s="1599" customFormat="1" ht="19.5" customHeight="1">
      <c r="A30" s="3755"/>
      <c r="B30" s="3755"/>
      <c r="C30" s="1131" t="s">
        <v>1468</v>
      </c>
      <c r="D30" s="1132"/>
      <c r="E30" s="1154">
        <v>0.9</v>
      </c>
      <c r="F30" s="1133" t="s">
        <v>1469</v>
      </c>
      <c r="G30" s="1134"/>
      <c r="H30" s="1105"/>
      <c r="I30" s="1105"/>
    </row>
    <row r="31" spans="1:9" s="1599" customFormat="1" ht="19.5" customHeight="1">
      <c r="A31" s="3755"/>
      <c r="B31" s="3755"/>
      <c r="C31" s="1131" t="s">
        <v>1470</v>
      </c>
      <c r="D31" s="1132"/>
      <c r="E31" s="1154">
        <v>0.8</v>
      </c>
      <c r="F31" s="1133" t="s">
        <v>1471</v>
      </c>
      <c r="G31" s="1134"/>
      <c r="H31" s="1105"/>
      <c r="I31" s="1105"/>
    </row>
    <row r="32" spans="1:9" s="1599" customFormat="1" ht="19.5" customHeight="1">
      <c r="A32" s="3755"/>
      <c r="B32" s="3755"/>
      <c r="C32" s="1131" t="s">
        <v>1472</v>
      </c>
      <c r="D32" s="1132"/>
      <c r="E32" s="1154">
        <v>0.8</v>
      </c>
      <c r="F32" s="1133" t="s">
        <v>1473</v>
      </c>
      <c r="G32" s="1134"/>
      <c r="H32" s="1105"/>
      <c r="I32" s="1105"/>
    </row>
    <row r="33" spans="1:9" s="1599" customFormat="1" ht="19.5" customHeight="1">
      <c r="A33" s="3755" t="s">
        <v>1474</v>
      </c>
      <c r="B33" s="1154" t="s">
        <v>1446</v>
      </c>
      <c r="C33" s="1131" t="s">
        <v>1475</v>
      </c>
      <c r="D33" s="1132"/>
      <c r="E33" s="1154">
        <v>1</v>
      </c>
      <c r="F33" s="1133" t="s">
        <v>1476</v>
      </c>
      <c r="G33" s="1134"/>
      <c r="H33" s="1105"/>
      <c r="I33" s="1105"/>
    </row>
    <row r="34" spans="1:9" s="1599" customFormat="1" ht="19.5" customHeight="1">
      <c r="A34" s="3755"/>
      <c r="B34" s="1154" t="s">
        <v>1449</v>
      </c>
      <c r="C34" s="1131" t="s">
        <v>1477</v>
      </c>
      <c r="D34" s="1132"/>
      <c r="E34" s="1154">
        <v>1.5</v>
      </c>
      <c r="F34" s="1133" t="s">
        <v>1478</v>
      </c>
      <c r="G34" s="1134"/>
      <c r="H34" s="1105"/>
      <c r="I34" s="1105"/>
    </row>
    <row r="35" spans="1:9" s="1599" customFormat="1" ht="19.5" customHeight="1">
      <c r="A35" s="3755" t="s">
        <v>1432</v>
      </c>
      <c r="B35" s="1154" t="s">
        <v>1446</v>
      </c>
      <c r="C35" s="1131" t="s">
        <v>1479</v>
      </c>
      <c r="D35" s="1132"/>
      <c r="E35" s="1154">
        <v>1</v>
      </c>
      <c r="F35" s="1133" t="s">
        <v>1480</v>
      </c>
      <c r="G35" s="1134"/>
      <c r="H35" s="1105"/>
      <c r="I35" s="1105"/>
    </row>
    <row r="36" spans="1:9" s="1599" customFormat="1" ht="19.5" customHeight="1">
      <c r="A36" s="3755"/>
      <c r="B36" s="3755" t="s">
        <v>1449</v>
      </c>
      <c r="C36" s="1131" t="s">
        <v>1481</v>
      </c>
      <c r="D36" s="1132"/>
      <c r="E36" s="1154">
        <v>1</v>
      </c>
      <c r="F36" s="1133" t="s">
        <v>1482</v>
      </c>
      <c r="G36" s="1134"/>
      <c r="H36" s="1105"/>
      <c r="I36" s="1105"/>
    </row>
    <row r="37" spans="1:9" s="1599" customFormat="1" ht="19.5" customHeight="1">
      <c r="A37" s="3755"/>
      <c r="B37" s="3755"/>
      <c r="C37" s="1131" t="s">
        <v>1483</v>
      </c>
      <c r="D37" s="1132"/>
      <c r="E37" s="1154">
        <v>1.5</v>
      </c>
      <c r="F37" s="1133" t="s">
        <v>1484</v>
      </c>
      <c r="G37" s="1134"/>
      <c r="H37" s="1105"/>
      <c r="I37" s="1105"/>
    </row>
    <row r="38" spans="1:9" s="1599" customFormat="1" ht="19.5" customHeight="1">
      <c r="A38" s="3755"/>
      <c r="B38" s="3755"/>
      <c r="C38" s="1131" t="s">
        <v>1485</v>
      </c>
      <c r="D38" s="1132"/>
      <c r="E38" s="1154">
        <v>1</v>
      </c>
      <c r="F38" s="1133" t="s">
        <v>1486</v>
      </c>
      <c r="G38" s="1134"/>
      <c r="H38" s="1105"/>
      <c r="I38" s="1105"/>
    </row>
    <row r="39" spans="1:9" s="1599" customFormat="1" ht="19.5" customHeight="1">
      <c r="A39" s="3755"/>
      <c r="B39" s="3755"/>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55" t="s">
        <v>1501</v>
      </c>
      <c r="C61" s="1068" t="s">
        <v>1502</v>
      </c>
      <c r="D61" s="1068" t="s">
        <v>1503</v>
      </c>
      <c r="E61" s="1139">
        <v>0.5</v>
      </c>
      <c r="F61" s="1154">
        <v>80</v>
      </c>
      <c r="H61" s="1105">
        <f>SUMIF(C59:C119,基准地价!C8,E59:E119)</f>
        <v>0</v>
      </c>
    </row>
    <row r="62" spans="1:8" s="1105" customFormat="1" ht="24">
      <c r="A62" s="1154">
        <v>2</v>
      </c>
      <c r="B62" s="3755"/>
      <c r="C62" s="1068" t="s">
        <v>1504</v>
      </c>
      <c r="D62" s="1068" t="s">
        <v>1505</v>
      </c>
      <c r="E62" s="1139">
        <v>0.5</v>
      </c>
      <c r="F62" s="1154">
        <v>80</v>
      </c>
    </row>
    <row r="63" spans="1:8" s="1105" customFormat="1" ht="36">
      <c r="A63" s="1154">
        <v>3</v>
      </c>
      <c r="B63" s="3755"/>
      <c r="C63" s="1068" t="s">
        <v>1506</v>
      </c>
      <c r="D63" s="1068" t="s">
        <v>1507</v>
      </c>
      <c r="E63" s="1139">
        <v>0.5</v>
      </c>
      <c r="F63" s="1154">
        <v>80</v>
      </c>
    </row>
    <row r="64" spans="1:8" s="1105" customFormat="1" ht="36">
      <c r="A64" s="1154">
        <v>4</v>
      </c>
      <c r="B64" s="3755"/>
      <c r="C64" s="1068" t="s">
        <v>1508</v>
      </c>
      <c r="D64" s="1068" t="s">
        <v>1509</v>
      </c>
      <c r="E64" s="1139">
        <v>0.4</v>
      </c>
      <c r="F64" s="1154">
        <v>60</v>
      </c>
    </row>
    <row r="65" spans="1:6" s="1105" customFormat="1" ht="36">
      <c r="A65" s="1154">
        <v>5</v>
      </c>
      <c r="B65" s="3755"/>
      <c r="C65" s="1068" t="s">
        <v>1510</v>
      </c>
      <c r="D65" s="1068" t="s">
        <v>1511</v>
      </c>
      <c r="E65" s="1139">
        <v>0.2</v>
      </c>
      <c r="F65" s="1154">
        <v>30</v>
      </c>
    </row>
    <row r="66" spans="1:6" s="1105" customFormat="1" ht="36">
      <c r="A66" s="1154">
        <v>6</v>
      </c>
      <c r="B66" s="3755"/>
      <c r="C66" s="1068" t="s">
        <v>1512</v>
      </c>
      <c r="D66" s="1068" t="s">
        <v>1513</v>
      </c>
      <c r="E66" s="1139">
        <v>0.3</v>
      </c>
      <c r="F66" s="1154">
        <v>50</v>
      </c>
    </row>
    <row r="67" spans="1:6" s="1105" customFormat="1" ht="36">
      <c r="A67" s="1154">
        <v>7</v>
      </c>
      <c r="B67" s="3755"/>
      <c r="C67" s="1068" t="s">
        <v>1514</v>
      </c>
      <c r="D67" s="1068" t="s">
        <v>1515</v>
      </c>
      <c r="E67" s="1139">
        <v>0.2</v>
      </c>
      <c r="F67" s="1154">
        <v>30</v>
      </c>
    </row>
    <row r="68" spans="1:6" s="1105" customFormat="1" ht="36">
      <c r="A68" s="1154">
        <v>8</v>
      </c>
      <c r="B68" s="3755"/>
      <c r="C68" s="1068" t="s">
        <v>1516</v>
      </c>
      <c r="D68" s="1068" t="s">
        <v>1517</v>
      </c>
      <c r="E68" s="1139">
        <v>0.2</v>
      </c>
      <c r="F68" s="1154">
        <v>30</v>
      </c>
    </row>
    <row r="69" spans="1:6" s="1105" customFormat="1" ht="36">
      <c r="A69" s="1154">
        <v>9</v>
      </c>
      <c r="B69" s="3755"/>
      <c r="C69" s="1068" t="s">
        <v>1518</v>
      </c>
      <c r="D69" s="1068" t="s">
        <v>1519</v>
      </c>
      <c r="E69" s="1139">
        <v>0.2</v>
      </c>
      <c r="F69" s="1154">
        <v>30</v>
      </c>
    </row>
    <row r="70" spans="1:6" s="1105" customFormat="1" ht="48">
      <c r="A70" s="1154">
        <v>10</v>
      </c>
      <c r="B70" s="3755"/>
      <c r="C70" s="1068" t="s">
        <v>1520</v>
      </c>
      <c r="D70" s="1068" t="s">
        <v>1521</v>
      </c>
      <c r="E70" s="1139">
        <v>0.2</v>
      </c>
      <c r="F70" s="1154">
        <v>30</v>
      </c>
    </row>
    <row r="71" spans="1:6" s="1105" customFormat="1" ht="48">
      <c r="A71" s="1154">
        <v>11</v>
      </c>
      <c r="B71" s="3755"/>
      <c r="C71" s="1068" t="s">
        <v>1522</v>
      </c>
      <c r="D71" s="1068" t="s">
        <v>1523</v>
      </c>
      <c r="E71" s="1139">
        <v>0.2</v>
      </c>
      <c r="F71" s="1154">
        <v>30</v>
      </c>
    </row>
    <row r="72" spans="1:6" s="1105" customFormat="1" ht="36">
      <c r="A72" s="1154">
        <v>12</v>
      </c>
      <c r="B72" s="3755"/>
      <c r="C72" s="1068" t="s">
        <v>1524</v>
      </c>
      <c r="D72" s="1068" t="s">
        <v>1525</v>
      </c>
      <c r="E72" s="1139">
        <v>0.5</v>
      </c>
      <c r="F72" s="1154">
        <v>80</v>
      </c>
    </row>
    <row r="73" spans="1:6" s="1105" customFormat="1" ht="24">
      <c r="A73" s="1154">
        <v>13</v>
      </c>
      <c r="B73" s="3755"/>
      <c r="C73" s="1068" t="s">
        <v>1526</v>
      </c>
      <c r="D73" s="1068" t="s">
        <v>1527</v>
      </c>
      <c r="E73" s="1139">
        <v>0.4</v>
      </c>
      <c r="F73" s="1154">
        <v>60</v>
      </c>
    </row>
    <row r="74" spans="1:6" s="1105" customFormat="1" ht="24">
      <c r="A74" s="1154">
        <v>14</v>
      </c>
      <c r="B74" s="3755"/>
      <c r="C74" s="1068" t="s">
        <v>1528</v>
      </c>
      <c r="D74" s="1068" t="s">
        <v>1529</v>
      </c>
      <c r="E74" s="1139">
        <v>0.2</v>
      </c>
      <c r="F74" s="1154">
        <v>30</v>
      </c>
    </row>
    <row r="75" spans="1:6" s="1105" customFormat="1" ht="24">
      <c r="A75" s="1154">
        <v>15</v>
      </c>
      <c r="B75" s="3755"/>
      <c r="C75" s="1068" t="s">
        <v>1530</v>
      </c>
      <c r="D75" s="1068" t="s">
        <v>1531</v>
      </c>
      <c r="E75" s="1139">
        <v>0.2</v>
      </c>
      <c r="F75" s="1154">
        <v>30</v>
      </c>
    </row>
    <row r="76" spans="1:6" s="1105" customFormat="1" ht="24">
      <c r="A76" s="1154">
        <v>16</v>
      </c>
      <c r="B76" s="3755" t="s">
        <v>1532</v>
      </c>
      <c r="C76" s="1068" t="s">
        <v>1533</v>
      </c>
      <c r="D76" s="1068" t="s">
        <v>1534</v>
      </c>
      <c r="E76" s="1139">
        <v>0.5</v>
      </c>
      <c r="F76" s="1154">
        <v>80</v>
      </c>
    </row>
    <row r="77" spans="1:6" s="1105" customFormat="1" ht="24">
      <c r="A77" s="1154">
        <v>17</v>
      </c>
      <c r="B77" s="3755"/>
      <c r="C77" s="1068" t="s">
        <v>1535</v>
      </c>
      <c r="D77" s="1068" t="s">
        <v>1536</v>
      </c>
      <c r="E77" s="1139">
        <v>0.5</v>
      </c>
      <c r="F77" s="1154">
        <v>80</v>
      </c>
    </row>
    <row r="78" spans="1:6" s="1105" customFormat="1" ht="24">
      <c r="A78" s="1154">
        <v>18</v>
      </c>
      <c r="B78" s="3755"/>
      <c r="C78" s="1068" t="s">
        <v>1537</v>
      </c>
      <c r="D78" s="1068" t="s">
        <v>1538</v>
      </c>
      <c r="E78" s="1139">
        <v>0.2</v>
      </c>
      <c r="F78" s="1154">
        <v>30</v>
      </c>
    </row>
    <row r="79" spans="1:6" s="1105" customFormat="1" ht="24">
      <c r="A79" s="1154">
        <v>19</v>
      </c>
      <c r="B79" s="3755"/>
      <c r="C79" s="1068" t="s">
        <v>1539</v>
      </c>
      <c r="D79" s="1068" t="s">
        <v>1540</v>
      </c>
      <c r="E79" s="1139">
        <v>0.5</v>
      </c>
      <c r="F79" s="1154">
        <v>80</v>
      </c>
    </row>
    <row r="80" spans="1:6" s="1105" customFormat="1" ht="36">
      <c r="A80" s="1154">
        <v>20</v>
      </c>
      <c r="B80" s="3755"/>
      <c r="C80" s="1068" t="s">
        <v>1541</v>
      </c>
      <c r="D80" s="1068" t="s">
        <v>1542</v>
      </c>
      <c r="E80" s="1139">
        <v>0.2</v>
      </c>
      <c r="F80" s="1154">
        <v>30</v>
      </c>
    </row>
    <row r="81" spans="1:6" s="1105" customFormat="1" ht="36">
      <c r="A81" s="1154">
        <v>21</v>
      </c>
      <c r="B81" s="3755"/>
      <c r="C81" s="1068" t="s">
        <v>1543</v>
      </c>
      <c r="D81" s="1068" t="s">
        <v>1544</v>
      </c>
      <c r="E81" s="1139">
        <v>0.2</v>
      </c>
      <c r="F81" s="1154">
        <v>30</v>
      </c>
    </row>
    <row r="82" spans="1:6" s="1105" customFormat="1" ht="48">
      <c r="A82" s="1154">
        <v>22</v>
      </c>
      <c r="B82" s="3755"/>
      <c r="C82" s="1068" t="s">
        <v>1545</v>
      </c>
      <c r="D82" s="1068" t="s">
        <v>1546</v>
      </c>
      <c r="E82" s="1139">
        <v>0.2</v>
      </c>
      <c r="F82" s="1154">
        <v>30</v>
      </c>
    </row>
    <row r="83" spans="1:6" s="1105" customFormat="1" ht="48">
      <c r="A83" s="1154">
        <v>23</v>
      </c>
      <c r="B83" s="3755"/>
      <c r="C83" s="1068" t="s">
        <v>1547</v>
      </c>
      <c r="D83" s="1068" t="s">
        <v>1548</v>
      </c>
      <c r="E83" s="1139">
        <v>0.2</v>
      </c>
      <c r="F83" s="1154">
        <v>30</v>
      </c>
    </row>
    <row r="84" spans="1:6" s="1105" customFormat="1" ht="36">
      <c r="A84" s="1154">
        <v>24</v>
      </c>
      <c r="B84" s="3755"/>
      <c r="C84" s="1068" t="s">
        <v>1549</v>
      </c>
      <c r="D84" s="1068" t="s">
        <v>1550</v>
      </c>
      <c r="E84" s="1139">
        <v>0.2</v>
      </c>
      <c r="F84" s="1154">
        <v>30</v>
      </c>
    </row>
    <row r="85" spans="1:6" s="1105" customFormat="1" ht="36">
      <c r="A85" s="1154">
        <v>25</v>
      </c>
      <c r="B85" s="3755"/>
      <c r="C85" s="1068" t="s">
        <v>1551</v>
      </c>
      <c r="D85" s="1068" t="s">
        <v>1552</v>
      </c>
      <c r="E85" s="1139">
        <v>0.5</v>
      </c>
      <c r="F85" s="1154">
        <v>80</v>
      </c>
    </row>
    <row r="86" spans="1:6" s="1105" customFormat="1" ht="36">
      <c r="A86" s="1154">
        <v>26</v>
      </c>
      <c r="B86" s="3755"/>
      <c r="C86" s="1068" t="s">
        <v>1553</v>
      </c>
      <c r="D86" s="1068" t="s">
        <v>1554</v>
      </c>
      <c r="E86" s="1139">
        <v>0.2</v>
      </c>
      <c r="F86" s="1154">
        <v>30</v>
      </c>
    </row>
    <row r="87" spans="1:6" s="1105" customFormat="1" ht="36">
      <c r="A87" s="1154">
        <v>27</v>
      </c>
      <c r="B87" s="3755"/>
      <c r="C87" s="1068" t="s">
        <v>1555</v>
      </c>
      <c r="D87" s="1068" t="s">
        <v>1556</v>
      </c>
      <c r="E87" s="1139">
        <v>0.2</v>
      </c>
      <c r="F87" s="1154">
        <v>30</v>
      </c>
    </row>
    <row r="88" spans="1:6" s="1105" customFormat="1" ht="36">
      <c r="A88" s="1154">
        <v>28</v>
      </c>
      <c r="B88" s="3755"/>
      <c r="C88" s="1068" t="s">
        <v>1557</v>
      </c>
      <c r="D88" s="1068" t="s">
        <v>1558</v>
      </c>
      <c r="E88" s="1139">
        <v>0.2</v>
      </c>
      <c r="F88" s="1154">
        <v>30</v>
      </c>
    </row>
    <row r="89" spans="1:6" s="1105" customFormat="1" ht="24">
      <c r="A89" s="1154">
        <v>29</v>
      </c>
      <c r="B89" s="3755"/>
      <c r="C89" s="1068" t="s">
        <v>1559</v>
      </c>
      <c r="D89" s="1068" t="s">
        <v>1560</v>
      </c>
      <c r="E89" s="1139">
        <v>0.2</v>
      </c>
      <c r="F89" s="1154">
        <v>30</v>
      </c>
    </row>
    <row r="90" spans="1:6" s="1105" customFormat="1" ht="24">
      <c r="A90" s="1154">
        <v>30</v>
      </c>
      <c r="B90" s="3755"/>
      <c r="C90" s="1068" t="s">
        <v>1561</v>
      </c>
      <c r="D90" s="1068" t="s">
        <v>1562</v>
      </c>
      <c r="E90" s="1139">
        <v>0.2</v>
      </c>
      <c r="F90" s="1154">
        <v>30</v>
      </c>
    </row>
    <row r="91" spans="1:6" s="1105" customFormat="1" ht="36">
      <c r="A91" s="1154">
        <v>31</v>
      </c>
      <c r="B91" s="3755"/>
      <c r="C91" s="1068" t="s">
        <v>1563</v>
      </c>
      <c r="D91" s="1068" t="s">
        <v>1564</v>
      </c>
      <c r="E91" s="1139">
        <v>0.2</v>
      </c>
      <c r="F91" s="1154">
        <v>30</v>
      </c>
    </row>
    <row r="92" spans="1:6" s="1105" customFormat="1" ht="24">
      <c r="A92" s="1154">
        <v>32</v>
      </c>
      <c r="B92" s="3755" t="s">
        <v>1565</v>
      </c>
      <c r="C92" s="1154" t="s">
        <v>1566</v>
      </c>
      <c r="D92" s="1068" t="s">
        <v>1567</v>
      </c>
      <c r="E92" s="1139">
        <v>0.2</v>
      </c>
      <c r="F92" s="1154">
        <v>30</v>
      </c>
    </row>
    <row r="93" spans="1:6" s="1105" customFormat="1" ht="36">
      <c r="A93" s="1154">
        <v>33</v>
      </c>
      <c r="B93" s="3755"/>
      <c r="C93" s="1154" t="s">
        <v>1568</v>
      </c>
      <c r="D93" s="1068" t="s">
        <v>1569</v>
      </c>
      <c r="E93" s="1139">
        <v>0.2</v>
      </c>
      <c r="F93" s="1154">
        <v>30</v>
      </c>
    </row>
    <row r="94" spans="1:6" s="1105" customFormat="1" ht="48">
      <c r="A94" s="1154">
        <v>34</v>
      </c>
      <c r="B94" s="3755"/>
      <c r="C94" s="1154" t="s">
        <v>1570</v>
      </c>
      <c r="D94" s="1068" t="s">
        <v>1571</v>
      </c>
      <c r="E94" s="1139">
        <v>0.2</v>
      </c>
      <c r="F94" s="1154">
        <v>30</v>
      </c>
    </row>
    <row r="95" spans="1:6" s="1105" customFormat="1" ht="36">
      <c r="A95" s="1154">
        <v>35</v>
      </c>
      <c r="B95" s="3755"/>
      <c r="C95" s="1154" t="s">
        <v>1572</v>
      </c>
      <c r="D95" s="1068" t="s">
        <v>1573</v>
      </c>
      <c r="E95" s="1139">
        <v>0.2</v>
      </c>
      <c r="F95" s="1154">
        <v>30</v>
      </c>
    </row>
    <row r="96" spans="1:6" s="1105" customFormat="1" ht="48">
      <c r="A96" s="1154">
        <v>36</v>
      </c>
      <c r="B96" s="3755"/>
      <c r="C96" s="1068" t="s">
        <v>1574</v>
      </c>
      <c r="D96" s="1068" t="s">
        <v>1575</v>
      </c>
      <c r="E96" s="1139">
        <v>0.2</v>
      </c>
      <c r="F96" s="1154">
        <v>30</v>
      </c>
    </row>
    <row r="97" spans="1:6" s="1105" customFormat="1" ht="36">
      <c r="A97" s="1154">
        <v>37</v>
      </c>
      <c r="B97" s="3755"/>
      <c r="C97" s="1154" t="s">
        <v>1576</v>
      </c>
      <c r="D97" s="1068" t="s">
        <v>1577</v>
      </c>
      <c r="E97" s="1139">
        <v>0.2</v>
      </c>
      <c r="F97" s="1154">
        <v>30</v>
      </c>
    </row>
    <row r="98" spans="1:6" s="1105" customFormat="1" ht="36">
      <c r="A98" s="1154">
        <v>38</v>
      </c>
      <c r="B98" s="3755"/>
      <c r="C98" s="1154" t="s">
        <v>1578</v>
      </c>
      <c r="D98" s="1068" t="s">
        <v>1579</v>
      </c>
      <c r="E98" s="1139">
        <v>0.2</v>
      </c>
      <c r="F98" s="1154">
        <v>30</v>
      </c>
    </row>
    <row r="99" spans="1:6" s="1105" customFormat="1" ht="36">
      <c r="A99" s="1154">
        <v>39</v>
      </c>
      <c r="B99" s="3755" t="s">
        <v>1580</v>
      </c>
      <c r="C99" s="1154" t="s">
        <v>1581</v>
      </c>
      <c r="D99" s="1068" t="s">
        <v>1582</v>
      </c>
      <c r="E99" s="1139">
        <v>0.3</v>
      </c>
      <c r="F99" s="1154">
        <v>50</v>
      </c>
    </row>
    <row r="100" spans="1:6" s="1105" customFormat="1" ht="24">
      <c r="A100" s="1154">
        <v>40</v>
      </c>
      <c r="B100" s="3755"/>
      <c r="C100" s="1154" t="s">
        <v>1583</v>
      </c>
      <c r="D100" s="1068" t="s">
        <v>1584</v>
      </c>
      <c r="E100" s="1139">
        <v>0.2</v>
      </c>
      <c r="F100" s="1154">
        <v>30</v>
      </c>
    </row>
    <row r="101" spans="1:6" s="1105" customFormat="1" ht="36">
      <c r="A101" s="1154">
        <v>41</v>
      </c>
      <c r="B101" s="375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55" t="s">
        <v>1595</v>
      </c>
      <c r="C105" s="1154" t="s">
        <v>1596</v>
      </c>
      <c r="D105" s="1068" t="s">
        <v>1597</v>
      </c>
      <c r="E105" s="1139">
        <v>0.2</v>
      </c>
      <c r="F105" s="1154">
        <v>30</v>
      </c>
    </row>
    <row r="106" spans="1:6" s="1105" customFormat="1" ht="36">
      <c r="A106" s="1154">
        <v>46</v>
      </c>
      <c r="B106" s="3755"/>
      <c r="C106" s="1154" t="s">
        <v>1598</v>
      </c>
      <c r="D106" s="1068" t="s">
        <v>1599</v>
      </c>
      <c r="E106" s="1139">
        <v>0.2</v>
      </c>
      <c r="F106" s="1154">
        <v>30</v>
      </c>
    </row>
    <row r="107" spans="1:6" s="1105" customFormat="1" ht="36">
      <c r="A107" s="1154">
        <v>47</v>
      </c>
      <c r="B107" s="3755" t="s">
        <v>1600</v>
      </c>
      <c r="C107" s="1154" t="s">
        <v>1601</v>
      </c>
      <c r="D107" s="1068" t="s">
        <v>1602</v>
      </c>
      <c r="E107" s="1139">
        <v>0.3</v>
      </c>
      <c r="F107" s="1154">
        <v>50</v>
      </c>
    </row>
    <row r="108" spans="1:6" s="1105" customFormat="1" ht="36">
      <c r="A108" s="1154">
        <v>48</v>
      </c>
      <c r="B108" s="375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55" t="s">
        <v>1611</v>
      </c>
      <c r="C111" s="1154" t="s">
        <v>1612</v>
      </c>
      <c r="D111" s="1068" t="s">
        <v>1613</v>
      </c>
      <c r="E111" s="1139">
        <v>0.2</v>
      </c>
      <c r="F111" s="1154">
        <v>30</v>
      </c>
    </row>
    <row r="112" spans="1:6" s="1105" customFormat="1" ht="24">
      <c r="A112" s="1154">
        <v>52</v>
      </c>
      <c r="B112" s="3755"/>
      <c r="C112" s="1154" t="s">
        <v>1614</v>
      </c>
      <c r="D112" s="1068" t="s">
        <v>1615</v>
      </c>
      <c r="E112" s="1139">
        <v>0.2</v>
      </c>
      <c r="F112" s="1154">
        <v>30</v>
      </c>
    </row>
    <row r="113" spans="1:14" s="1105" customFormat="1" ht="24">
      <c r="A113" s="1154">
        <v>53</v>
      </c>
      <c r="B113" s="375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55" t="s">
        <v>1624</v>
      </c>
      <c r="C116" s="1154" t="s">
        <v>1625</v>
      </c>
      <c r="D116" s="1068" t="s">
        <v>1626</v>
      </c>
      <c r="E116" s="1139">
        <v>0.2</v>
      </c>
      <c r="F116" s="1154">
        <v>30</v>
      </c>
    </row>
    <row r="117" spans="1:14" ht="36">
      <c r="A117" s="1154">
        <v>57</v>
      </c>
      <c r="B117" s="375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54" t="s">
        <v>1633</v>
      </c>
      <c r="B121" s="3754"/>
      <c r="C121" s="3754"/>
      <c r="D121" s="3754"/>
      <c r="E121" s="3754"/>
      <c r="F121" s="3754"/>
      <c r="G121" s="3754"/>
      <c r="H121" s="3754"/>
      <c r="I121" s="3754"/>
      <c r="J121" s="375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67" t="s">
        <v>1039</v>
      </c>
      <c r="B1" s="3767"/>
      <c r="C1" s="3767"/>
      <c r="D1" s="3767"/>
      <c r="E1" s="3767"/>
      <c r="F1" s="376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68" t="s">
        <v>1052</v>
      </c>
      <c r="B2" s="3768"/>
      <c r="C2" s="3768"/>
      <c r="D2" s="3768"/>
      <c r="E2" s="3768"/>
      <c r="F2" s="376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6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7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71" t="s">
        <v>2081</v>
      </c>
      <c r="B1" s="377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2951</v>
      </c>
      <c r="B1" s="3131"/>
      <c r="C1" s="3131"/>
      <c r="D1" s="3131"/>
      <c r="E1" s="3131"/>
      <c r="F1" s="3131"/>
    </row>
    <row r="2" spans="1:6" ht="14.25">
      <c r="A2" s="3132" t="s">
        <v>2945</v>
      </c>
      <c r="B2" s="3133">
        <f ca="1">SUMIF(B7:B14,"&lt;&gt;#ref!",B7:B14)</f>
        <v>43061</v>
      </c>
      <c r="C2" s="3132" t="s">
        <v>2946</v>
      </c>
      <c r="D2" s="3131"/>
      <c r="E2" s="3131"/>
      <c r="F2" s="3131"/>
    </row>
    <row r="3" spans="1:6" ht="14.25">
      <c r="A3" s="3132" t="s">
        <v>2948</v>
      </c>
      <c r="B3" s="3133" t="e">
        <f ca="1">ROUND(B2*10000/E3,0)</f>
        <v>#REF!</v>
      </c>
      <c r="C3" s="3132" t="s">
        <v>2080</v>
      </c>
      <c r="D3" s="3132" t="s">
        <v>2947</v>
      </c>
      <c r="E3" s="3133" t="e">
        <f ca="1">SUM(E7:E14)</f>
        <v>#REF!</v>
      </c>
      <c r="F3" s="3131"/>
    </row>
    <row r="4" spans="1:6" ht="14.25">
      <c r="A4" s="3132" t="s">
        <v>2955</v>
      </c>
      <c r="B4" s="3133" t="e">
        <f ca="1">ROUND(B2*10000/E4,0)</f>
        <v>#REF!</v>
      </c>
      <c r="C4" s="3132" t="s">
        <v>2080</v>
      </c>
      <c r="D4" s="3132" t="s">
        <v>2956</v>
      </c>
      <c r="E4" s="3133" t="e">
        <f ca="1">SUM(F7:F14)</f>
        <v>#REF!</v>
      </c>
      <c r="F4" s="3131"/>
    </row>
    <row r="5" spans="1:6" ht="14.25">
      <c r="A5" s="3134"/>
      <c r="B5" s="1882"/>
      <c r="C5" s="1882"/>
      <c r="D5" s="1882"/>
      <c r="E5" s="1882"/>
      <c r="F5" s="3131"/>
    </row>
    <row r="6" spans="1:6" ht="28.5">
      <c r="A6" s="3135" t="s">
        <v>2952</v>
      </c>
      <c r="B6" s="3132" t="s">
        <v>2949</v>
      </c>
      <c r="C6" s="3133"/>
      <c r="D6" s="1882"/>
      <c r="E6" s="3132" t="s">
        <v>2950</v>
      </c>
      <c r="F6" s="3132" t="s">
        <v>2954</v>
      </c>
    </row>
    <row r="7" spans="1:6" ht="14.25">
      <c r="A7" s="260" t="s">
        <v>2953</v>
      </c>
      <c r="B7" s="3136">
        <f ca="1">SUMIF(INDIRECT("'"&amp;A7&amp;"'"&amp;"!A:A"),"总价",INDIRECT("'"&amp;A7&amp;"'"&amp;"!B:B"))</f>
        <v>43061</v>
      </c>
      <c r="C7" s="3132" t="s">
        <v>2946</v>
      </c>
      <c r="D7" s="1882"/>
      <c r="E7" s="3137">
        <f ca="1">SUMIF(INDIRECT("'"&amp;A7&amp;"'"&amp;"!C:C"),"建筑面积",INDIRECT("'"&amp;A7&amp;"'"&amp;"!D:D"))</f>
        <v>182153.37</v>
      </c>
      <c r="F7" s="3137">
        <f ca="1">SUMIF(INDIRECT("'"&amp;A7&amp;"'"&amp;"!E:E"),"土地面积",INDIRECT("'"&amp;A7&amp;"'"&amp;"!F:F"))</f>
        <v>182153.37</v>
      </c>
    </row>
    <row r="8" spans="1:6" ht="14.25">
      <c r="A8" s="260"/>
      <c r="B8" s="3136" t="e">
        <f t="shared" ref="B8:B14" ca="1" si="0">SUMIF(INDIRECT("'"&amp;A8&amp;"'"&amp;"!A:A"),"总价",INDIRECT("'"&amp;A8&amp;"'"&amp;"!B:B"))</f>
        <v>#REF!</v>
      </c>
      <c r="C8" s="3132" t="s">
        <v>2946</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2946</v>
      </c>
      <c r="D9" s="1882"/>
      <c r="E9" s="3137" t="e">
        <f t="shared" ca="1" si="1"/>
        <v>#REF!</v>
      </c>
      <c r="F9" s="3137" t="e">
        <f t="shared" ca="1" si="2"/>
        <v>#REF!</v>
      </c>
    </row>
    <row r="10" spans="1:6" ht="14.25">
      <c r="A10" s="260"/>
      <c r="B10" s="3136" t="e">
        <f t="shared" ca="1" si="0"/>
        <v>#REF!</v>
      </c>
      <c r="C10" s="3132" t="s">
        <v>2946</v>
      </c>
      <c r="D10" s="1882"/>
      <c r="E10" s="3137" t="e">
        <f t="shared" ca="1" si="1"/>
        <v>#REF!</v>
      </c>
      <c r="F10" s="3137" t="e">
        <f t="shared" ca="1" si="2"/>
        <v>#REF!</v>
      </c>
    </row>
    <row r="11" spans="1:6" ht="14.25">
      <c r="A11" s="260"/>
      <c r="B11" s="3136" t="e">
        <f t="shared" ca="1" si="0"/>
        <v>#REF!</v>
      </c>
      <c r="C11" s="3132" t="s">
        <v>2946</v>
      </c>
      <c r="D11" s="1882"/>
      <c r="E11" s="3137" t="e">
        <f t="shared" ca="1" si="1"/>
        <v>#REF!</v>
      </c>
      <c r="F11" s="3137" t="e">
        <f t="shared" ca="1" si="2"/>
        <v>#REF!</v>
      </c>
    </row>
    <row r="12" spans="1:6" ht="14.25">
      <c r="A12" s="260"/>
      <c r="B12" s="3136" t="e">
        <f t="shared" ca="1" si="0"/>
        <v>#REF!</v>
      </c>
      <c r="C12" s="3132" t="s">
        <v>2946</v>
      </c>
      <c r="D12" s="1882"/>
      <c r="E12" s="3137" t="e">
        <f t="shared" ca="1" si="1"/>
        <v>#REF!</v>
      </c>
      <c r="F12" s="3137" t="e">
        <f t="shared" ca="1" si="2"/>
        <v>#REF!</v>
      </c>
    </row>
    <row r="13" spans="1:6" ht="14.25">
      <c r="A13" s="260"/>
      <c r="B13" s="3136" t="e">
        <f t="shared" ca="1" si="0"/>
        <v>#REF!</v>
      </c>
      <c r="C13" s="3132" t="s">
        <v>2946</v>
      </c>
      <c r="D13" s="1882"/>
      <c r="E13" s="3137" t="e">
        <f t="shared" ca="1" si="1"/>
        <v>#REF!</v>
      </c>
      <c r="F13" s="3137" t="e">
        <f t="shared" ca="1" si="2"/>
        <v>#REF!</v>
      </c>
    </row>
    <row r="14" spans="1:6" ht="14.25">
      <c r="A14" s="3130"/>
      <c r="B14" s="3136" t="e">
        <f t="shared" ca="1" si="0"/>
        <v>#REF!</v>
      </c>
      <c r="C14" s="3132" t="s">
        <v>2946</v>
      </c>
      <c r="D14" s="1882"/>
      <c r="E14" s="3137" t="e">
        <f t="shared" ca="1" si="1"/>
        <v>#REF!</v>
      </c>
      <c r="F14" s="3137"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6.25">
      <c r="A7" s="1796"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2942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773" t="s">
        <v>2466</v>
      </c>
      <c r="C8" s="1826">
        <f ca="1">ROUND(F8*F10*F9*(1-F11)/10000,0)</f>
        <v>0</v>
      </c>
      <c r="D8" s="1823" t="s">
        <v>2537</v>
      </c>
      <c r="E8" s="61" t="s">
        <v>636</v>
      </c>
      <c r="F8" s="785">
        <f ca="1">INDIRECT("'数据-取费表'!u"&amp;$G$1)</f>
        <v>0</v>
      </c>
      <c r="G8" s="1592"/>
      <c r="H8" s="2529" t="s">
        <v>1824</v>
      </c>
      <c r="I8" s="3773" t="s">
        <v>2466</v>
      </c>
      <c r="J8" s="783">
        <f ca="1">ROUND(M8*M10*M9*(1-M11)/10000,0)</f>
        <v>0</v>
      </c>
      <c r="K8" s="341" t="s">
        <v>2537</v>
      </c>
      <c r="L8" s="784" t="s">
        <v>1738</v>
      </c>
      <c r="M8" s="785">
        <f ca="1">INDIRECT("'数据-取费表'!z"&amp;$G$1)</f>
        <v>0</v>
      </c>
    </row>
    <row r="9" spans="1:25" ht="18" customHeight="1">
      <c r="A9" s="2525"/>
      <c r="B9" s="3774"/>
      <c r="C9" s="1827"/>
      <c r="D9" s="1824"/>
      <c r="E9" s="61" t="s">
        <v>637</v>
      </c>
      <c r="F9" s="785">
        <f ca="1">IF(INDIRECT("'数据-取费表'!ah"&amp;$G$1)="",INDIRECT("'数据-取费表'!k"&amp;$G$1),INDIRECT("'数据-取费表'!ah"&amp;$G$1))</f>
        <v>0</v>
      </c>
      <c r="G9" s="1592"/>
      <c r="H9" s="2514"/>
      <c r="I9" s="3774"/>
      <c r="J9" s="788"/>
      <c r="K9" s="789"/>
      <c r="L9" s="784" t="s">
        <v>1739</v>
      </c>
      <c r="M9" s="785">
        <f ca="1">F9</f>
        <v>0</v>
      </c>
    </row>
    <row r="10" spans="1:25" ht="18" customHeight="1">
      <c r="A10" s="2518"/>
      <c r="B10" s="3775"/>
      <c r="C10" s="1827"/>
      <c r="D10" s="1824"/>
      <c r="E10" s="61" t="s">
        <v>638</v>
      </c>
      <c r="F10" s="785">
        <f ca="1">INDIRECT("'数据-取费表'!ai"&amp;$G$1)</f>
        <v>0</v>
      </c>
      <c r="G10" s="1592"/>
      <c r="H10" s="2514"/>
      <c r="I10" s="3775"/>
      <c r="J10" s="788"/>
      <c r="K10" s="789"/>
      <c r="L10" s="784" t="s">
        <v>1740</v>
      </c>
      <c r="M10" s="785">
        <f ca="1">INDIRECT("'数据-取费表'!ai"&amp;$G$1)</f>
        <v>0</v>
      </c>
    </row>
    <row r="11" spans="1:25" ht="18" customHeight="1">
      <c r="A11" s="786"/>
      <c r="B11" s="3776"/>
      <c r="C11" s="1827"/>
      <c r="D11" s="1824"/>
      <c r="E11" s="61" t="s">
        <v>639</v>
      </c>
      <c r="F11" s="794">
        <f ca="1">INDIRECT("'数据-取费表'!w"&amp;$G$1)</f>
        <v>0</v>
      </c>
      <c r="G11" s="1592"/>
      <c r="H11" s="2530"/>
      <c r="I11" s="3775"/>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2976</v>
      </c>
      <c r="E12" s="2523" t="s">
        <v>2467</v>
      </c>
      <c r="F12" s="2646"/>
      <c r="G12" s="1592"/>
      <c r="H12" s="2586" t="s">
        <v>1825</v>
      </c>
      <c r="I12" s="2591" t="s">
        <v>2462</v>
      </c>
      <c r="J12" s="783">
        <f ca="1">ROUND(IF(M12="押一",J8/12*M13,IF(M12="押二",J8/12*2*M13,IF(M12="押三",J8/12*3*M13,J13*M13))),0)</f>
        <v>0</v>
      </c>
      <c r="K12" s="2526" t="s">
        <v>2976</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772"/>
      <c r="J36" s="2080"/>
      <c r="K36" s="2081"/>
      <c r="L36" s="2080"/>
      <c r="M36" s="2080"/>
    </row>
    <row r="37" spans="1:18" ht="18" customHeight="1">
      <c r="A37" s="815"/>
      <c r="B37" s="793"/>
      <c r="C37" s="69"/>
      <c r="D37" s="816"/>
      <c r="E37" s="784" t="s">
        <v>673</v>
      </c>
      <c r="F37" s="785">
        <f ca="1">INDIRECT("'数据-取费表'!r"&amp;$G$1)</f>
        <v>0</v>
      </c>
      <c r="G37" s="2063"/>
      <c r="H37" s="2066"/>
      <c r="I37" s="3772"/>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2964</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777"/>
      <c r="L54" s="3778"/>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26" t="s">
        <v>2943</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28">
        <v>0</v>
      </c>
      <c r="O65" s="2429" t="s">
        <v>2418</v>
      </c>
      <c r="P65" s="1592"/>
      <c r="Q65" s="1604"/>
      <c r="R65" s="1592"/>
    </row>
    <row r="66" spans="1:18" s="2060" customFormat="1" ht="15.75"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7.0000000000000007E-2</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7"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2982</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1506</v>
      </c>
      <c r="D6" s="2522" t="s">
        <v>2465</v>
      </c>
      <c r="E6" s="784" t="s">
        <v>1738</v>
      </c>
      <c r="F6" s="785">
        <f ca="1">INDIRECT("'数据-取费表'!u"&amp;$G$1)</f>
        <v>2</v>
      </c>
      <c r="G6" s="1592"/>
      <c r="H6" s="2529" t="s">
        <v>2471</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21713.300000000003</v>
      </c>
      <c r="G7" s="1592"/>
      <c r="H7" s="2514"/>
      <c r="I7" s="3774"/>
      <c r="J7" s="788"/>
      <c r="K7" s="789"/>
      <c r="L7" s="784" t="s">
        <v>1739</v>
      </c>
      <c r="M7" s="785">
        <f ca="1">F7</f>
        <v>21713.300000000003</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2976</v>
      </c>
      <c r="E10" s="2523" t="s">
        <v>2467</v>
      </c>
      <c r="F10" s="2646"/>
      <c r="G10" s="1592"/>
      <c r="H10" s="2586" t="s">
        <v>2472</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3025</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2966</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2977</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65403.040000000001</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20.25"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18438</v>
      </c>
      <c r="R68" s="2431" t="s">
        <v>2419</v>
      </c>
    </row>
    <row r="69" spans="1:18" ht="20.25" thickBot="1">
      <c r="A69" s="790"/>
      <c r="B69" s="791"/>
      <c r="C69" s="792"/>
      <c r="D69" s="816"/>
      <c r="E69" s="784" t="s">
        <v>709</v>
      </c>
      <c r="F69" s="2372"/>
      <c r="O69" s="2426" t="s">
        <v>2387</v>
      </c>
      <c r="P69" s="2432" t="s">
        <v>2401</v>
      </c>
      <c r="Q69" s="2425">
        <f ca="1">ROUND(Q70-Q71*Q72,0)</f>
        <v>1065</v>
      </c>
      <c r="R69" s="2428"/>
    </row>
    <row r="70" spans="1:18" ht="15.75"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5.75" thickBot="1">
      <c r="O71" s="2426" t="s">
        <v>2404</v>
      </c>
      <c r="P71" s="2432" t="s">
        <v>2405</v>
      </c>
      <c r="Q71" s="2425">
        <f ca="1">C13</f>
        <v>2435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7" t="s">
        <v>2474</v>
      </c>
      <c r="B1" s="3798"/>
      <c r="C1" s="3799"/>
      <c r="D1" s="3800">
        <f>SUM(I10,I15,I20,I21,I23)</f>
        <v>0</v>
      </c>
      <c r="E1" s="3800"/>
      <c r="F1" s="3800"/>
      <c r="G1" s="3800"/>
      <c r="H1" s="3800"/>
      <c r="I1" s="3801"/>
    </row>
    <row r="2" spans="1:9">
      <c r="A2" s="3787" t="s">
        <v>2475</v>
      </c>
      <c r="B2" s="3788" t="s">
        <v>2476</v>
      </c>
      <c r="C2" s="3788"/>
      <c r="D2" s="2532" t="s">
        <v>2477</v>
      </c>
      <c r="E2" s="2532" t="s">
        <v>2478</v>
      </c>
      <c r="F2" s="2532" t="s">
        <v>2479</v>
      </c>
      <c r="G2" s="2532" t="s">
        <v>2480</v>
      </c>
      <c r="H2" s="2532" t="s">
        <v>2481</v>
      </c>
      <c r="I2" s="2533" t="s">
        <v>2482</v>
      </c>
    </row>
    <row r="3" spans="1:9">
      <c r="A3" s="3787"/>
      <c r="B3" s="3788" t="s">
        <v>2483</v>
      </c>
      <c r="C3" s="3788"/>
      <c r="D3" s="2534"/>
      <c r="E3" s="2532"/>
      <c r="F3" s="2535"/>
      <c r="G3" s="2535"/>
      <c r="H3" s="2536"/>
      <c r="I3" s="2537">
        <f>ROUND(D3*E3*F3*G3*H3/10000,0)</f>
        <v>0</v>
      </c>
    </row>
    <row r="4" spans="1:9">
      <c r="A4" s="3787"/>
      <c r="B4" s="3788" t="s">
        <v>2484</v>
      </c>
      <c r="C4" s="3788"/>
      <c r="D4" s="2534"/>
      <c r="E4" s="2532"/>
      <c r="F4" s="2535"/>
      <c r="G4" s="2535"/>
      <c r="H4" s="2536"/>
      <c r="I4" s="2537">
        <f t="shared" ref="I4:I9" si="0">ROUND(D4*E4*F4*G4*H4/10000,0)</f>
        <v>0</v>
      </c>
    </row>
    <row r="5" spans="1:9">
      <c r="A5" s="3787"/>
      <c r="B5" s="3788" t="s">
        <v>2485</v>
      </c>
      <c r="C5" s="3788"/>
      <c r="D5" s="2534"/>
      <c r="E5" s="2532"/>
      <c r="F5" s="2535"/>
      <c r="G5" s="2535"/>
      <c r="H5" s="2536"/>
      <c r="I5" s="2537">
        <f t="shared" si="0"/>
        <v>0</v>
      </c>
    </row>
    <row r="6" spans="1:9">
      <c r="A6" s="3787"/>
      <c r="B6" s="3788" t="s">
        <v>2486</v>
      </c>
      <c r="C6" s="3788"/>
      <c r="D6" s="2534"/>
      <c r="E6" s="2532"/>
      <c r="F6" s="2535"/>
      <c r="G6" s="2535"/>
      <c r="H6" s="2536"/>
      <c r="I6" s="2537">
        <f t="shared" si="0"/>
        <v>0</v>
      </c>
    </row>
    <row r="7" spans="1:9">
      <c r="A7" s="3787"/>
      <c r="B7" s="3788" t="s">
        <v>2487</v>
      </c>
      <c r="C7" s="3788"/>
      <c r="D7" s="2534"/>
      <c r="E7" s="2532"/>
      <c r="F7" s="2535"/>
      <c r="G7" s="2535"/>
      <c r="H7" s="2536"/>
      <c r="I7" s="2537">
        <f t="shared" si="0"/>
        <v>0</v>
      </c>
    </row>
    <row r="8" spans="1:9">
      <c r="A8" s="3787"/>
      <c r="B8" s="3788" t="s">
        <v>2488</v>
      </c>
      <c r="C8" s="3788"/>
      <c r="D8" s="2534"/>
      <c r="E8" s="2532"/>
      <c r="F8" s="2535"/>
      <c r="G8" s="2535"/>
      <c r="H8" s="2536"/>
      <c r="I8" s="2537">
        <f t="shared" si="0"/>
        <v>0</v>
      </c>
    </row>
    <row r="9" spans="1:9">
      <c r="A9" s="3787"/>
      <c r="B9" s="3788" t="s">
        <v>2489</v>
      </c>
      <c r="C9" s="3788"/>
      <c r="D9" s="2534"/>
      <c r="E9" s="2532"/>
      <c r="F9" s="2535"/>
      <c r="G9" s="2535"/>
      <c r="H9" s="2536"/>
      <c r="I9" s="2537">
        <f t="shared" si="0"/>
        <v>0</v>
      </c>
    </row>
    <row r="10" spans="1:9">
      <c r="A10" s="3787"/>
      <c r="B10" s="3789" t="s">
        <v>2490</v>
      </c>
      <c r="C10" s="3789"/>
      <c r="D10" s="2538">
        <v>527</v>
      </c>
      <c r="E10" s="2538" t="e">
        <f>ROUND(D1*10000/D10/H9,0)</f>
        <v>#DIV/0!</v>
      </c>
      <c r="F10" s="2539"/>
      <c r="G10" s="2539"/>
      <c r="H10" s="2540"/>
      <c r="I10" s="2541">
        <f>SUM(I3:I9)</f>
        <v>0</v>
      </c>
    </row>
    <row r="11" spans="1:9" ht="14.25">
      <c r="A11" s="3787" t="s">
        <v>2491</v>
      </c>
      <c r="B11" s="3788" t="s">
        <v>2492</v>
      </c>
      <c r="C11" s="3788"/>
      <c r="D11" s="2534" t="s">
        <v>2493</v>
      </c>
      <c r="E11" s="2534" t="s">
        <v>2494</v>
      </c>
      <c r="F11" s="2535" t="s">
        <v>2495</v>
      </c>
      <c r="G11" s="2535" t="s">
        <v>2496</v>
      </c>
      <c r="H11" s="2542" t="s">
        <v>2497</v>
      </c>
      <c r="I11" s="2533" t="s">
        <v>2498</v>
      </c>
    </row>
    <row r="12" spans="1:9">
      <c r="A12" s="3787"/>
      <c r="B12" s="3788" t="s">
        <v>2499</v>
      </c>
      <c r="C12" s="3788"/>
      <c r="D12" s="2534"/>
      <c r="E12" s="2534"/>
      <c r="F12" s="2535"/>
      <c r="G12" s="2536"/>
      <c r="H12" s="2543"/>
      <c r="I12" s="2533">
        <f>ROUND(D12*E12*F12*G12/10000,0)</f>
        <v>0</v>
      </c>
    </row>
    <row r="13" spans="1:9">
      <c r="A13" s="3787"/>
      <c r="B13" s="3788" t="s">
        <v>2500</v>
      </c>
      <c r="C13" s="3788"/>
      <c r="D13" s="2534"/>
      <c r="E13" s="2534"/>
      <c r="F13" s="2535"/>
      <c r="G13" s="2536"/>
      <c r="H13" s="2543"/>
      <c r="I13" s="2533">
        <f>ROUND(D13*E13*F13*G13/10000,0)</f>
        <v>0</v>
      </c>
    </row>
    <row r="14" spans="1:9">
      <c r="A14" s="3787"/>
      <c r="B14" s="3788" t="s">
        <v>2501</v>
      </c>
      <c r="C14" s="3788"/>
      <c r="D14" s="2534"/>
      <c r="E14" s="2534"/>
      <c r="F14" s="2535"/>
      <c r="G14" s="2536"/>
      <c r="H14" s="2543"/>
      <c r="I14" s="2533">
        <f>ROUND(D14*E14*F14*G14/10000,0)</f>
        <v>0</v>
      </c>
    </row>
    <row r="15" spans="1:9">
      <c r="A15" s="3787"/>
      <c r="B15" s="3789" t="s">
        <v>2490</v>
      </c>
      <c r="C15" s="3789"/>
      <c r="D15" s="2538"/>
      <c r="E15" s="2538">
        <f>SUM(E12:E14)</f>
        <v>0</v>
      </c>
      <c r="F15" s="2539"/>
      <c r="G15" s="2536"/>
      <c r="H15" s="2543"/>
      <c r="I15" s="2544">
        <f>SUM(I12:I14)</f>
        <v>0</v>
      </c>
    </row>
    <row r="16" spans="1:9" ht="24">
      <c r="A16" s="3787" t="s">
        <v>2502</v>
      </c>
      <c r="B16" s="3788" t="s">
        <v>2503</v>
      </c>
      <c r="C16" s="3788"/>
      <c r="D16" s="2534" t="s">
        <v>2504</v>
      </c>
      <c r="E16" s="2545" t="s">
        <v>2505</v>
      </c>
      <c r="F16" s="2535" t="s">
        <v>2506</v>
      </c>
      <c r="G16" s="2536" t="s">
        <v>2496</v>
      </c>
      <c r="H16" s="2542" t="s">
        <v>2497</v>
      </c>
      <c r="I16" s="2533" t="s">
        <v>2498</v>
      </c>
    </row>
    <row r="17" spans="1:9" ht="14.25">
      <c r="A17" s="3787"/>
      <c r="B17" s="3788" t="s">
        <v>2507</v>
      </c>
      <c r="C17" s="3788"/>
      <c r="D17" s="2534"/>
      <c r="E17" s="2534"/>
      <c r="F17" s="2535"/>
      <c r="G17" s="2536"/>
      <c r="H17" s="2546"/>
      <c r="I17" s="2547">
        <f>ROUND(D17*E17*F17*G17/10000,0)</f>
        <v>0</v>
      </c>
    </row>
    <row r="18" spans="1:9" ht="14.25">
      <c r="A18" s="3787"/>
      <c r="B18" s="3788" t="s">
        <v>2508</v>
      </c>
      <c r="C18" s="3788"/>
      <c r="D18" s="2534"/>
      <c r="E18" s="2534"/>
      <c r="F18" s="2535"/>
      <c r="G18" s="2536"/>
      <c r="H18" s="2546"/>
      <c r="I18" s="2547">
        <f>ROUND(D18*E18*F18*G18/10000,0)</f>
        <v>0</v>
      </c>
    </row>
    <row r="19" spans="1:9" ht="14.25">
      <c r="A19" s="3787"/>
      <c r="B19" s="3788" t="s">
        <v>2509</v>
      </c>
      <c r="C19" s="3788"/>
      <c r="D19" s="2534"/>
      <c r="E19" s="2534"/>
      <c r="F19" s="2535"/>
      <c r="G19" s="2536"/>
      <c r="H19" s="2546"/>
      <c r="I19" s="2547">
        <f>ROUND(D19*E19*F19*G19/10000,0)</f>
        <v>0</v>
      </c>
    </row>
    <row r="20" spans="1:9">
      <c r="A20" s="3787"/>
      <c r="B20" s="3789" t="s">
        <v>2490</v>
      </c>
      <c r="C20" s="3789"/>
      <c r="D20" s="2538">
        <f>SUM(D17:D19)</f>
        <v>0</v>
      </c>
      <c r="E20" s="2538"/>
      <c r="F20" s="2539"/>
      <c r="G20" s="2536"/>
      <c r="H20" s="2543"/>
      <c r="I20" s="2544">
        <f>SUM(I17:I19)</f>
        <v>0</v>
      </c>
    </row>
    <row r="21" spans="1:9">
      <c r="A21" s="3787" t="s">
        <v>2510</v>
      </c>
      <c r="B21" s="3790"/>
      <c r="C21" s="3790"/>
      <c r="D21" s="3790"/>
      <c r="E21" s="3790"/>
      <c r="F21" s="3790"/>
      <c r="G21" s="3790"/>
      <c r="H21" s="2548">
        <v>0.1</v>
      </c>
      <c r="I21" s="2541">
        <f>ROUND(I10*H21,0)</f>
        <v>0</v>
      </c>
    </row>
    <row r="22" spans="1:9" ht="14.25">
      <c r="A22" s="3791" t="s">
        <v>2511</v>
      </c>
      <c r="B22" s="3792"/>
      <c r="C22" s="3793"/>
      <c r="D22" s="2549" t="s">
        <v>2512</v>
      </c>
      <c r="E22" s="2549" t="s">
        <v>2513</v>
      </c>
      <c r="F22" s="2550" t="s">
        <v>2514</v>
      </c>
      <c r="G22" s="2550" t="s">
        <v>2515</v>
      </c>
      <c r="H22" s="2542" t="s">
        <v>2516</v>
      </c>
      <c r="I22" s="2533" t="s">
        <v>2517</v>
      </c>
    </row>
    <row r="23" spans="1:9" ht="14.25" thickBot="1">
      <c r="A23" s="3794"/>
      <c r="B23" s="3795"/>
      <c r="C23" s="3796"/>
      <c r="D23" s="2551"/>
      <c r="E23" s="2551"/>
      <c r="F23" s="2551"/>
      <c r="G23" s="2552"/>
      <c r="H23" s="2553"/>
      <c r="I23" s="2554">
        <f>ROUND(E23*D23*F23*(1-G23)/10000,0)</f>
        <v>0</v>
      </c>
    </row>
    <row r="26" spans="1:9">
      <c r="A26" s="2555" t="s">
        <v>2518</v>
      </c>
      <c r="B26" s="2555"/>
      <c r="C26" s="2555"/>
      <c r="D26" s="2555"/>
      <c r="E26" s="3784">
        <f>C27-C30-C31-C32</f>
        <v>0</v>
      </c>
      <c r="F26" s="3784"/>
      <c r="G26" s="3784"/>
      <c r="H26" s="3068" t="s">
        <v>2844</v>
      </c>
    </row>
    <row r="27" spans="1:9">
      <c r="A27" s="2556">
        <v>1</v>
      </c>
      <c r="B27" s="2557" t="s">
        <v>2519</v>
      </c>
      <c r="C27" s="2557"/>
      <c r="D27" s="2557"/>
      <c r="E27" s="3785"/>
      <c r="F27" s="3785"/>
      <c r="G27" s="3785"/>
    </row>
    <row r="28" spans="1:9">
      <c r="A28" s="2558" t="s">
        <v>2520</v>
      </c>
      <c r="B28" s="2557" t="s">
        <v>2521</v>
      </c>
      <c r="C28" s="2557"/>
      <c r="D28" s="2557"/>
      <c r="E28" s="3785"/>
      <c r="F28" s="3785"/>
      <c r="G28" s="3785"/>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786"/>
      <c r="F32" s="3786"/>
      <c r="G32" s="3786"/>
    </row>
    <row r="33" spans="1:7" hidden="1">
      <c r="A33" s="3781" t="s">
        <v>2529</v>
      </c>
      <c r="B33" s="3782"/>
      <c r="C33" s="3782"/>
      <c r="D33" s="3783"/>
      <c r="E33" s="3784"/>
      <c r="F33" s="3784"/>
      <c r="G33" s="3784"/>
    </row>
    <row r="34" spans="1:7" hidden="1">
      <c r="A34" s="2560">
        <v>1</v>
      </c>
      <c r="B34" s="2557" t="s">
        <v>2530</v>
      </c>
      <c r="C34" s="2557"/>
      <c r="D34" s="2557"/>
      <c r="E34" s="3785"/>
      <c r="F34" s="3785"/>
      <c r="G34" s="3785"/>
    </row>
    <row r="35" spans="1:7" hidden="1">
      <c r="A35" s="2560">
        <v>2</v>
      </c>
      <c r="B35" s="2557" t="s">
        <v>2531</v>
      </c>
      <c r="C35" s="2557"/>
      <c r="D35" s="2557"/>
      <c r="E35" s="3785"/>
      <c r="F35" s="3785"/>
      <c r="G35" s="3785"/>
    </row>
    <row r="36" spans="1:7" hidden="1">
      <c r="A36" s="2560">
        <v>3</v>
      </c>
      <c r="B36" s="2557" t="s">
        <v>2532</v>
      </c>
      <c r="C36" s="2557"/>
      <c r="D36" s="2557"/>
      <c r="E36" s="3785"/>
      <c r="F36" s="3785"/>
      <c r="G36" s="3785"/>
    </row>
    <row r="37" spans="1:7" hidden="1">
      <c r="A37" s="2560">
        <v>4</v>
      </c>
      <c r="B37" s="2557" t="s">
        <v>2533</v>
      </c>
      <c r="C37" s="2557"/>
      <c r="D37" s="2557"/>
      <c r="E37" s="3785"/>
      <c r="F37" s="3785"/>
      <c r="G37" s="3785"/>
    </row>
    <row r="38" spans="1:7" hidden="1">
      <c r="A38" s="3781" t="s">
        <v>2534</v>
      </c>
      <c r="B38" s="3782"/>
      <c r="C38" s="3782"/>
      <c r="D38" s="3783"/>
      <c r="E38" s="3784"/>
      <c r="F38" s="3784"/>
      <c r="G38" s="37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1393</v>
      </c>
      <c r="D6" s="2522" t="s">
        <v>2465</v>
      </c>
      <c r="E6" s="784" t="s">
        <v>1738</v>
      </c>
      <c r="F6" s="785">
        <f ca="1">INDIRECT("'数据-取费表'!u"&amp;$G$1)</f>
        <v>2</v>
      </c>
      <c r="G6" s="1592"/>
      <c r="H6" s="2529" t="s">
        <v>1824</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20081.400000000001</v>
      </c>
      <c r="G7" s="1592"/>
      <c r="H7" s="2514"/>
      <c r="I7" s="3774"/>
      <c r="J7" s="788"/>
      <c r="K7" s="789"/>
      <c r="L7" s="784" t="s">
        <v>1739</v>
      </c>
      <c r="M7" s="785">
        <f ca="1">F7</f>
        <v>20081.400000000001</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60487.56</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20.25"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16658</v>
      </c>
      <c r="R68" s="2431" t="s">
        <v>2419</v>
      </c>
    </row>
    <row r="69" spans="1:18" ht="20.25" thickBot="1">
      <c r="A69" s="790"/>
      <c r="B69" s="791"/>
      <c r="C69" s="792"/>
      <c r="D69" s="816"/>
      <c r="E69" s="784" t="s">
        <v>709</v>
      </c>
      <c r="F69" s="2372"/>
      <c r="O69" s="2426" t="s">
        <v>2387</v>
      </c>
      <c r="P69" s="2432" t="s">
        <v>2401</v>
      </c>
      <c r="Q69" s="2425">
        <f ca="1">ROUND(Q70-Q71*Q72,0)</f>
        <v>962</v>
      </c>
      <c r="R69" s="2428"/>
    </row>
    <row r="70" spans="1:18" ht="15.75"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5.75" thickBot="1">
      <c r="O71" s="2426" t="s">
        <v>2404</v>
      </c>
      <c r="P71" s="2432" t="s">
        <v>2405</v>
      </c>
      <c r="Q71" s="2425">
        <f ca="1">C13</f>
        <v>2575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2991</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101</v>
      </c>
      <c r="D6" s="2522" t="s">
        <v>2465</v>
      </c>
      <c r="E6" s="784" t="s">
        <v>1738</v>
      </c>
      <c r="F6" s="785">
        <f ca="1">INDIRECT("'数据-取费表'!u"&amp;$G$1)</f>
        <v>2</v>
      </c>
      <c r="G6" s="1592"/>
      <c r="H6" s="2529" t="s">
        <v>1824</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1452.1</v>
      </c>
      <c r="G7" s="1592"/>
      <c r="H7" s="2514"/>
      <c r="I7" s="3774"/>
      <c r="J7" s="788"/>
      <c r="K7" s="789"/>
      <c r="L7" s="784" t="s">
        <v>1739</v>
      </c>
      <c r="M7" s="785">
        <f ca="1">F7</f>
        <v>1452.1</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4373.8999999999996</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20.25"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1212</v>
      </c>
      <c r="R68" s="2431" t="s">
        <v>2419</v>
      </c>
    </row>
    <row r="69" spans="1:18" ht="20.25" thickBot="1">
      <c r="A69" s="790"/>
      <c r="B69" s="791"/>
      <c r="C69" s="792"/>
      <c r="D69" s="816"/>
      <c r="E69" s="784" t="s">
        <v>709</v>
      </c>
      <c r="F69" s="2372"/>
      <c r="O69" s="2426" t="s">
        <v>2387</v>
      </c>
      <c r="P69" s="2432" t="s">
        <v>2401</v>
      </c>
      <c r="Q69" s="2425">
        <f ca="1">ROUND(Q70-Q71*Q72,0)</f>
        <v>70</v>
      </c>
      <c r="R69" s="2428"/>
    </row>
    <row r="70" spans="1:18" ht="15.75"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5.75" thickBot="1">
      <c r="O71" s="2426" t="s">
        <v>2404</v>
      </c>
      <c r="P71" s="2432" t="s">
        <v>2405</v>
      </c>
      <c r="Q71" s="2425">
        <f ca="1">C13</f>
        <v>186</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2992</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607</v>
      </c>
      <c r="D6" s="2522" t="s">
        <v>2465</v>
      </c>
      <c r="E6" s="784" t="s">
        <v>1738</v>
      </c>
      <c r="F6" s="785">
        <f ca="1">INDIRECT("'数据-取费表'!u"&amp;$G$1)</f>
        <v>2</v>
      </c>
      <c r="G6" s="1592"/>
      <c r="H6" s="2529" t="s">
        <v>1824</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8749.6</v>
      </c>
      <c r="G7" s="1592"/>
      <c r="H7" s="2514"/>
      <c r="I7" s="3774"/>
      <c r="J7" s="788"/>
      <c r="K7" s="789"/>
      <c r="L7" s="784" t="s">
        <v>1739</v>
      </c>
      <c r="M7" s="785">
        <f ca="1">F7</f>
        <v>8749.6</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26354.84</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20.25"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6880</v>
      </c>
      <c r="R68" s="2431" t="s">
        <v>2419</v>
      </c>
    </row>
    <row r="69" spans="1:18" ht="20.25" thickBot="1">
      <c r="A69" s="790"/>
      <c r="B69" s="791"/>
      <c r="C69" s="792"/>
      <c r="D69" s="816"/>
      <c r="E69" s="784" t="s">
        <v>709</v>
      </c>
      <c r="F69" s="2372"/>
      <c r="O69" s="2426" t="s">
        <v>2387</v>
      </c>
      <c r="P69" s="2432" t="s">
        <v>2401</v>
      </c>
      <c r="Q69" s="2425">
        <f ca="1">ROUND(Q70-Q71*Q72,0)</f>
        <v>397</v>
      </c>
      <c r="R69" s="2428"/>
    </row>
    <row r="70" spans="1:18" ht="15.75"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5.75" thickBot="1">
      <c r="O71" s="2426" t="s">
        <v>2404</v>
      </c>
      <c r="P71" s="2432" t="s">
        <v>2405</v>
      </c>
      <c r="Q71" s="2425">
        <f ca="1">C13</f>
        <v>1440</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2993</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284</v>
      </c>
      <c r="D6" s="2522" t="s">
        <v>2465</v>
      </c>
      <c r="E6" s="784" t="s">
        <v>1738</v>
      </c>
      <c r="F6" s="785">
        <f ca="1">INDIRECT("'数据-取费表'!u"&amp;$G$1)</f>
        <v>2</v>
      </c>
      <c r="G6" s="1592"/>
      <c r="H6" s="2529" t="s">
        <v>1824</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4101</v>
      </c>
      <c r="G7" s="1592"/>
      <c r="H7" s="2514"/>
      <c r="I7" s="3774"/>
      <c r="J7" s="788"/>
      <c r="K7" s="789"/>
      <c r="L7" s="784" t="s">
        <v>1739</v>
      </c>
      <c r="M7" s="785">
        <f ca="1">F7</f>
        <v>4101</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12352.7</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3217</v>
      </c>
      <c r="R68" s="2431" t="s">
        <v>2419</v>
      </c>
    </row>
    <row r="69" spans="1:18" ht="20.25" thickBot="1">
      <c r="A69" s="790"/>
      <c r="B69" s="791"/>
      <c r="C69" s="792"/>
      <c r="D69" s="816"/>
      <c r="E69" s="784" t="s">
        <v>709</v>
      </c>
      <c r="F69" s="2372"/>
      <c r="O69" s="2426" t="s">
        <v>2387</v>
      </c>
      <c r="P69" s="2432" t="s">
        <v>2401</v>
      </c>
      <c r="Q69" s="2425">
        <f ca="1">ROUND(Q70-Q71*Q72,0)</f>
        <v>186</v>
      </c>
      <c r="R69" s="2428"/>
    </row>
    <row r="70" spans="1:18" ht="15.75"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5.75" thickBot="1">
      <c r="O71" s="2426" t="s">
        <v>2404</v>
      </c>
      <c r="P71" s="2432" t="s">
        <v>2405</v>
      </c>
      <c r="Q71" s="2425">
        <f ca="1">C13</f>
        <v>675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2994</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773" t="s">
        <v>2466</v>
      </c>
      <c r="C6" s="783">
        <f ca="1">ROUND(F6*F8*F7*(1-F9)/10000,0)</f>
        <v>226</v>
      </c>
      <c r="D6" s="2522" t="s">
        <v>2465</v>
      </c>
      <c r="E6" s="784" t="s">
        <v>1738</v>
      </c>
      <c r="F6" s="785">
        <f ca="1">INDIRECT("'数据-取费表'!u"&amp;$G$1)</f>
        <v>2</v>
      </c>
      <c r="G6" s="1592"/>
      <c r="H6" s="2529" t="s">
        <v>1824</v>
      </c>
      <c r="I6" s="3773" t="s">
        <v>2466</v>
      </c>
      <c r="J6" s="783">
        <f ca="1">ROUND(M6*M8*M7*(1-M9)/10000,0)</f>
        <v>0</v>
      </c>
      <c r="K6" s="341" t="s">
        <v>1737</v>
      </c>
      <c r="L6" s="784" t="s">
        <v>1738</v>
      </c>
      <c r="M6" s="785">
        <f ca="1">INDIRECT("'数据-取费表'!z"&amp;$G$1)</f>
        <v>0</v>
      </c>
    </row>
    <row r="7" spans="1:33" ht="18" customHeight="1">
      <c r="A7" s="2525"/>
      <c r="B7" s="3774"/>
      <c r="C7" s="788"/>
      <c r="D7" s="789"/>
      <c r="E7" s="784" t="s">
        <v>1739</v>
      </c>
      <c r="F7" s="785">
        <f ca="1">IF(INDIRECT("'数据-取费表'!ah"&amp;$G$1)="",INDIRECT("'数据-取费表'!k"&amp;$G$1),INDIRECT("'数据-取费表'!ah"&amp;$G$1))</f>
        <v>3265</v>
      </c>
      <c r="G7" s="1592"/>
      <c r="H7" s="2514"/>
      <c r="I7" s="3774"/>
      <c r="J7" s="788"/>
      <c r="K7" s="789"/>
      <c r="L7" s="784" t="s">
        <v>1739</v>
      </c>
      <c r="M7" s="785">
        <f ca="1">F7</f>
        <v>3265</v>
      </c>
    </row>
    <row r="8" spans="1:33" ht="18" customHeight="1">
      <c r="A8" s="2518"/>
      <c r="B8" s="3775"/>
      <c r="C8" s="788"/>
      <c r="D8" s="789"/>
      <c r="E8" s="784" t="s">
        <v>1740</v>
      </c>
      <c r="F8" s="785">
        <f ca="1">INDIRECT("'数据-取费表'!ai"&amp;$G$1)</f>
        <v>365</v>
      </c>
      <c r="G8" s="1592"/>
      <c r="H8" s="2514"/>
      <c r="I8" s="3775"/>
      <c r="J8" s="788"/>
      <c r="K8" s="789"/>
      <c r="L8" s="784" t="s">
        <v>1740</v>
      </c>
      <c r="M8" s="785">
        <f ca="1">INDIRECT("'数据-取费表'!ai"&amp;$G$1)</f>
        <v>365</v>
      </c>
    </row>
    <row r="9" spans="1:33" ht="18" customHeight="1">
      <c r="A9" s="786"/>
      <c r="B9" s="3776"/>
      <c r="C9" s="788"/>
      <c r="D9" s="789"/>
      <c r="E9" s="784" t="s">
        <v>1741</v>
      </c>
      <c r="F9" s="794">
        <f ca="1">INDIRECT("'数据-取费表'!w"&amp;$G$1)</f>
        <v>0.05</v>
      </c>
      <c r="G9" s="1592"/>
      <c r="H9" s="2530"/>
      <c r="I9" s="377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2976</v>
      </c>
      <c r="E10" s="2523" t="s">
        <v>2467</v>
      </c>
      <c r="F10" s="2646"/>
      <c r="G10" s="1592"/>
      <c r="H10" s="2586" t="s">
        <v>1825</v>
      </c>
      <c r="I10" s="2591" t="s">
        <v>2462</v>
      </c>
      <c r="J10" s="783">
        <f ca="1">ROUND(IF(M10="押一",J6/12*M11,IF(M10="押二",J6/12*2*M11,IF(M10="押三",J6/12*3*M11,J11*M11))),0)</f>
        <v>0</v>
      </c>
      <c r="K10" s="2526" t="s">
        <v>2976</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3025</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3013</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3026</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779" t="s">
        <v>2968</v>
      </c>
      <c r="L53" s="378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9834.57</v>
      </c>
      <c r="I62" s="2410" t="s">
        <v>2370</v>
      </c>
      <c r="J62" s="2411" t="s">
        <v>2371</v>
      </c>
      <c r="K62" s="2411" t="s">
        <v>2372</v>
      </c>
      <c r="L62" s="2411" t="s">
        <v>2353</v>
      </c>
      <c r="M62" s="3126" t="s">
        <v>2943</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2505</v>
      </c>
      <c r="R68" s="2431" t="s">
        <v>2419</v>
      </c>
    </row>
    <row r="69" spans="1:18" ht="20.25" thickBot="1">
      <c r="A69" s="790"/>
      <c r="B69" s="791"/>
      <c r="C69" s="792"/>
      <c r="D69" s="816"/>
      <c r="E69" s="784" t="s">
        <v>709</v>
      </c>
      <c r="F69" s="2372"/>
      <c r="O69" s="2426" t="s">
        <v>2387</v>
      </c>
      <c r="P69" s="2432" t="s">
        <v>2401</v>
      </c>
      <c r="Q69" s="2425">
        <f ca="1">ROUND(Q70-Q71*Q72,0)</f>
        <v>145</v>
      </c>
      <c r="R69" s="2428"/>
    </row>
    <row r="70" spans="1:18" ht="15.75"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5.75" thickBot="1">
      <c r="O71" s="2426" t="s">
        <v>2404</v>
      </c>
      <c r="P71" s="2432" t="s">
        <v>2405</v>
      </c>
      <c r="Q71" s="2425">
        <f ca="1">C13</f>
        <v>577</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7"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C26" sqref="C2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75">
      <c r="A2" s="1406" t="s">
        <v>919</v>
      </c>
      <c r="B2" s="1038">
        <f>C26</f>
        <v>3233</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4979</v>
      </c>
      <c r="U2" s="2951"/>
      <c r="V2" s="2962">
        <f>ROUND(T2*U2/10000,0)</f>
        <v>0</v>
      </c>
      <c r="W2" s="2190"/>
      <c r="X2" s="2190"/>
      <c r="Y2" s="2190"/>
      <c r="Z2" s="2190"/>
      <c r="AA2" s="2190"/>
      <c r="AB2" s="2190"/>
      <c r="AC2" s="2191"/>
    </row>
    <row r="3" spans="1:39" ht="15.75">
      <c r="A3" s="1411" t="s">
        <v>1687</v>
      </c>
      <c r="B3" s="1038">
        <f>ROUND(B2*10000/D1,0)</f>
        <v>1486</v>
      </c>
      <c r="C3" s="1407" t="s">
        <v>926</v>
      </c>
      <c r="D3" s="1408" t="s">
        <v>927</v>
      </c>
      <c r="E3" s="1412" t="s">
        <v>3004</v>
      </c>
      <c r="F3" s="1413" t="s">
        <v>3239</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3574</v>
      </c>
      <c r="U3" s="2951"/>
      <c r="V3" s="2962">
        <f t="shared" ref="V3:V16" si="1">ROUND(T3*U3/10000,0)</f>
        <v>0</v>
      </c>
      <c r="W3" s="2190"/>
      <c r="X3" s="2190"/>
      <c r="Y3" s="2190"/>
      <c r="Z3" s="2190"/>
      <c r="AA3" s="2190"/>
      <c r="AB3" s="2190"/>
      <c r="AC3" s="2191"/>
    </row>
    <row r="4" spans="1:39" ht="28.5">
      <c r="A4" s="1892" t="s">
        <v>2282</v>
      </c>
      <c r="B4" s="2478">
        <f>ROUND(B2*10000/F1,0)</f>
        <v>177</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2883</v>
      </c>
      <c r="U4" s="2951"/>
      <c r="V4" s="2962">
        <f t="shared"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2314</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1970</v>
      </c>
      <c r="U6" s="2951"/>
      <c r="V6" s="2962">
        <f t="shared" si="1"/>
        <v>0</v>
      </c>
      <c r="W6" s="2190"/>
      <c r="X6" s="2190"/>
      <c r="Y6" s="2190"/>
      <c r="Z6" s="2190"/>
      <c r="AA6" s="2190"/>
      <c r="AB6" s="2190"/>
      <c r="AC6" s="2192"/>
      <c r="AD6" s="1419"/>
      <c r="AE6" s="1419"/>
      <c r="AF6" s="1419"/>
      <c r="AG6" s="1419"/>
      <c r="AH6" s="1419"/>
      <c r="AI6" s="1419"/>
      <c r="AJ6" s="1420"/>
    </row>
    <row r="7" spans="1:39" ht="24">
      <c r="A7" s="3750"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1733</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751"/>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760" t="s">
        <v>2785</v>
      </c>
      <c r="X8" s="376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51"/>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759"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51"/>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75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51"/>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75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50"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759"/>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52"/>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759"/>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752"/>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753"/>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750" t="s">
        <v>1838</v>
      </c>
      <c r="B16" s="1427" t="s">
        <v>949</v>
      </c>
      <c r="C16" s="1054">
        <f>ROUND(SUM(G17:J17)/C17,0)</f>
        <v>0</v>
      </c>
      <c r="D16" s="1460" t="s">
        <v>950</v>
      </c>
      <c r="E16" s="1461" t="s">
        <v>3005</v>
      </c>
      <c r="F16" s="1462" t="s">
        <v>3006</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13.5" thickBot="1">
      <c r="A17" s="3751"/>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3007</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3010</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E29+SUM(E33:E39)</f>
        <v>3233</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2972</v>
      </c>
      <c r="D29" s="1504">
        <f>'结果一览表 (基)'!F5</f>
        <v>10879.7</v>
      </c>
      <c r="E29" s="1850">
        <f>ROUND(C29*D29/10000,0)</f>
        <v>3233</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ROUND(IF(E2="工业",C29*M39,C29*M38),0)</f>
        <v>446</v>
      </c>
      <c r="D30" s="1510">
        <f>D29</f>
        <v>10879.7</v>
      </c>
      <c r="E30" s="1850">
        <f>ROUND(C30*D30/10000,0)</f>
        <v>485</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56" t="s">
        <v>2963</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57"/>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57"/>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58"/>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ROUND(C5*C19*C20*C24*F37,0)</f>
        <v>668</v>
      </c>
      <c r="D37" s="1537"/>
      <c r="E37" s="1048">
        <f t="shared" si="7"/>
        <v>0</v>
      </c>
      <c r="F37" s="1063">
        <f>SUMIF(修正!A45:A56,G2,修正!F45:F56)</f>
        <v>0.25</v>
      </c>
      <c r="G37" s="1048">
        <f t="shared" si="6"/>
        <v>167</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ROUND(C5*C19*C20*C24*F38,0)</f>
        <v>668</v>
      </c>
      <c r="D38" s="1537"/>
      <c r="E38" s="1048">
        <f t="shared" si="7"/>
        <v>0</v>
      </c>
      <c r="F38" s="1063">
        <f>SUMIF(修正!A45:A56,G2,修正!G45:G56)</f>
        <v>0.25</v>
      </c>
      <c r="G38" s="1048">
        <f t="shared" si="6"/>
        <v>167</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ROUND(C5*C19*C20*C24*F39,0)</f>
        <v>535</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3185</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3186</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3187</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3500</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3186</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3188</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2937</v>
      </c>
      <c r="C86" s="1050" t="s">
        <v>3186</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3186</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754" t="s">
        <v>1633</v>
      </c>
      <c r="B90" s="3754"/>
      <c r="C90" s="3754"/>
      <c r="D90" s="3754"/>
      <c r="E90" s="3754"/>
      <c r="F90" s="3754"/>
      <c r="G90" s="3754"/>
      <c r="H90" s="3754"/>
      <c r="I90" s="3754"/>
      <c r="J90" s="3754"/>
      <c r="K90" s="3423"/>
      <c r="L90" s="3423"/>
      <c r="M90" s="3423"/>
      <c r="N90" s="3423"/>
    </row>
    <row r="91" spans="1:40">
      <c r="A91" s="3755" t="s">
        <v>1443</v>
      </c>
      <c r="B91" s="3755" t="s">
        <v>1634</v>
      </c>
      <c r="C91" s="1140" t="s">
        <v>1635</v>
      </c>
      <c r="D91" s="1141"/>
      <c r="E91" s="1141"/>
      <c r="F91" s="1141"/>
      <c r="G91" s="1141"/>
      <c r="H91" s="1141"/>
      <c r="I91" s="1141"/>
      <c r="J91" s="1142"/>
      <c r="K91" s="1134"/>
      <c r="L91" s="1134"/>
      <c r="M91" s="1134"/>
      <c r="N91" s="1134"/>
    </row>
    <row r="92" spans="1:40">
      <c r="A92" s="3755"/>
      <c r="B92" s="3755"/>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76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62"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76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76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76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76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76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76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763"/>
      <c r="B108" s="37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64"/>
      <c r="B109" s="376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749" t="s">
        <v>1639</v>
      </c>
      <c r="B110" s="3749"/>
      <c r="C110" s="3749"/>
      <c r="D110" s="3749"/>
      <c r="E110" s="3749"/>
      <c r="F110" s="3749"/>
      <c r="G110" s="3749"/>
      <c r="H110" s="3749"/>
      <c r="I110" s="3749"/>
      <c r="J110" s="3749"/>
      <c r="K110" s="3422"/>
      <c r="L110" s="3422"/>
      <c r="M110" s="3422"/>
      <c r="N110" s="3422"/>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7"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3" zoomScale="89" zoomScaleNormal="89" workbookViewId="0">
      <selection activeCell="I43" sqref="I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59036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9762</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3241</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216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713" t="s">
        <v>521</v>
      </c>
      <c r="D6" s="3714"/>
      <c r="E6" s="3807" t="s">
        <v>522</v>
      </c>
      <c r="F6" s="3808"/>
      <c r="G6" s="3713" t="s">
        <v>523</v>
      </c>
      <c r="H6" s="3714"/>
      <c r="I6" s="3713" t="s">
        <v>524</v>
      </c>
      <c r="J6" s="3714"/>
      <c r="K6" s="514" t="s">
        <v>525</v>
      </c>
      <c r="L6" s="2134"/>
      <c r="M6" s="2135"/>
      <c r="N6" s="2135"/>
      <c r="O6" s="2135"/>
      <c r="P6" s="3715" t="s">
        <v>526</v>
      </c>
      <c r="Q6" s="3716"/>
      <c r="R6" s="3701" t="s">
        <v>522</v>
      </c>
      <c r="S6" s="3702"/>
      <c r="T6" s="3701" t="s">
        <v>523</v>
      </c>
      <c r="U6" s="3702"/>
      <c r="V6" s="3721" t="s">
        <v>524</v>
      </c>
      <c r="W6" s="3721"/>
      <c r="X6" s="1567"/>
      <c r="Y6" s="3701" t="s">
        <v>526</v>
      </c>
      <c r="Z6" s="3702"/>
      <c r="AA6" s="3696" t="s">
        <v>522</v>
      </c>
      <c r="AB6" s="3697" t="s">
        <v>523</v>
      </c>
      <c r="AC6" s="3696" t="s">
        <v>524</v>
      </c>
    </row>
    <row r="7" spans="1:29" ht="15">
      <c r="A7" s="515"/>
      <c r="B7" s="516"/>
      <c r="C7" s="3811" t="s">
        <v>3471</v>
      </c>
      <c r="D7" s="3725"/>
      <c r="E7" s="3809" t="s">
        <v>3489</v>
      </c>
      <c r="F7" s="3810"/>
      <c r="G7" s="3724" t="s">
        <v>2932</v>
      </c>
      <c r="H7" s="3725"/>
      <c r="I7" s="3724" t="s">
        <v>2933</v>
      </c>
      <c r="J7" s="3725"/>
      <c r="K7" s="514"/>
      <c r="L7" s="2134"/>
      <c r="M7" s="2135"/>
      <c r="N7" s="2135"/>
      <c r="O7" s="2135"/>
      <c r="P7" s="3717"/>
      <c r="Q7" s="3718"/>
      <c r="R7" s="3703"/>
      <c r="S7" s="3704"/>
      <c r="T7" s="3703"/>
      <c r="U7" s="3704"/>
      <c r="V7" s="3721"/>
      <c r="W7" s="3721"/>
      <c r="X7" s="1567"/>
      <c r="Y7" s="3703"/>
      <c r="Z7" s="3704"/>
      <c r="AA7" s="3697"/>
      <c r="AB7" s="3697"/>
      <c r="AC7" s="3697"/>
    </row>
    <row r="8" spans="1:29" ht="50.25" customHeight="1" thickBot="1">
      <c r="A8" s="517"/>
      <c r="B8" s="518"/>
      <c r="C8" s="3812" t="str">
        <f>项目基本情况!F10</f>
        <v>海淀区西三旗建材城中路2号</v>
      </c>
      <c r="D8" s="3723"/>
      <c r="E8" s="3813" t="str">
        <f>顺义案例!A3</f>
        <v>顺义区天竺综合保税区3-4(C12地块局部)地块</v>
      </c>
      <c r="F8" s="3814"/>
      <c r="G8" s="3722" t="str">
        <f>顺义案例!A4</f>
        <v>顺义区新城第26街区C-19(网内8号地)</v>
      </c>
      <c r="H8" s="3723"/>
      <c r="I8" s="3722" t="str">
        <f>顺义案例!A5</f>
        <v>顺义区赵全营镇SY19-0107-0001至0003(即SY10-0107-6003)地块</v>
      </c>
      <c r="J8" s="3723"/>
      <c r="K8" s="514" t="s">
        <v>527</v>
      </c>
      <c r="L8" s="2134"/>
      <c r="M8" s="2135"/>
      <c r="N8" s="2135"/>
      <c r="O8" s="2135"/>
      <c r="P8" s="3719"/>
      <c r="Q8" s="3720"/>
      <c r="R8" s="3703"/>
      <c r="S8" s="3704"/>
      <c r="T8" s="3705"/>
      <c r="U8" s="3706"/>
      <c r="V8" s="3721"/>
      <c r="W8" s="3721"/>
      <c r="X8" s="1567"/>
      <c r="Y8" s="3705"/>
      <c r="Z8" s="3706"/>
      <c r="AA8" s="3698"/>
      <c r="AB8" s="3698"/>
      <c r="AC8" s="3698"/>
    </row>
    <row r="9" spans="1:29" s="1220" customFormat="1" ht="15.75" thickBot="1">
      <c r="A9" s="2937"/>
      <c r="B9" s="2944" t="s">
        <v>528</v>
      </c>
      <c r="C9" s="519">
        <f>'数据-取费表'!B2</f>
        <v>43251</v>
      </c>
      <c r="D9" s="520">
        <v>100</v>
      </c>
      <c r="E9" s="521" t="str">
        <f>顺义案例!G3</f>
        <v>2017-05-04</v>
      </c>
      <c r="F9" s="522">
        <f>SUMIF(67:67,YEAR(E9)&amp;"-"&amp;INT((MONTH(E9)+2)/3),68:68)</f>
        <v>100</v>
      </c>
      <c r="G9" s="523" t="str">
        <f>顺义案例!G4</f>
        <v>2017-04-21</v>
      </c>
      <c r="H9" s="520">
        <f>SUMIF(67:67,YEAR(G9)&amp;"-"&amp;INT((MONTH(G9)+2)/3),68:68)</f>
        <v>100</v>
      </c>
      <c r="I9" s="523" t="str">
        <f>顺义案例!G5</f>
        <v>2017-04-21</v>
      </c>
      <c r="J9" s="520">
        <f>SUMIF(67:67,YEAR(I9)&amp;"-"&amp;INT((MONTH(I9)+2)/3),68:68)</f>
        <v>100</v>
      </c>
      <c r="K9" s="524"/>
      <c r="L9" s="2136"/>
      <c r="M9" s="2137"/>
      <c r="N9" s="2137"/>
      <c r="O9" s="2137"/>
      <c r="P9" s="3699" t="s">
        <v>529</v>
      </c>
      <c r="Q9" s="3708"/>
      <c r="R9" s="1568" t="s">
        <v>8</v>
      </c>
      <c r="S9" s="1569">
        <f t="shared" ref="S9:S17" si="0">F9</f>
        <v>100</v>
      </c>
      <c r="T9" s="1568" t="s">
        <v>8</v>
      </c>
      <c r="U9" s="1569">
        <f t="shared" ref="U9:U17" si="1">H9</f>
        <v>100</v>
      </c>
      <c r="V9" s="1568" t="s">
        <v>8</v>
      </c>
      <c r="W9" s="1569">
        <f t="shared" ref="W9:W17" si="2">J9</f>
        <v>100</v>
      </c>
      <c r="X9" s="1570"/>
      <c r="Y9" s="3699" t="s">
        <v>529</v>
      </c>
      <c r="Z9" s="3700"/>
      <c r="AA9" s="1571">
        <f>D9/F9</f>
        <v>1</v>
      </c>
      <c r="AB9" s="1571">
        <f>D9/H9</f>
        <v>1</v>
      </c>
      <c r="AC9" s="1571">
        <f>D9/J9</f>
        <v>1</v>
      </c>
    </row>
    <row r="10" spans="1:29" s="1220" customFormat="1" ht="15.75" thickBot="1">
      <c r="A10" s="2938"/>
      <c r="B10" s="2945" t="s">
        <v>530</v>
      </c>
      <c r="C10" s="525" t="s">
        <v>531</v>
      </c>
      <c r="D10" s="520">
        <v>100</v>
      </c>
      <c r="E10" s="525" t="s">
        <v>3472</v>
      </c>
      <c r="F10" s="522">
        <f>SUMIF(70:70,E10,71:71)-SUMIF(70:70,C10,71:71)+100</f>
        <v>100</v>
      </c>
      <c r="G10" s="525" t="s">
        <v>3472</v>
      </c>
      <c r="H10" s="520">
        <f>SUMIF(70:70,G10,71:71)-SUMIF(70:70,C10,71:71)+100</f>
        <v>100</v>
      </c>
      <c r="I10" s="525" t="s">
        <v>3472</v>
      </c>
      <c r="J10" s="520">
        <f>SUMIF(70:70,I10,71:71)-SUMIF(70:70,C10,71:71)+100</f>
        <v>100</v>
      </c>
      <c r="K10" s="524"/>
      <c r="L10" s="2136"/>
      <c r="M10" s="2137"/>
      <c r="N10" s="2137"/>
      <c r="O10" s="2137"/>
      <c r="P10" s="3699" t="s">
        <v>532</v>
      </c>
      <c r="Q10" s="3700"/>
      <c r="R10" s="1568" t="s">
        <v>8</v>
      </c>
      <c r="S10" s="1569">
        <f t="shared" si="0"/>
        <v>100</v>
      </c>
      <c r="T10" s="1568" t="s">
        <v>8</v>
      </c>
      <c r="U10" s="1569">
        <f t="shared" si="1"/>
        <v>100</v>
      </c>
      <c r="V10" s="1568" t="s">
        <v>8</v>
      </c>
      <c r="W10" s="1569">
        <f t="shared" si="2"/>
        <v>100</v>
      </c>
      <c r="X10" s="1570"/>
      <c r="Y10" s="3699" t="s">
        <v>532</v>
      </c>
      <c r="Z10" s="3700"/>
      <c r="AA10" s="1571">
        <f t="shared" ref="AA10:AA42" si="3">D10/F10</f>
        <v>1</v>
      </c>
      <c r="AB10" s="1571">
        <f t="shared" ref="AB10:AB42" si="4">D10/H10</f>
        <v>1</v>
      </c>
      <c r="AC10" s="1571">
        <f t="shared" ref="AC10:AC42" si="5">D10/J10</f>
        <v>1</v>
      </c>
    </row>
    <row r="11" spans="1:29" s="1220" customFormat="1" ht="15">
      <c r="A11" s="2939"/>
      <c r="B11" s="2946" t="s">
        <v>2759</v>
      </c>
      <c r="C11" s="526" t="s">
        <v>981</v>
      </c>
      <c r="D11" s="254">
        <v>100</v>
      </c>
      <c r="E11" s="526" t="s">
        <v>3474</v>
      </c>
      <c r="F11" s="254">
        <f>SUMIF(72:72,E11,73:73)-SUMIF(72:72,C11,73:73)+100</f>
        <v>102</v>
      </c>
      <c r="G11" s="526" t="s">
        <v>3474</v>
      </c>
      <c r="H11" s="254">
        <f>SUMIF(72:72,G11,73:73)-SUMIF(72:72,C11,73:73)+100</f>
        <v>102</v>
      </c>
      <c r="I11" s="526" t="s">
        <v>981</v>
      </c>
      <c r="J11" s="254">
        <f>SUMIF(72:72,I11,73:73)-SUMIF(72:72,C11,73:73)+100</f>
        <v>100</v>
      </c>
      <c r="K11" s="524"/>
      <c r="L11" s="2136"/>
      <c r="M11" s="2137"/>
      <c r="N11" s="2137"/>
      <c r="O11" s="2138"/>
      <c r="P11" s="3707" t="s">
        <v>534</v>
      </c>
      <c r="Q11" s="1151" t="str">
        <f t="shared" ref="Q11:Q17" si="6">B11</f>
        <v>用途</v>
      </c>
      <c r="R11" s="1568" t="s">
        <v>8</v>
      </c>
      <c r="S11" s="1569">
        <f t="shared" si="0"/>
        <v>102</v>
      </c>
      <c r="T11" s="1568" t="s">
        <v>8</v>
      </c>
      <c r="U11" s="1569">
        <f t="shared" si="1"/>
        <v>102</v>
      </c>
      <c r="V11" s="1568" t="s">
        <v>8</v>
      </c>
      <c r="W11" s="1569">
        <f t="shared" si="2"/>
        <v>100</v>
      </c>
      <c r="X11" s="1570"/>
      <c r="Y11" s="3664" t="s">
        <v>535</v>
      </c>
      <c r="Z11" s="1150" t="str">
        <f t="shared" ref="Z11:Z17" si="7">Q11</f>
        <v>用途</v>
      </c>
      <c r="AA11" s="1571">
        <f t="shared" si="3"/>
        <v>0.98039215686274506</v>
      </c>
      <c r="AB11" s="1571">
        <f t="shared" si="4"/>
        <v>0.98039215686274506</v>
      </c>
      <c r="AC11" s="1571">
        <f t="shared" si="5"/>
        <v>1</v>
      </c>
    </row>
    <row r="12" spans="1:29" s="1338" customFormat="1" ht="27">
      <c r="A12" s="2940"/>
      <c r="B12" s="2945" t="s">
        <v>2760</v>
      </c>
      <c r="C12" s="528">
        <v>50</v>
      </c>
      <c r="D12" s="255">
        <v>100</v>
      </c>
      <c r="E12" s="528">
        <v>50</v>
      </c>
      <c r="F12" s="255">
        <v>100</v>
      </c>
      <c r="G12" s="528">
        <v>50</v>
      </c>
      <c r="H12" s="255">
        <v>100</v>
      </c>
      <c r="I12" s="528">
        <v>50</v>
      </c>
      <c r="J12" s="255">
        <v>100</v>
      </c>
      <c r="K12" s="531"/>
      <c r="L12" s="2139"/>
      <c r="M12" s="2179"/>
      <c r="N12" s="2179"/>
      <c r="O12" s="2140"/>
      <c r="P12" s="3707"/>
      <c r="Q12" s="1151" t="str">
        <f t="shared" si="6"/>
        <v>土地使用年限（年）</v>
      </c>
      <c r="R12" s="1568" t="s">
        <v>8</v>
      </c>
      <c r="S12" s="1569">
        <f t="shared" si="0"/>
        <v>100</v>
      </c>
      <c r="T12" s="1568" t="s">
        <v>8</v>
      </c>
      <c r="U12" s="1569">
        <f t="shared" si="1"/>
        <v>100</v>
      </c>
      <c r="V12" s="1568" t="s">
        <v>8</v>
      </c>
      <c r="W12" s="1569">
        <f t="shared" si="2"/>
        <v>100</v>
      </c>
      <c r="X12" s="1570"/>
      <c r="Y12" s="3664"/>
      <c r="Z12" s="1150" t="str">
        <f t="shared" si="7"/>
        <v>土地使用年限（年）</v>
      </c>
      <c r="AA12" s="1571">
        <f t="shared" si="3"/>
        <v>1</v>
      </c>
      <c r="AB12" s="1571">
        <f t="shared" si="4"/>
        <v>1</v>
      </c>
      <c r="AC12" s="1571">
        <f t="shared" si="5"/>
        <v>1</v>
      </c>
    </row>
    <row r="13" spans="1:29" ht="15.75" thickBot="1">
      <c r="A13" s="2941"/>
      <c r="B13" s="2945" t="s">
        <v>2761</v>
      </c>
      <c r="C13" s="533">
        <v>1</v>
      </c>
      <c r="D13" s="255">
        <v>100</v>
      </c>
      <c r="E13" s="533">
        <f>顺义案例!F3</f>
        <v>0.8</v>
      </c>
      <c r="F13" s="255">
        <f>LOOKUP(E13,77:77,78:78)-LOOKUP(C13,77:77,78:78)+100</f>
        <v>100</v>
      </c>
      <c r="G13" s="534">
        <f>顺义案例!F4</f>
        <v>0.8</v>
      </c>
      <c r="H13" s="255">
        <f>LOOKUP(G13,77:77,78:78)-LOOKUP(C13,77:77,78:78)+100</f>
        <v>100</v>
      </c>
      <c r="I13" s="533">
        <f>顺义案例!F5</f>
        <v>1</v>
      </c>
      <c r="J13" s="255">
        <f>LOOKUP(I13,77:77,78:78)-LOOKUP(C13,77:77,78:78)+100</f>
        <v>100</v>
      </c>
      <c r="K13" s="535"/>
      <c r="L13" s="2141"/>
      <c r="M13" s="2135"/>
      <c r="N13" s="2135"/>
      <c r="O13" s="2142"/>
      <c r="P13" s="3707"/>
      <c r="Q13" s="1151" t="str">
        <f t="shared" si="6"/>
        <v>容积率</v>
      </c>
      <c r="R13" s="1568" t="s">
        <v>8</v>
      </c>
      <c r="S13" s="1569">
        <f t="shared" si="0"/>
        <v>100</v>
      </c>
      <c r="T13" s="1568" t="s">
        <v>8</v>
      </c>
      <c r="U13" s="1569">
        <f t="shared" si="1"/>
        <v>100</v>
      </c>
      <c r="V13" s="1568" t="s">
        <v>8</v>
      </c>
      <c r="W13" s="1569">
        <f t="shared" si="2"/>
        <v>100</v>
      </c>
      <c r="X13" s="1570"/>
      <c r="Y13" s="3664"/>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707"/>
      <c r="Q14" s="1151">
        <f t="shared" si="6"/>
        <v>111</v>
      </c>
      <c r="R14" s="1568" t="s">
        <v>8</v>
      </c>
      <c r="S14" s="1569">
        <f t="shared" si="0"/>
        <v>100</v>
      </c>
      <c r="T14" s="1568" t="s">
        <v>8</v>
      </c>
      <c r="U14" s="1569">
        <f t="shared" si="1"/>
        <v>100</v>
      </c>
      <c r="V14" s="1568" t="s">
        <v>8</v>
      </c>
      <c r="W14" s="1569">
        <f t="shared" si="2"/>
        <v>100</v>
      </c>
      <c r="X14" s="1570"/>
      <c r="Y14" s="3664"/>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707"/>
      <c r="Q15" s="1151">
        <f t="shared" si="6"/>
        <v>111</v>
      </c>
      <c r="R15" s="1568" t="s">
        <v>8</v>
      </c>
      <c r="S15" s="1569">
        <f t="shared" si="0"/>
        <v>100</v>
      </c>
      <c r="T15" s="1568" t="s">
        <v>8</v>
      </c>
      <c r="U15" s="1569">
        <f t="shared" si="1"/>
        <v>100</v>
      </c>
      <c r="V15" s="1568" t="s">
        <v>8</v>
      </c>
      <c r="W15" s="1569">
        <f t="shared" si="2"/>
        <v>100</v>
      </c>
      <c r="X15" s="1570"/>
      <c r="Y15" s="3664"/>
      <c r="Z15" s="1150">
        <f t="shared" si="7"/>
        <v>111</v>
      </c>
      <c r="AA15" s="1571">
        <f t="shared" si="3"/>
        <v>1</v>
      </c>
      <c r="AB15" s="1571">
        <f t="shared" si="4"/>
        <v>1</v>
      </c>
      <c r="AC15" s="1571">
        <f t="shared" si="5"/>
        <v>1</v>
      </c>
    </row>
    <row r="16" spans="1:29" ht="15.75"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707"/>
      <c r="Q16" s="1151">
        <f t="shared" si="6"/>
        <v>111</v>
      </c>
      <c r="R16" s="1568" t="s">
        <v>8</v>
      </c>
      <c r="S16" s="1569">
        <f t="shared" si="0"/>
        <v>100</v>
      </c>
      <c r="T16" s="1568" t="s">
        <v>8</v>
      </c>
      <c r="U16" s="1569">
        <f t="shared" si="1"/>
        <v>100</v>
      </c>
      <c r="V16" s="1568" t="s">
        <v>8</v>
      </c>
      <c r="W16" s="1569">
        <f t="shared" si="2"/>
        <v>100</v>
      </c>
      <c r="X16" s="1570"/>
      <c r="Y16" s="3664"/>
      <c r="Z16" s="1150">
        <f t="shared" si="7"/>
        <v>111</v>
      </c>
      <c r="AA16" s="1571">
        <f t="shared" si="3"/>
        <v>1</v>
      </c>
      <c r="AB16" s="1571">
        <f t="shared" si="4"/>
        <v>1</v>
      </c>
      <c r="AC16" s="1571">
        <f t="shared" si="5"/>
        <v>1</v>
      </c>
    </row>
    <row r="17" spans="1:29" ht="57">
      <c r="A17" s="2935" t="s">
        <v>2757</v>
      </c>
      <c r="B17" s="166" t="s">
        <v>597</v>
      </c>
      <c r="C17" s="921" t="str">
        <f>估价对象房地状况!G15</f>
        <v>估价对象位于海淀区，区域工业成熟度一般，产业集聚程度一般</v>
      </c>
      <c r="D17" s="549">
        <v>100</v>
      </c>
      <c r="E17" s="550"/>
      <c r="F17" s="549">
        <f>SUMIF(85:85,E18,86:86)-SUMIF(85:85,C18,86:86)+100</f>
        <v>102</v>
      </c>
      <c r="G17" s="550"/>
      <c r="H17" s="549">
        <f>SUMIF(85:85,G18,86:86)-SUMIF(85:85,C18,86:86)+100</f>
        <v>102</v>
      </c>
      <c r="I17" s="552"/>
      <c r="J17" s="549">
        <f>SUMIF(85:85,I18,86:86)-SUMIF(85:85,C18,86:86)+100</f>
        <v>102</v>
      </c>
      <c r="K17" s="535">
        <v>1</v>
      </c>
      <c r="L17" s="2143"/>
      <c r="M17" s="2135"/>
      <c r="N17" s="2135"/>
      <c r="O17" s="2142"/>
      <c r="P17" s="3709" t="s">
        <v>539</v>
      </c>
      <c r="Q17" s="1572" t="str">
        <f t="shared" si="6"/>
        <v>产业集聚程度</v>
      </c>
      <c r="R17" s="1573" t="s">
        <v>8</v>
      </c>
      <c r="S17" s="1574">
        <f t="shared" si="0"/>
        <v>102</v>
      </c>
      <c r="T17" s="1573" t="s">
        <v>8</v>
      </c>
      <c r="U17" s="1574">
        <f t="shared" si="1"/>
        <v>102</v>
      </c>
      <c r="V17" s="1573" t="s">
        <v>8</v>
      </c>
      <c r="W17" s="1574">
        <f t="shared" si="2"/>
        <v>102</v>
      </c>
      <c r="X17" s="1567"/>
      <c r="Y17" s="3709" t="s">
        <v>539</v>
      </c>
      <c r="Z17" s="1575" t="str">
        <f t="shared" si="7"/>
        <v>产业集聚程度</v>
      </c>
      <c r="AA17" s="1576">
        <f t="shared" si="3"/>
        <v>0.98039215686274506</v>
      </c>
      <c r="AB17" s="1576">
        <f t="shared" si="4"/>
        <v>0.98039215686274506</v>
      </c>
      <c r="AC17" s="1576">
        <f t="shared" si="5"/>
        <v>0.98039215686274506</v>
      </c>
    </row>
    <row r="18" spans="1:29" ht="15">
      <c r="A18" s="532"/>
      <c r="B18" s="869"/>
      <c r="C18" s="576" t="s">
        <v>3187</v>
      </c>
      <c r="D18" s="555"/>
      <c r="E18" s="554" t="s">
        <v>3186</v>
      </c>
      <c r="F18" s="555"/>
      <c r="G18" s="554" t="s">
        <v>3186</v>
      </c>
      <c r="H18" s="559"/>
      <c r="I18" s="554" t="s">
        <v>3186</v>
      </c>
      <c r="J18" s="555"/>
      <c r="K18" s="531"/>
      <c r="L18" s="2143"/>
      <c r="M18" s="2135"/>
      <c r="N18" s="2135"/>
      <c r="O18" s="2142"/>
      <c r="P18" s="3710"/>
      <c r="Q18" s="1572"/>
      <c r="R18" s="1573"/>
      <c r="S18" s="1574"/>
      <c r="T18" s="1573"/>
      <c r="U18" s="1574"/>
      <c r="V18" s="1573"/>
      <c r="W18" s="1574"/>
      <c r="X18" s="1567"/>
      <c r="Y18" s="3710"/>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98</v>
      </c>
      <c r="G19" s="562"/>
      <c r="H19" s="565">
        <f>SUMIF(87:87,G20,88:88)-SUMIF(87:87,C20,88:88)+100</f>
        <v>98</v>
      </c>
      <c r="I19" s="564"/>
      <c r="J19" s="559">
        <f>SUMIF(87:87,I20,88:88)-SUMIF(87:87,C20,88:88)+100</f>
        <v>98</v>
      </c>
      <c r="K19" s="535">
        <v>2</v>
      </c>
      <c r="L19" s="2143"/>
      <c r="M19" s="2135"/>
      <c r="N19" s="2135"/>
      <c r="O19" s="2142"/>
      <c r="P19" s="3710"/>
      <c r="Q19" s="1572" t="str">
        <f>B19</f>
        <v>交通便捷度</v>
      </c>
      <c r="R19" s="1573" t="s">
        <v>8</v>
      </c>
      <c r="S19" s="1574">
        <f>F19</f>
        <v>98</v>
      </c>
      <c r="T19" s="1573" t="s">
        <v>8</v>
      </c>
      <c r="U19" s="1574">
        <f>H19</f>
        <v>98</v>
      </c>
      <c r="V19" s="1573" t="s">
        <v>8</v>
      </c>
      <c r="W19" s="1574">
        <f>J19</f>
        <v>98</v>
      </c>
      <c r="X19" s="1567"/>
      <c r="Y19" s="3710"/>
      <c r="Z19" s="1575" t="str">
        <f>Q19</f>
        <v>交通便捷度</v>
      </c>
      <c r="AA19" s="1576">
        <f t="shared" si="3"/>
        <v>1.0204081632653061</v>
      </c>
      <c r="AB19" s="1576">
        <f t="shared" si="4"/>
        <v>1.0204081632653061</v>
      </c>
      <c r="AC19" s="1576">
        <f t="shared" si="5"/>
        <v>1.0204081632653061</v>
      </c>
    </row>
    <row r="20" spans="1:29" ht="15">
      <c r="A20" s="532"/>
      <c r="B20" s="922"/>
      <c r="C20" s="576" t="s">
        <v>3186</v>
      </c>
      <c r="D20" s="555"/>
      <c r="E20" s="556" t="s">
        <v>3185</v>
      </c>
      <c r="F20" s="555"/>
      <c r="G20" s="556" t="s">
        <v>3185</v>
      </c>
      <c r="H20" s="555"/>
      <c r="I20" s="558" t="s">
        <v>3185</v>
      </c>
      <c r="J20" s="555"/>
      <c r="K20" s="531"/>
      <c r="L20" s="2143"/>
      <c r="M20" s="2135"/>
      <c r="N20" s="2135"/>
      <c r="O20" s="2142"/>
      <c r="P20" s="3710"/>
      <c r="Q20" s="1572"/>
      <c r="R20" s="1573"/>
      <c r="S20" s="1574"/>
      <c r="T20" s="1573"/>
      <c r="U20" s="1574"/>
      <c r="V20" s="1573"/>
      <c r="W20" s="1574"/>
      <c r="X20" s="1567"/>
      <c r="Y20" s="3710"/>
      <c r="Z20" s="1575"/>
      <c r="AA20" s="1576">
        <v>1</v>
      </c>
      <c r="AB20" s="1576">
        <v>1</v>
      </c>
      <c r="AC20" s="1576">
        <v>1</v>
      </c>
    </row>
    <row r="21" spans="1:29" ht="27">
      <c r="A21" s="515"/>
      <c r="B21" s="871" t="s">
        <v>543</v>
      </c>
      <c r="C21" s="872">
        <f>估价对象房地状况!G17</f>
        <v>0</v>
      </c>
      <c r="D21" s="559">
        <v>100</v>
      </c>
      <c r="E21" s="562"/>
      <c r="F21" s="563">
        <f>SUMIF(89:89,E22,90:90)-SUMIF(89:89,C22,90:90)+100</f>
        <v>104</v>
      </c>
      <c r="G21" s="564"/>
      <c r="H21" s="563">
        <f>SUMIF(89:89,G22,90:90)-SUMIF(89:89,C22,90:90)+100</f>
        <v>104</v>
      </c>
      <c r="I21" s="564"/>
      <c r="J21" s="563">
        <f>SUMIF(89:89,I22,90:90)-SUMIF(89:89,C22,90:90)+100</f>
        <v>104</v>
      </c>
      <c r="K21" s="1008">
        <v>2</v>
      </c>
      <c r="L21" s="2143"/>
      <c r="M21" s="2135"/>
      <c r="N21" s="2135"/>
      <c r="O21" s="2142"/>
      <c r="P21" s="3710"/>
      <c r="Q21" s="1572" t="str">
        <f t="shared" ref="Q21:Q35" si="8">B21</f>
        <v>区域土地利用方向</v>
      </c>
      <c r="R21" s="1573" t="s">
        <v>8</v>
      </c>
      <c r="S21" s="1574">
        <f>F21</f>
        <v>104</v>
      </c>
      <c r="T21" s="1573" t="s">
        <v>8</v>
      </c>
      <c r="U21" s="1574">
        <f>H21</f>
        <v>104</v>
      </c>
      <c r="V21" s="1573" t="s">
        <v>8</v>
      </c>
      <c r="W21" s="1574">
        <f>J21</f>
        <v>104</v>
      </c>
      <c r="X21" s="1567"/>
      <c r="Y21" s="3710"/>
      <c r="Z21" s="1575" t="str">
        <f>Q21</f>
        <v>区域土地利用方向</v>
      </c>
      <c r="AA21" s="1576">
        <f t="shared" si="3"/>
        <v>0.96153846153846156</v>
      </c>
      <c r="AB21" s="1576">
        <f t="shared" si="4"/>
        <v>0.96153846153846156</v>
      </c>
      <c r="AC21" s="1576">
        <f t="shared" si="5"/>
        <v>0.96153846153846156</v>
      </c>
    </row>
    <row r="22" spans="1:29" ht="15">
      <c r="A22" s="515"/>
      <c r="B22" s="595"/>
      <c r="C22" s="576" t="s">
        <v>3187</v>
      </c>
      <c r="D22" s="555"/>
      <c r="E22" s="556" t="s">
        <v>3186</v>
      </c>
      <c r="F22" s="557"/>
      <c r="G22" s="558" t="s">
        <v>3186</v>
      </c>
      <c r="H22" s="557"/>
      <c r="I22" s="558" t="s">
        <v>3186</v>
      </c>
      <c r="J22" s="557"/>
      <c r="K22" s="1348"/>
      <c r="L22" s="2143"/>
      <c r="M22" s="2135"/>
      <c r="N22" s="2135"/>
      <c r="O22" s="2142"/>
      <c r="P22" s="3710"/>
      <c r="Q22" s="1572"/>
      <c r="R22" s="1573"/>
      <c r="S22" s="1574"/>
      <c r="T22" s="1573"/>
      <c r="U22" s="1574"/>
      <c r="V22" s="1573"/>
      <c r="W22" s="1574"/>
      <c r="X22" s="1567"/>
      <c r="Y22" s="3710"/>
      <c r="Z22" s="1575"/>
      <c r="AA22" s="1576"/>
      <c r="AB22" s="1576"/>
      <c r="AC22" s="1576"/>
    </row>
    <row r="23" spans="1:29" ht="71.25">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10"/>
      <c r="Q23" s="1572" t="str">
        <f t="shared" si="8"/>
        <v>环境状况</v>
      </c>
      <c r="R23" s="1573" t="s">
        <v>8</v>
      </c>
      <c r="S23" s="1574">
        <f>F23</f>
        <v>100</v>
      </c>
      <c r="T23" s="1573" t="s">
        <v>8</v>
      </c>
      <c r="U23" s="1574">
        <f>H23</f>
        <v>100</v>
      </c>
      <c r="V23" s="1573" t="s">
        <v>8</v>
      </c>
      <c r="W23" s="1574">
        <f>J23</f>
        <v>100</v>
      </c>
      <c r="X23" s="1567"/>
      <c r="Y23" s="3710"/>
      <c r="Z23" s="1575" t="str">
        <f>Q23</f>
        <v>环境状况</v>
      </c>
      <c r="AA23" s="1576">
        <f t="shared" si="3"/>
        <v>1</v>
      </c>
      <c r="AB23" s="1576">
        <f t="shared" si="4"/>
        <v>1</v>
      </c>
      <c r="AC23" s="1576">
        <f t="shared" si="5"/>
        <v>1</v>
      </c>
    </row>
    <row r="24" spans="1:29" ht="15">
      <c r="A24" s="515"/>
      <c r="B24" s="595"/>
      <c r="C24" s="576" t="s">
        <v>3186</v>
      </c>
      <c r="D24" s="555"/>
      <c r="E24" s="554" t="s">
        <v>3186</v>
      </c>
      <c r="F24" s="555"/>
      <c r="G24" s="554" t="s">
        <v>3186</v>
      </c>
      <c r="H24" s="555"/>
      <c r="I24" s="576" t="s">
        <v>3186</v>
      </c>
      <c r="J24" s="555"/>
      <c r="K24" s="531"/>
      <c r="L24" s="2143"/>
      <c r="M24" s="2135"/>
      <c r="N24" s="2135"/>
      <c r="O24" s="2142"/>
      <c r="P24" s="3710"/>
      <c r="Q24" s="1572"/>
      <c r="R24" s="1573"/>
      <c r="S24" s="1574"/>
      <c r="T24" s="1573"/>
      <c r="U24" s="1574"/>
      <c r="V24" s="1573"/>
      <c r="W24" s="1574"/>
      <c r="X24" s="1567"/>
      <c r="Y24" s="3710"/>
      <c r="Z24" s="1575"/>
      <c r="AA24" s="1576">
        <v>1</v>
      </c>
      <c r="AB24" s="1576">
        <v>1</v>
      </c>
      <c r="AC24" s="1576">
        <v>1</v>
      </c>
    </row>
    <row r="25" spans="1:29" s="1220" customFormat="1" ht="42.75">
      <c r="A25" s="577"/>
      <c r="B25" s="2618" t="s">
        <v>2551</v>
      </c>
      <c r="C25" s="872" t="str">
        <f>估价对象房地状况!G19</f>
        <v>估价对象所在区域公共配套设施齐备情况好</v>
      </c>
      <c r="D25" s="559">
        <v>100</v>
      </c>
      <c r="E25" s="562"/>
      <c r="F25" s="559">
        <f>SUMIF(93:93,E26,94:94)-SUMIF(93:93,C26,94:94)+100</f>
        <v>98</v>
      </c>
      <c r="G25" s="562"/>
      <c r="H25" s="559">
        <f>SUMIF(93:93,G26,94:94)-SUMIF(93:93,C26,94:94)+100</f>
        <v>98</v>
      </c>
      <c r="I25" s="564"/>
      <c r="J25" s="559">
        <f>SUMIF(93:93,I26,94:94)-SUMIF(93:93,C26,94:94)+100</f>
        <v>98</v>
      </c>
      <c r="K25" s="535">
        <v>2</v>
      </c>
      <c r="L25" s="2136"/>
      <c r="M25" s="2137"/>
      <c r="N25" s="2137"/>
      <c r="O25" s="2138"/>
      <c r="P25" s="3710"/>
      <c r="Q25" s="1151" t="str">
        <f t="shared" si="8"/>
        <v>公共配套设施</v>
      </c>
      <c r="R25" s="1568" t="s">
        <v>8</v>
      </c>
      <c r="S25" s="1569">
        <f>F25</f>
        <v>98</v>
      </c>
      <c r="T25" s="1568" t="s">
        <v>8</v>
      </c>
      <c r="U25" s="1569">
        <f>H25</f>
        <v>98</v>
      </c>
      <c r="V25" s="1568" t="s">
        <v>8</v>
      </c>
      <c r="W25" s="1569">
        <f>J25</f>
        <v>98</v>
      </c>
      <c r="X25" s="1570"/>
      <c r="Y25" s="3710"/>
      <c r="Z25" s="1150" t="str">
        <f>Q25</f>
        <v>公共配套设施</v>
      </c>
      <c r="AA25" s="1576">
        <f>D25/F25</f>
        <v>1.0204081632653061</v>
      </c>
      <c r="AB25" s="1576">
        <f>D25/H25</f>
        <v>1.0204081632653061</v>
      </c>
      <c r="AC25" s="1576">
        <f>D25/J25</f>
        <v>1.0204081632653061</v>
      </c>
    </row>
    <row r="26" spans="1:29" s="1220" customFormat="1" ht="15">
      <c r="A26" s="577"/>
      <c r="B26" s="595"/>
      <c r="C26" s="2617" t="s">
        <v>3188</v>
      </c>
      <c r="D26" s="555"/>
      <c r="E26" s="554" t="s">
        <v>3186</v>
      </c>
      <c r="F26" s="555"/>
      <c r="G26" s="554" t="s">
        <v>3186</v>
      </c>
      <c r="H26" s="555"/>
      <c r="I26" s="576" t="s">
        <v>3186</v>
      </c>
      <c r="J26" s="555"/>
      <c r="K26" s="531"/>
      <c r="L26" s="2136"/>
      <c r="M26" s="2137"/>
      <c r="N26" s="2137"/>
      <c r="O26" s="2138"/>
      <c r="P26" s="3710"/>
      <c r="Q26" s="1151"/>
      <c r="R26" s="1568"/>
      <c r="S26" s="1569"/>
      <c r="T26" s="1568"/>
      <c r="U26" s="1569"/>
      <c r="V26" s="1568"/>
      <c r="W26" s="1569"/>
      <c r="X26" s="1570"/>
      <c r="Y26" s="3710"/>
      <c r="Z26" s="1150"/>
      <c r="AA26" s="1571">
        <v>1</v>
      </c>
      <c r="AB26" s="1571">
        <v>1</v>
      </c>
      <c r="AC26" s="1571">
        <v>1</v>
      </c>
    </row>
    <row r="27" spans="1:29" s="1220" customFormat="1" ht="15">
      <c r="A27" s="577"/>
      <c r="B27" s="2618" t="s">
        <v>2552</v>
      </c>
      <c r="C27" s="872" t="str">
        <f>估价对象房地状况!G20</f>
        <v>七通</v>
      </c>
      <c r="D27" s="559">
        <v>100</v>
      </c>
      <c r="E27" s="3416" t="s">
        <v>3485</v>
      </c>
      <c r="F27" s="559">
        <f>SUMIF(95:95,E28,96:96)-SUMIF(95:95,C28,96:96)+100</f>
        <v>100</v>
      </c>
      <c r="G27" s="3416" t="s">
        <v>3485</v>
      </c>
      <c r="H27" s="559">
        <f>SUMIF(95:95,G28,96:96)-SUMIF(95:95,C28,96:96)+100</f>
        <v>100</v>
      </c>
      <c r="I27" s="3417" t="s">
        <v>3502</v>
      </c>
      <c r="J27" s="559">
        <f>SUMIF(95:95,I28,96:96)-SUMIF(95:95,C28,96:96)+100</f>
        <v>98</v>
      </c>
      <c r="K27" s="535">
        <v>1</v>
      </c>
      <c r="L27" s="2136"/>
      <c r="M27" s="2137"/>
      <c r="N27" s="2137"/>
      <c r="O27" s="2138"/>
      <c r="P27" s="3710"/>
      <c r="Q27" s="2603" t="str">
        <f t="shared" ref="Q27" si="9">B27</f>
        <v>基础设施水平</v>
      </c>
      <c r="R27" s="1568" t="s">
        <v>8</v>
      </c>
      <c r="S27" s="1569">
        <f>F27</f>
        <v>100</v>
      </c>
      <c r="T27" s="1568" t="s">
        <v>8</v>
      </c>
      <c r="U27" s="1569">
        <f>H27</f>
        <v>100</v>
      </c>
      <c r="V27" s="1568" t="s">
        <v>8</v>
      </c>
      <c r="W27" s="1569">
        <f>J27</f>
        <v>98</v>
      </c>
      <c r="X27" s="1570"/>
      <c r="Y27" s="3710"/>
      <c r="Z27" s="2600" t="str">
        <f>Q27</f>
        <v>基础设施水平</v>
      </c>
      <c r="AA27" s="1576">
        <f>D27/F27</f>
        <v>1</v>
      </c>
      <c r="AB27" s="1576">
        <f>D27/H27</f>
        <v>1</v>
      </c>
      <c r="AC27" s="1576">
        <f>D27/J27</f>
        <v>1.0204081632653061</v>
      </c>
    </row>
    <row r="28" spans="1:29" s="1220" customFormat="1" ht="15">
      <c r="A28" s="577"/>
      <c r="B28" s="595"/>
      <c r="C28" s="2617" t="s">
        <v>3478</v>
      </c>
      <c r="D28" s="555"/>
      <c r="E28" s="579" t="s">
        <v>3478</v>
      </c>
      <c r="F28" s="555"/>
      <c r="G28" s="579" t="s">
        <v>3478</v>
      </c>
      <c r="H28" s="555"/>
      <c r="I28" s="579" t="s">
        <v>3481</v>
      </c>
      <c r="J28" s="555"/>
      <c r="K28" s="531"/>
      <c r="L28" s="2136"/>
      <c r="M28" s="2137"/>
      <c r="N28" s="2137"/>
      <c r="O28" s="2138"/>
      <c r="P28" s="3710"/>
      <c r="Q28" s="2603"/>
      <c r="R28" s="1568"/>
      <c r="S28" s="1569"/>
      <c r="T28" s="1568"/>
      <c r="U28" s="1569"/>
      <c r="V28" s="1568"/>
      <c r="W28" s="1569"/>
      <c r="X28" s="1570"/>
      <c r="Y28" s="3710"/>
      <c r="Z28" s="2600"/>
      <c r="AA28" s="1571">
        <v>1</v>
      </c>
      <c r="AB28" s="1571">
        <v>1</v>
      </c>
      <c r="AC28" s="1571">
        <v>1</v>
      </c>
    </row>
    <row r="29" spans="1:29" ht="15">
      <c r="A29" s="532"/>
      <c r="B29" s="595" t="s">
        <v>546</v>
      </c>
      <c r="C29" s="583" t="s">
        <v>3486</v>
      </c>
      <c r="D29" s="540">
        <v>100</v>
      </c>
      <c r="E29" s="580" t="s">
        <v>3486</v>
      </c>
      <c r="F29" s="540">
        <f>SUMIF(97:97,E29,98:98)-SUMIF(97:97,C29,98:98)+100</f>
        <v>100</v>
      </c>
      <c r="G29" s="580" t="s">
        <v>3486</v>
      </c>
      <c r="H29" s="540">
        <f>SUMIF(97:97,G29,98:98)-SUMIF(97:97,C29,98:98)+100</f>
        <v>100</v>
      </c>
      <c r="I29" s="580" t="s">
        <v>3486</v>
      </c>
      <c r="J29" s="540">
        <f>SUMIF(97:97,I29,98:98)-SUMIF(97:97,C29,98:98)+100</f>
        <v>100</v>
      </c>
      <c r="K29" s="535">
        <v>1</v>
      </c>
      <c r="L29" s="2143"/>
      <c r="M29" s="2135"/>
      <c r="N29" s="2135"/>
      <c r="O29" s="2142"/>
      <c r="P29" s="371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10"/>
      <c r="Z29" s="1575" t="str">
        <f t="shared" ref="Z29:Z42" si="13">Q29</f>
        <v>临街状况</v>
      </c>
      <c r="AA29" s="1576">
        <f t="shared" si="3"/>
        <v>1</v>
      </c>
      <c r="AB29" s="1576">
        <f t="shared" si="4"/>
        <v>1</v>
      </c>
      <c r="AC29" s="1576">
        <f t="shared" si="5"/>
        <v>1</v>
      </c>
    </row>
    <row r="30" spans="1:29" ht="27">
      <c r="A30" s="532"/>
      <c r="B30" s="922" t="s">
        <v>547</v>
      </c>
      <c r="C30" s="2620" t="str">
        <f>估价对象房地状况!G22</f>
        <v>城市支路</v>
      </c>
      <c r="D30" s="559">
        <v>100</v>
      </c>
      <c r="E30" s="562"/>
      <c r="F30" s="559">
        <f>SUMIF(99:99,E31,100:100)-SUMIF(99:99,C31,100:100)+100</f>
        <v>100</v>
      </c>
      <c r="G30" s="562"/>
      <c r="H30" s="559">
        <f>SUMIF(99:99,G31,100:100)-SUMIF(99:99,C31,100:100)+100</f>
        <v>103</v>
      </c>
      <c r="I30" s="564"/>
      <c r="J30" s="559">
        <f>SUMIF(99:99,I31,100:100)-SUMIF(99:99,C31,100:100)+100</f>
        <v>100</v>
      </c>
      <c r="K30" s="535">
        <v>1</v>
      </c>
      <c r="L30" s="2143"/>
      <c r="M30" s="2135"/>
      <c r="N30" s="2135"/>
      <c r="O30" s="2142"/>
      <c r="P30" s="3710"/>
      <c r="Q30" s="1572" t="str">
        <f t="shared" si="8"/>
        <v>毗邻道路的类型与等级</v>
      </c>
      <c r="R30" s="1573" t="s">
        <v>8</v>
      </c>
      <c r="S30" s="1574">
        <f t="shared" si="10"/>
        <v>100</v>
      </c>
      <c r="T30" s="1573" t="s">
        <v>8</v>
      </c>
      <c r="U30" s="1574">
        <f t="shared" si="11"/>
        <v>103</v>
      </c>
      <c r="V30" s="1573" t="s">
        <v>8</v>
      </c>
      <c r="W30" s="1574">
        <f t="shared" si="12"/>
        <v>100</v>
      </c>
      <c r="X30" s="1567"/>
      <c r="Y30" s="3710"/>
      <c r="Z30" s="1575" t="str">
        <f t="shared" si="13"/>
        <v>毗邻道路的类型与等级</v>
      </c>
      <c r="AA30" s="1576">
        <f t="shared" si="3"/>
        <v>1</v>
      </c>
      <c r="AB30" s="1576">
        <f t="shared" si="4"/>
        <v>0.970873786407767</v>
      </c>
      <c r="AC30" s="1576">
        <f t="shared" si="5"/>
        <v>1</v>
      </c>
    </row>
    <row r="31" spans="1:29" ht="15">
      <c r="A31" s="532"/>
      <c r="B31" s="595"/>
      <c r="C31" s="576" t="s">
        <v>3494</v>
      </c>
      <c r="D31" s="555"/>
      <c r="E31" s="576" t="s">
        <v>3494</v>
      </c>
      <c r="F31" s="555"/>
      <c r="G31" s="576" t="s">
        <v>3490</v>
      </c>
      <c r="H31" s="555"/>
      <c r="I31" s="576" t="s">
        <v>3494</v>
      </c>
      <c r="J31" s="555"/>
      <c r="K31" s="581"/>
      <c r="L31" s="2143"/>
      <c r="M31" s="2135"/>
      <c r="N31" s="2135"/>
      <c r="O31" s="2142"/>
      <c r="P31" s="3710"/>
      <c r="Q31" s="1572"/>
      <c r="R31" s="1573"/>
      <c r="S31" s="1574"/>
      <c r="T31" s="1573"/>
      <c r="U31" s="1574"/>
      <c r="V31" s="1573"/>
      <c r="W31" s="1574"/>
      <c r="X31" s="1567"/>
      <c r="Y31" s="3710"/>
      <c r="Z31" s="1575"/>
      <c r="AA31" s="1576">
        <v>1</v>
      </c>
      <c r="AB31" s="1576">
        <v>1</v>
      </c>
      <c r="AC31" s="1576">
        <v>1</v>
      </c>
    </row>
    <row r="32" spans="1:29" ht="15.75"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1413</v>
      </c>
      <c r="J32" s="540">
        <f>SUMIF(101:101,I32,102:102)-SUMIF(101:101,C32,102:102)+100</f>
        <v>98</v>
      </c>
      <c r="K32" s="584">
        <v>2</v>
      </c>
      <c r="L32" s="2143"/>
      <c r="M32" s="2135"/>
      <c r="N32" s="2135"/>
      <c r="O32" s="2142"/>
      <c r="P32" s="3710"/>
      <c r="Q32" s="1572" t="str">
        <f t="shared" si="8"/>
        <v>土地级别</v>
      </c>
      <c r="R32" s="1573" t="s">
        <v>8</v>
      </c>
      <c r="S32" s="1574">
        <f t="shared" si="10"/>
        <v>100</v>
      </c>
      <c r="T32" s="1573" t="s">
        <v>8</v>
      </c>
      <c r="U32" s="1574">
        <f t="shared" si="11"/>
        <v>100</v>
      </c>
      <c r="V32" s="1573" t="s">
        <v>8</v>
      </c>
      <c r="W32" s="1574">
        <f t="shared" si="12"/>
        <v>98</v>
      </c>
      <c r="X32" s="1567"/>
      <c r="Y32" s="3710"/>
      <c r="Z32" s="1575" t="str">
        <f t="shared" si="13"/>
        <v>土地级别</v>
      </c>
      <c r="AA32" s="1576">
        <f t="shared" si="3"/>
        <v>1</v>
      </c>
      <c r="AB32" s="1576">
        <f t="shared" si="4"/>
        <v>1</v>
      </c>
      <c r="AC32" s="1576">
        <f t="shared" si="5"/>
        <v>1.0204081632653061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10"/>
      <c r="Q33" s="1572">
        <f t="shared" si="8"/>
        <v>111</v>
      </c>
      <c r="R33" s="1573" t="s">
        <v>8</v>
      </c>
      <c r="S33" s="1574">
        <f t="shared" si="10"/>
        <v>100</v>
      </c>
      <c r="T33" s="1573" t="s">
        <v>8</v>
      </c>
      <c r="U33" s="1574">
        <f t="shared" si="11"/>
        <v>100</v>
      </c>
      <c r="V33" s="1573" t="s">
        <v>8</v>
      </c>
      <c r="W33" s="1574">
        <f t="shared" si="12"/>
        <v>100</v>
      </c>
      <c r="X33" s="1567"/>
      <c r="Y33" s="3710"/>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11" t="s">
        <v>549</v>
      </c>
      <c r="Q34" s="1572">
        <f t="shared" si="8"/>
        <v>111</v>
      </c>
      <c r="R34" s="1573" t="s">
        <v>8</v>
      </c>
      <c r="S34" s="1574">
        <f t="shared" si="10"/>
        <v>100</v>
      </c>
      <c r="T34" s="1573" t="s">
        <v>8</v>
      </c>
      <c r="U34" s="1574">
        <f t="shared" si="11"/>
        <v>100</v>
      </c>
      <c r="V34" s="1573" t="s">
        <v>8</v>
      </c>
      <c r="W34" s="1574">
        <f t="shared" si="12"/>
        <v>100</v>
      </c>
      <c r="X34" s="1567"/>
      <c r="Y34" s="3712" t="s">
        <v>549</v>
      </c>
      <c r="Z34" s="1575">
        <f t="shared" si="13"/>
        <v>111</v>
      </c>
      <c r="AA34" s="1576">
        <f t="shared" si="3"/>
        <v>1</v>
      </c>
      <c r="AB34" s="1576">
        <f t="shared" si="4"/>
        <v>1</v>
      </c>
      <c r="AC34" s="1576">
        <f t="shared" si="5"/>
        <v>1</v>
      </c>
    </row>
    <row r="35" spans="1:29" s="1339" customFormat="1" ht="15.75"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12"/>
      <c r="Q35" s="1572">
        <f t="shared" si="8"/>
        <v>111</v>
      </c>
      <c r="R35" s="1577" t="s">
        <v>8</v>
      </c>
      <c r="S35" s="1578">
        <f t="shared" si="10"/>
        <v>100</v>
      </c>
      <c r="T35" s="1577" t="s">
        <v>8</v>
      </c>
      <c r="U35" s="1578">
        <f t="shared" si="11"/>
        <v>100</v>
      </c>
      <c r="V35" s="1577" t="s">
        <v>8</v>
      </c>
      <c r="W35" s="1578">
        <f t="shared" si="12"/>
        <v>100</v>
      </c>
      <c r="X35" s="1579"/>
      <c r="Y35" s="3712"/>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顺义案例!D3</f>
        <v>31386.9</v>
      </c>
      <c r="F36" s="597">
        <f>LOOKUP(E36,110:110,111:111)-LOOKUP(C36,110:110,111:111)+100</f>
        <v>94</v>
      </c>
      <c r="G36" s="596">
        <f>顺义案例!D4</f>
        <v>45231.1</v>
      </c>
      <c r="H36" s="597">
        <f>LOOKUP(G36,110:110,111:111)-LOOKUP(C36,110:110,111:111)+100</f>
        <v>94</v>
      </c>
      <c r="I36" s="598">
        <f>顺义案例!D5</f>
        <v>401615.3</v>
      </c>
      <c r="J36" s="597">
        <f>LOOKUP(I36,110:110,111:111)-LOOKUP(C36,110:110,111:111)+100</f>
        <v>102</v>
      </c>
      <c r="K36" s="581"/>
      <c r="L36" s="2143"/>
      <c r="M36" s="2135"/>
      <c r="N36" s="2135"/>
      <c r="O36" s="2142"/>
      <c r="P36" s="3712"/>
      <c r="Q36" s="1572" t="str">
        <f>B36</f>
        <v>宗地面积</v>
      </c>
      <c r="R36" s="1573" t="s">
        <v>8</v>
      </c>
      <c r="S36" s="1574">
        <f t="shared" si="10"/>
        <v>94</v>
      </c>
      <c r="T36" s="1573" t="s">
        <v>8</v>
      </c>
      <c r="U36" s="1574">
        <f t="shared" si="11"/>
        <v>94</v>
      </c>
      <c r="V36" s="1573" t="s">
        <v>8</v>
      </c>
      <c r="W36" s="1574">
        <f t="shared" si="12"/>
        <v>102</v>
      </c>
      <c r="X36" s="1567"/>
      <c r="Y36" s="3712"/>
      <c r="Z36" s="1575" t="str">
        <f t="shared" si="13"/>
        <v>宗地面积</v>
      </c>
      <c r="AA36" s="1576">
        <f t="shared" si="3"/>
        <v>1.0638297872340425</v>
      </c>
      <c r="AB36" s="1576">
        <f t="shared" si="4"/>
        <v>1.0638297872340425</v>
      </c>
      <c r="AC36" s="1576">
        <f t="shared" si="5"/>
        <v>0.98039215686274506</v>
      </c>
    </row>
    <row r="37" spans="1:29" ht="15">
      <c r="A37" s="594"/>
      <c r="B37" s="527" t="s">
        <v>552</v>
      </c>
      <c r="C37" s="599" t="s">
        <v>3498</v>
      </c>
      <c r="D37" s="540">
        <v>100</v>
      </c>
      <c r="E37" s="599" t="s">
        <v>3498</v>
      </c>
      <c r="F37" s="540">
        <f>SUMIF(112:112,E37,113:113)-SUMIF(112:112,C37,113:113)+100</f>
        <v>100</v>
      </c>
      <c r="G37" s="599" t="s">
        <v>3498</v>
      </c>
      <c r="H37" s="540">
        <f>SUMIF(112:112,G37,113:113)-SUMIF(112:112,C37,113:113)+100</f>
        <v>100</v>
      </c>
      <c r="I37" s="599" t="s">
        <v>3498</v>
      </c>
      <c r="J37" s="540">
        <f>SUMIF(112:112,I37,113:113)-SUMIF(112:112,C37,113:113)+100</f>
        <v>100</v>
      </c>
      <c r="K37" s="584"/>
      <c r="L37" s="2143"/>
      <c r="M37" s="2135"/>
      <c r="N37" s="2135"/>
      <c r="O37" s="2142"/>
      <c r="P37" s="3712"/>
      <c r="Q37" s="1572" t="str">
        <f t="shared" ref="Q37:Q42" si="14">B37</f>
        <v>宗地形状</v>
      </c>
      <c r="R37" s="1573" t="s">
        <v>8</v>
      </c>
      <c r="S37" s="1574">
        <f t="shared" si="10"/>
        <v>100</v>
      </c>
      <c r="T37" s="1573" t="s">
        <v>8</v>
      </c>
      <c r="U37" s="1574">
        <f t="shared" si="11"/>
        <v>100</v>
      </c>
      <c r="V37" s="1573" t="s">
        <v>8</v>
      </c>
      <c r="W37" s="1574">
        <f t="shared" si="12"/>
        <v>100</v>
      </c>
      <c r="X37" s="1567"/>
      <c r="Y37" s="3712"/>
      <c r="Z37" s="1575" t="str">
        <f t="shared" si="13"/>
        <v>宗地形状</v>
      </c>
      <c r="AA37" s="1576">
        <f t="shared" si="3"/>
        <v>1</v>
      </c>
      <c r="AB37" s="1576">
        <f t="shared" si="4"/>
        <v>1</v>
      </c>
      <c r="AC37" s="1576">
        <f t="shared" si="5"/>
        <v>1</v>
      </c>
    </row>
    <row r="38" spans="1:29" s="1220" customFormat="1" ht="15">
      <c r="A38" s="600"/>
      <c r="B38" s="1896" t="s">
        <v>2427</v>
      </c>
      <c r="C38" s="601" t="s">
        <v>3478</v>
      </c>
      <c r="D38" s="255">
        <v>100</v>
      </c>
      <c r="E38" s="601" t="s">
        <v>3482</v>
      </c>
      <c r="F38" s="540">
        <f>SUMIF(114:114,E38,115:115)-SUMIF(114:114,C38,115:115)+100</f>
        <v>99</v>
      </c>
      <c r="G38" s="601" t="s">
        <v>3483</v>
      </c>
      <c r="H38" s="540">
        <f>SUMIF(114:114,G38,115:115)-SUMIF(114:114,C38,115:115)+100</f>
        <v>96</v>
      </c>
      <c r="I38" s="601" t="s">
        <v>3478</v>
      </c>
      <c r="J38" s="540">
        <f>SUMIF(114:114,I38,115:115)-SUMIF(114:114,C38,115:115)+100</f>
        <v>100</v>
      </c>
      <c r="K38" s="584">
        <v>1</v>
      </c>
      <c r="L38" s="2136"/>
      <c r="M38" s="2137"/>
      <c r="N38" s="2137"/>
      <c r="O38" s="2138"/>
      <c r="P38" s="3712"/>
      <c r="Q38" s="1572" t="str">
        <f t="shared" si="14"/>
        <v>宗地开发程度</v>
      </c>
      <c r="R38" s="1568" t="s">
        <v>8</v>
      </c>
      <c r="S38" s="1569">
        <f t="shared" si="10"/>
        <v>99</v>
      </c>
      <c r="T38" s="1568" t="s">
        <v>8</v>
      </c>
      <c r="U38" s="1569">
        <f t="shared" si="11"/>
        <v>96</v>
      </c>
      <c r="V38" s="1568" t="s">
        <v>8</v>
      </c>
      <c r="W38" s="1569">
        <f t="shared" si="12"/>
        <v>100</v>
      </c>
      <c r="X38" s="1570"/>
      <c r="Y38" s="3712"/>
      <c r="Z38" s="1150" t="str">
        <f t="shared" si="13"/>
        <v>宗地开发程度</v>
      </c>
      <c r="AA38" s="1571">
        <f t="shared" si="3"/>
        <v>1.0101010101010102</v>
      </c>
      <c r="AB38" s="1571">
        <f t="shared" si="4"/>
        <v>1.0416666666666667</v>
      </c>
      <c r="AC38" s="1571">
        <f t="shared" si="5"/>
        <v>1</v>
      </c>
    </row>
    <row r="39" spans="1:29" ht="15">
      <c r="A39" s="594"/>
      <c r="B39" s="527" t="s">
        <v>554</v>
      </c>
      <c r="C39" s="599" t="s">
        <v>3504</v>
      </c>
      <c r="D39" s="540">
        <v>100</v>
      </c>
      <c r="E39" s="599" t="s">
        <v>3504</v>
      </c>
      <c r="F39" s="540">
        <f>SUMIF(116:116,E39,117:117)-SUMIF(116:116,C39,117:117)+100</f>
        <v>100</v>
      </c>
      <c r="G39" s="599" t="s">
        <v>3504</v>
      </c>
      <c r="H39" s="540">
        <f>SUMIF(116:116,G39,117:117)-SUMIF(116:116,C39,117:117)+100</f>
        <v>100</v>
      </c>
      <c r="I39" s="599" t="s">
        <v>3504</v>
      </c>
      <c r="J39" s="540">
        <f>SUMIF(116:116,I39,117:117)-SUMIF(116:116,C39,117:117)+100</f>
        <v>100</v>
      </c>
      <c r="K39" s="584"/>
      <c r="L39" s="2143"/>
      <c r="M39" s="2135"/>
      <c r="N39" s="2135"/>
      <c r="O39" s="2142"/>
      <c r="P39" s="3712" t="s">
        <v>600</v>
      </c>
      <c r="Q39" s="1572" t="str">
        <f t="shared" si="14"/>
        <v>工程地质条件</v>
      </c>
      <c r="R39" s="1573" t="s">
        <v>8</v>
      </c>
      <c r="S39" s="1574">
        <f t="shared" si="10"/>
        <v>100</v>
      </c>
      <c r="T39" s="1573" t="s">
        <v>8</v>
      </c>
      <c r="U39" s="1574">
        <f t="shared" si="11"/>
        <v>100</v>
      </c>
      <c r="V39" s="1573" t="s">
        <v>8</v>
      </c>
      <c r="W39" s="1574">
        <f t="shared" si="12"/>
        <v>100</v>
      </c>
      <c r="X39" s="1567"/>
      <c r="Y39" s="3712"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12"/>
      <c r="Q40" s="1572">
        <f t="shared" si="14"/>
        <v>111</v>
      </c>
      <c r="R40" s="1573" t="s">
        <v>8</v>
      </c>
      <c r="S40" s="1574">
        <f t="shared" si="10"/>
        <v>100</v>
      </c>
      <c r="T40" s="1573" t="s">
        <v>8</v>
      </c>
      <c r="U40" s="1574">
        <f t="shared" si="11"/>
        <v>100</v>
      </c>
      <c r="V40" s="1573" t="s">
        <v>8</v>
      </c>
      <c r="W40" s="1574">
        <f t="shared" si="12"/>
        <v>100</v>
      </c>
      <c r="X40" s="1567"/>
      <c r="Y40" s="371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12"/>
      <c r="Q41" s="1572">
        <f t="shared" si="14"/>
        <v>111</v>
      </c>
      <c r="R41" s="1573" t="s">
        <v>8</v>
      </c>
      <c r="S41" s="1574">
        <f t="shared" si="10"/>
        <v>100</v>
      </c>
      <c r="T41" s="1573" t="s">
        <v>8</v>
      </c>
      <c r="U41" s="1574">
        <f t="shared" si="11"/>
        <v>100</v>
      </c>
      <c r="V41" s="1573" t="s">
        <v>8</v>
      </c>
      <c r="W41" s="1574">
        <f t="shared" si="12"/>
        <v>100</v>
      </c>
      <c r="X41" s="1567"/>
      <c r="Y41" s="371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12"/>
      <c r="Q42" s="1572">
        <f t="shared" si="14"/>
        <v>111</v>
      </c>
      <c r="R42" s="1577" t="s">
        <v>8</v>
      </c>
      <c r="S42" s="1578">
        <f t="shared" si="10"/>
        <v>100</v>
      </c>
      <c r="T42" s="1577" t="s">
        <v>8</v>
      </c>
      <c r="U42" s="1578">
        <f t="shared" si="11"/>
        <v>100</v>
      </c>
      <c r="V42" s="1577" t="s">
        <v>8</v>
      </c>
      <c r="W42" s="1578">
        <f t="shared" si="12"/>
        <v>100</v>
      </c>
      <c r="X42" s="1579"/>
      <c r="Y42" s="3712"/>
      <c r="Z42" s="1580">
        <f t="shared" si="13"/>
        <v>111</v>
      </c>
      <c r="AA42" s="1576">
        <f t="shared" si="3"/>
        <v>1</v>
      </c>
      <c r="AB42" s="1576">
        <f t="shared" si="4"/>
        <v>1</v>
      </c>
      <c r="AC42" s="1576">
        <f t="shared" si="5"/>
        <v>1</v>
      </c>
    </row>
    <row r="43" spans="1:29" ht="15">
      <c r="A43" s="607" t="s">
        <v>555</v>
      </c>
      <c r="B43" s="608" t="s">
        <v>2935</v>
      </c>
      <c r="C43" s="609" t="s">
        <v>1</v>
      </c>
      <c r="D43" s="610"/>
      <c r="E43" s="611">
        <v>3679</v>
      </c>
      <c r="F43" s="612"/>
      <c r="G43" s="613">
        <v>3083</v>
      </c>
      <c r="H43" s="614"/>
      <c r="I43" s="611">
        <f>ROUND(顺义案例!J5,0)</f>
        <v>2723</v>
      </c>
      <c r="J43" s="614"/>
      <c r="K43" s="1340"/>
      <c r="L43" s="2145"/>
      <c r="M43" s="2135"/>
      <c r="N43" s="2135"/>
      <c r="O43" s="2146"/>
      <c r="P43" s="3707" t="str">
        <f>A43</f>
        <v>成交单价</v>
      </c>
      <c r="Q43" s="3707"/>
      <c r="R43" s="3721">
        <f>E43</f>
        <v>3679</v>
      </c>
      <c r="S43" s="3721"/>
      <c r="T43" s="3721">
        <f>G43</f>
        <v>3083</v>
      </c>
      <c r="U43" s="3721"/>
      <c r="V43" s="3721">
        <f>I43</f>
        <v>2723</v>
      </c>
      <c r="W43" s="3721"/>
      <c r="X43" s="1559"/>
      <c r="Y43" s="1581"/>
      <c r="Z43" s="1559"/>
      <c r="AA43" s="1559"/>
      <c r="AB43" s="1559"/>
      <c r="AC43" s="1559"/>
    </row>
    <row r="44" spans="1:29" ht="15.75" thickBot="1">
      <c r="A44" s="615" t="s">
        <v>2696</v>
      </c>
      <c r="B44" s="616"/>
      <c r="C44" s="617">
        <f>R45</f>
        <v>3241</v>
      </c>
      <c r="D44" s="618"/>
      <c r="E44" s="617">
        <f>R44</f>
        <v>3804</v>
      </c>
      <c r="F44" s="619"/>
      <c r="G44" s="620">
        <f>T44</f>
        <v>3192</v>
      </c>
      <c r="H44" s="618"/>
      <c r="I44" s="617">
        <f>V44</f>
        <v>2728</v>
      </c>
      <c r="J44" s="618"/>
      <c r="K44" s="1341"/>
      <c r="L44" s="2145"/>
      <c r="M44" s="2135"/>
      <c r="N44" s="2135"/>
      <c r="O44" s="2146"/>
      <c r="P44" s="3707" t="str">
        <f>A44</f>
        <v>比较价格（元/平方米）</v>
      </c>
      <c r="Q44" s="3707"/>
      <c r="R44" s="3731">
        <f>ROUND(PRODUCT(R43,AA9:AA42),0)</f>
        <v>3804</v>
      </c>
      <c r="S44" s="3731"/>
      <c r="T44" s="3731">
        <f>ROUND(PRODUCT(T43,AB9:AB42),0)</f>
        <v>3192</v>
      </c>
      <c r="U44" s="3731"/>
      <c r="V44" s="3731">
        <f>ROUND(PRODUCT(V43,AC9:AC42),0)</f>
        <v>2728</v>
      </c>
      <c r="W44" s="3731"/>
      <c r="X44" s="1559"/>
      <c r="Y44" s="1559"/>
      <c r="Z44" s="1559"/>
      <c r="AA44" s="1559"/>
      <c r="AB44" s="1559"/>
      <c r="AC44" s="1559"/>
    </row>
    <row r="45" spans="1:29" ht="15.75" thickBot="1">
      <c r="A45" s="621" t="s">
        <v>3506</v>
      </c>
      <c r="B45" s="622"/>
      <c r="C45" s="623">
        <f>R45</f>
        <v>3241</v>
      </c>
      <c r="D45" s="623"/>
      <c r="E45" s="623"/>
      <c r="F45" s="623"/>
      <c r="G45" s="623"/>
      <c r="H45" s="623"/>
      <c r="I45" s="623"/>
      <c r="J45" s="623"/>
      <c r="K45" s="1342"/>
      <c r="L45" s="2145"/>
      <c r="M45" s="2135"/>
      <c r="N45" s="2135"/>
      <c r="O45" s="2146"/>
      <c r="P45" s="3728" t="str">
        <f>A45</f>
        <v>估价对象工业用房的比较价格（楼面单价，元/平方米）</v>
      </c>
      <c r="Q45" s="3729"/>
      <c r="R45" s="3730">
        <f>ROUND(AVERAGE(R44:V44),0)</f>
        <v>3241</v>
      </c>
      <c r="S45" s="3730"/>
      <c r="T45" s="3730"/>
      <c r="U45" s="3730"/>
      <c r="V45" s="3730"/>
      <c r="W45" s="373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3.3976624082631135E-2</v>
      </c>
      <c r="F48" s="627" t="str">
        <f>IF(OR(E48&gt;=0.3,E48&lt;=-0.3),"超过30%","")</f>
        <v/>
      </c>
      <c r="G48" s="626">
        <f>IF(G43&lt;G44,G44/G43-1,G43/G44-1)</f>
        <v>3.5355173532273687E-2</v>
      </c>
      <c r="H48" s="627" t="str">
        <f>IF(OR(G48&gt;=0.3,G48&lt;=-0.3),"超过30%","")</f>
        <v/>
      </c>
      <c r="I48" s="626">
        <f>IF(I43&lt;I44,I44/I43-1,I43/I44-1)</f>
        <v>1.8362100624311761E-3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0.19172932330827064</v>
      </c>
      <c r="F49" s="627" t="str">
        <f>IF(OR(E49&gt;=0.2,E49&lt;=-0.2),"超过20%","")</f>
        <v/>
      </c>
      <c r="G49" s="626">
        <f>IF(G44&lt;I44,I44/G44-1,G44/I44-1)</f>
        <v>0.17008797653958951</v>
      </c>
      <c r="H49" s="627" t="str">
        <f>IF(OR(G49&gt;=0.2,G49&lt;=-0.2),"超过20%","")</f>
        <v/>
      </c>
      <c r="I49" s="626">
        <f>IF(I44&lt;E44,E44/I44-1,I44/E44-1)</f>
        <v>0.39442815249266872</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0.1933181965617905</v>
      </c>
      <c r="F50" s="627" t="str">
        <f>IF(OR(E50&gt;=0.3,E50&lt;=-0.3),"超过30%","")</f>
        <v/>
      </c>
      <c r="G50" s="626">
        <f>IF(G43&lt;I43,I43/G43-1,G43/I43-1)</f>
        <v>0.13220712449504224</v>
      </c>
      <c r="H50" s="627" t="str">
        <f>IF(OR(G50&gt;=0.3,G50&lt;=-0.3),"超过30%","")</f>
        <v/>
      </c>
      <c r="I50" s="626">
        <f>IF(I43&lt;E43,E43/I43-1,I43/E43-1)</f>
        <v>0.35108336393683448</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802" t="s">
        <v>2286</v>
      </c>
      <c r="H52" s="3803"/>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f>C45</f>
        <v>3241</v>
      </c>
      <c r="C53" s="635">
        <v>1</v>
      </c>
      <c r="D53" s="2229">
        <v>1</v>
      </c>
      <c r="E53" s="635">
        <f>'数据-汇总表'!E8+'数据-汇总表'!E9</f>
        <v>59362.400000000001</v>
      </c>
      <c r="F53" s="1951">
        <f t="shared" ref="F53:F62" si="15">ROUND(B53*E53/10000,0)</f>
        <v>19239</v>
      </c>
      <c r="G53" s="3804"/>
      <c r="H53" s="380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f>ROUND($C$45*C54*D54,0)</f>
        <v>0</v>
      </c>
      <c r="C54" s="378">
        <f t="shared" ref="C54:C62" si="16">IF($C$52="北京市系数",I54,J54)</f>
        <v>0</v>
      </c>
      <c r="D54" s="2230">
        <v>0.25</v>
      </c>
      <c r="E54" s="639"/>
      <c r="F54" s="1951">
        <f t="shared" si="15"/>
        <v>0</v>
      </c>
      <c r="G54" s="3806"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f t="shared" ref="B55:B62" si="17">ROUND($C$45*C55*D55,0)</f>
        <v>0</v>
      </c>
      <c r="C55" s="378">
        <f t="shared" si="16"/>
        <v>0</v>
      </c>
      <c r="D55" s="2230">
        <v>0.25</v>
      </c>
      <c r="E55" s="639"/>
      <c r="F55" s="1951">
        <f t="shared" si="15"/>
        <v>0</v>
      </c>
      <c r="G55" s="380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f t="shared" si="17"/>
        <v>0</v>
      </c>
      <c r="C56" s="378">
        <f t="shared" si="16"/>
        <v>0</v>
      </c>
      <c r="D56" s="2230">
        <v>0.25</v>
      </c>
      <c r="E56" s="639"/>
      <c r="F56" s="1951">
        <f t="shared" si="15"/>
        <v>0</v>
      </c>
      <c r="G56" s="380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f t="shared" si="17"/>
        <v>0</v>
      </c>
      <c r="C57" s="378">
        <f t="shared" si="16"/>
        <v>0</v>
      </c>
      <c r="D57" s="2230">
        <v>0.25</v>
      </c>
      <c r="E57" s="639"/>
      <c r="F57" s="1951">
        <f t="shared" si="15"/>
        <v>0</v>
      </c>
      <c r="G57" s="380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182153.37</v>
      </c>
      <c r="F63" s="644">
        <f>IF(B43="楼面地价",SUM(F53:F62),ROUND(C45*E63/10000,0))</f>
        <v>59036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2652</v>
      </c>
      <c r="B68" s="479" t="str">
        <f>"北京市平均增长率"&amp;TEXT(基准地价!P24,"0.00%")</f>
        <v>北京市平均增长率1.35%</v>
      </c>
      <c r="C68" s="894">
        <v>100</v>
      </c>
      <c r="D68" s="730">
        <v>100</v>
      </c>
      <c r="E68" s="730">
        <v>100</v>
      </c>
      <c r="F68" s="730">
        <v>100</v>
      </c>
      <c r="G68" s="730">
        <v>100</v>
      </c>
      <c r="H68" s="730">
        <v>100</v>
      </c>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3412" t="s">
        <v>3473</v>
      </c>
      <c r="D72" s="3412" t="s">
        <v>3475</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98</v>
      </c>
      <c r="E88" s="679">
        <f>D88-$K19</f>
        <v>96</v>
      </c>
      <c r="F88" s="679">
        <f>E88-$K19</f>
        <v>94</v>
      </c>
      <c r="G88" s="679">
        <f>F88-$K19</f>
        <v>92</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3418" t="s">
        <v>3491</v>
      </c>
      <c r="D99" s="3418" t="s">
        <v>3492</v>
      </c>
      <c r="E99" s="3418" t="s">
        <v>3493</v>
      </c>
      <c r="F99" s="3418" t="s">
        <v>3495</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3421" t="s">
        <v>3496</v>
      </c>
      <c r="D101" s="3421" t="s">
        <v>3497</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200000(含)-500000</v>
      </c>
      <c r="H109" s="704" t="str">
        <f t="shared" si="25"/>
        <v>500000(含)-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50000</v>
      </c>
      <c r="E110" s="730">
        <v>100000</v>
      </c>
      <c r="F110" s="730">
        <v>150000</v>
      </c>
      <c r="G110" s="730">
        <v>200000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92</v>
      </c>
      <c r="D111" s="726">
        <v>94</v>
      </c>
      <c r="E111" s="726">
        <v>96</v>
      </c>
      <c r="F111" s="726">
        <v>98</v>
      </c>
      <c r="G111" s="726">
        <v>100</v>
      </c>
      <c r="H111" s="726">
        <v>102</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3499</v>
      </c>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3485</v>
      </c>
      <c r="D114" s="1375" t="s">
        <v>3501</v>
      </c>
      <c r="E114" s="1375" t="s">
        <v>3502</v>
      </c>
      <c r="F114" s="1375" t="s">
        <v>3503</v>
      </c>
      <c r="G114" s="1375" t="s">
        <v>3484</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3505</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2"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93.75">
      <c r="A7" s="2898" t="s">
        <v>2751</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3.5"/>
  <cols>
    <col min="1" max="1" width="17.375" customWidth="1"/>
    <col min="6" max="6" width="7.375" customWidth="1"/>
    <col min="7" max="7" width="12.75" customWidth="1"/>
    <col min="11" max="11" width="12.75" bestFit="1" customWidth="1"/>
  </cols>
  <sheetData>
    <row r="1" spans="1:16357" s="3409" customFormat="1" ht="63" customHeight="1">
      <c r="A1" s="3408" t="s">
        <v>3444</v>
      </c>
      <c r="B1" s="3408" t="s">
        <v>3445</v>
      </c>
      <c r="C1" s="3408" t="s">
        <v>3446</v>
      </c>
      <c r="D1" s="3408" t="s">
        <v>3447</v>
      </c>
      <c r="E1" s="3408" t="s">
        <v>3448</v>
      </c>
      <c r="F1" s="3408" t="s">
        <v>2034</v>
      </c>
      <c r="G1" s="3408" t="s">
        <v>3449</v>
      </c>
      <c r="H1" s="3408" t="s">
        <v>3450</v>
      </c>
      <c r="I1" s="3408" t="s">
        <v>3451</v>
      </c>
      <c r="J1" s="3408" t="s">
        <v>3452</v>
      </c>
      <c r="K1" s="3456" t="s">
        <v>3526</v>
      </c>
      <c r="L1" s="3408" t="s">
        <v>3453</v>
      </c>
      <c r="M1" s="3408" t="s">
        <v>3454</v>
      </c>
      <c r="N1" s="3408" t="s">
        <v>3455</v>
      </c>
      <c r="O1" s="3408" t="s">
        <v>3456</v>
      </c>
      <c r="P1" s="3408" t="s">
        <v>3457</v>
      </c>
      <c r="Q1" s="3408" t="s">
        <v>3458</v>
      </c>
      <c r="R1" s="3408"/>
    </row>
    <row r="2" spans="1:16357" s="3401" customFormat="1" ht="37.5" customHeight="1">
      <c r="A2" s="3410" t="s">
        <v>3459</v>
      </c>
      <c r="B2" s="3239" t="s">
        <v>3460</v>
      </c>
      <c r="C2" s="3239" t="s">
        <v>3461</v>
      </c>
      <c r="D2" s="3239">
        <v>4280.58</v>
      </c>
      <c r="E2" s="3239">
        <v>3424</v>
      </c>
      <c r="F2" s="3239">
        <v>0.8</v>
      </c>
      <c r="G2" s="3239" t="s">
        <v>3462</v>
      </c>
      <c r="H2" s="3239">
        <v>642.09</v>
      </c>
      <c r="I2" s="3239">
        <v>100</v>
      </c>
      <c r="J2" s="3239">
        <v>1875.25</v>
      </c>
      <c r="K2" s="3239">
        <f>H2*10000/D2</f>
        <v>1500.0070083960586</v>
      </c>
      <c r="L2" s="3239" t="s">
        <v>2820</v>
      </c>
      <c r="M2" s="3239">
        <v>0</v>
      </c>
      <c r="N2" s="3239" t="s">
        <v>3463</v>
      </c>
      <c r="O2" s="3239" t="s">
        <v>2820</v>
      </c>
      <c r="P2" s="3239" t="s">
        <v>2820</v>
      </c>
      <c r="Q2" s="3239" t="s">
        <v>2820</v>
      </c>
      <c r="R2" s="3239"/>
    </row>
    <row r="3" spans="1:16357" s="3401" customFormat="1" ht="37.5" customHeight="1">
      <c r="A3" s="3402" t="s">
        <v>3469</v>
      </c>
      <c r="B3" s="3403" t="s">
        <v>3460</v>
      </c>
      <c r="C3" s="3403" t="s">
        <v>3464</v>
      </c>
      <c r="D3" s="3403">
        <v>31386.9</v>
      </c>
      <c r="E3" s="3403">
        <v>25110</v>
      </c>
      <c r="F3" s="3403">
        <v>0.8</v>
      </c>
      <c r="G3" s="3403" t="s">
        <v>3465</v>
      </c>
      <c r="H3" s="3403">
        <v>11547.52</v>
      </c>
      <c r="I3" s="3403">
        <v>245.27</v>
      </c>
      <c r="J3" s="3403">
        <v>4598.7700000000004</v>
      </c>
      <c r="K3" s="3403">
        <f>H3*10000/D3</f>
        <v>3679.0890467041982</v>
      </c>
      <c r="L3" s="3403" t="s">
        <v>2820</v>
      </c>
      <c r="M3" s="3403">
        <v>0</v>
      </c>
      <c r="N3" s="3403" t="s">
        <v>3463</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3470</v>
      </c>
      <c r="B4" s="3406" t="s">
        <v>3460</v>
      </c>
      <c r="C4" s="3406" t="s">
        <v>3464</v>
      </c>
      <c r="D4" s="3406">
        <v>45231.1</v>
      </c>
      <c r="E4" s="3406">
        <v>36185</v>
      </c>
      <c r="F4" s="3406">
        <v>0.8</v>
      </c>
      <c r="G4" s="3406" t="s">
        <v>3466</v>
      </c>
      <c r="H4" s="3406">
        <v>13943.25</v>
      </c>
      <c r="I4" s="3406">
        <v>205.51</v>
      </c>
      <c r="J4" s="3406">
        <v>3853.32</v>
      </c>
      <c r="K4" s="3406">
        <f>H4*10000/D4</f>
        <v>3082.6687832044768</v>
      </c>
      <c r="L4" s="3406" t="s">
        <v>2820</v>
      </c>
      <c r="M4" s="3406">
        <v>0</v>
      </c>
      <c r="N4" s="3406" t="s">
        <v>3463</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3521</v>
      </c>
      <c r="B5" s="3403" t="s">
        <v>3460</v>
      </c>
      <c r="C5" s="3403" t="s">
        <v>3461</v>
      </c>
      <c r="D5" s="3403">
        <v>401615.3</v>
      </c>
      <c r="E5" s="3403">
        <v>401615</v>
      </c>
      <c r="F5" s="3403">
        <v>1</v>
      </c>
      <c r="G5" s="3403" t="s">
        <v>3466</v>
      </c>
      <c r="H5" s="3403">
        <v>109378.8</v>
      </c>
      <c r="I5" s="3403">
        <v>181.56</v>
      </c>
      <c r="J5" s="3403">
        <v>2723.46</v>
      </c>
      <c r="K5" s="3403">
        <f>H5*10000/D5</f>
        <v>2723.4719394405543</v>
      </c>
      <c r="L5" s="3403" t="s">
        <v>2820</v>
      </c>
      <c r="M5" s="3403">
        <v>0</v>
      </c>
      <c r="N5" s="3403" t="s">
        <v>3463</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3467</v>
      </c>
      <c r="B6" s="3239" t="s">
        <v>3460</v>
      </c>
      <c r="C6" s="3239" t="s">
        <v>3461</v>
      </c>
      <c r="D6" s="3239">
        <v>11912.8</v>
      </c>
      <c r="E6" s="3239">
        <v>9530</v>
      </c>
      <c r="F6" s="3239">
        <v>0.8</v>
      </c>
      <c r="G6" s="3239" t="s">
        <v>3468</v>
      </c>
      <c r="H6" s="3239">
        <v>1798</v>
      </c>
      <c r="I6" s="3239">
        <v>100.62</v>
      </c>
      <c r="J6" s="3239">
        <v>1886.67</v>
      </c>
      <c r="K6" s="3239">
        <f>H6*10000/D6</f>
        <v>1509.3009200188035</v>
      </c>
      <c r="L6" s="3239" t="s">
        <v>2820</v>
      </c>
      <c r="M6" s="3239">
        <v>0</v>
      </c>
      <c r="N6" s="3239" t="s">
        <v>3463</v>
      </c>
      <c r="O6" s="3239" t="s">
        <v>2820</v>
      </c>
      <c r="P6" s="3239" t="s">
        <v>2820</v>
      </c>
      <c r="Q6" s="3239" t="s">
        <v>2820</v>
      </c>
      <c r="R6" s="3239"/>
    </row>
  </sheetData>
  <phoneticPr fontId="23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0" sqref="C10"/>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192236</v>
      </c>
      <c r="C2" s="2109"/>
      <c r="D2" s="2109"/>
      <c r="E2" s="2109"/>
      <c r="F2" s="2109"/>
      <c r="G2" s="2109"/>
    </row>
    <row r="3" spans="1:25" s="2060" customFormat="1" ht="18" customHeight="1">
      <c r="A3" s="1379" t="s">
        <v>1685</v>
      </c>
      <c r="B3" s="425">
        <f ca="1">ROUND(B2*10000/'数据-汇总表'!E3,0)</f>
        <v>31788</v>
      </c>
      <c r="C3" s="2109"/>
      <c r="D3" s="2109"/>
      <c r="E3" s="2109"/>
      <c r="F3" s="2109"/>
      <c r="G3" s="2109"/>
    </row>
    <row r="4" spans="1:25" s="2060" customFormat="1" ht="18" customHeight="1">
      <c r="A4" s="426" t="s">
        <v>467</v>
      </c>
      <c r="B4" s="427">
        <f ca="1">ROUND(B2*10000/'数据-汇总表'!D3,0)</f>
        <v>10554</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164594</v>
      </c>
      <c r="D7" s="749"/>
      <c r="E7" s="750"/>
      <c r="F7" s="750"/>
      <c r="G7" s="2504" t="s">
        <v>3139</v>
      </c>
    </row>
    <row r="8" spans="1:25" s="2184" customFormat="1" ht="13.5" customHeight="1">
      <c r="A8" s="2494" t="s">
        <v>2443</v>
      </c>
      <c r="B8" s="2497" t="s">
        <v>2445</v>
      </c>
      <c r="C8" s="2498">
        <f>ROUND(9036*'数据-基础表'!A3/10000,0)</f>
        <v>164594</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16267</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23808</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210134</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31520</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241654</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192236</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192236</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713" t="s">
        <v>521</v>
      </c>
      <c r="D4" s="3714"/>
      <c r="E4" s="3807" t="s">
        <v>522</v>
      </c>
      <c r="F4" s="3808"/>
      <c r="G4" s="3713" t="s">
        <v>523</v>
      </c>
      <c r="H4" s="3714"/>
      <c r="I4" s="3713" t="s">
        <v>524</v>
      </c>
      <c r="J4" s="3714"/>
      <c r="K4" s="853" t="s">
        <v>525</v>
      </c>
      <c r="L4" s="2134"/>
      <c r="M4" s="2135"/>
      <c r="N4" s="2135"/>
      <c r="O4" s="2135"/>
      <c r="P4" s="3715" t="s">
        <v>526</v>
      </c>
      <c r="Q4" s="3716"/>
      <c r="R4" s="3701" t="s">
        <v>522</v>
      </c>
      <c r="S4" s="3702"/>
      <c r="T4" s="3701" t="s">
        <v>523</v>
      </c>
      <c r="U4" s="3702"/>
      <c r="V4" s="3721" t="s">
        <v>524</v>
      </c>
      <c r="W4" s="3721"/>
      <c r="X4" s="1567"/>
      <c r="Y4" s="3701" t="s">
        <v>526</v>
      </c>
      <c r="Z4" s="3702"/>
      <c r="AA4" s="3696" t="s">
        <v>522</v>
      </c>
      <c r="AB4" s="3696" t="s">
        <v>523</v>
      </c>
      <c r="AC4" s="3696" t="s">
        <v>524</v>
      </c>
    </row>
    <row r="5" spans="1:29" ht="15">
      <c r="A5" s="515"/>
      <c r="B5" s="516"/>
      <c r="C5" s="3724" t="s">
        <v>2930</v>
      </c>
      <c r="D5" s="3725"/>
      <c r="E5" s="3815" t="s">
        <v>2931</v>
      </c>
      <c r="F5" s="3810"/>
      <c r="G5" s="3724" t="s">
        <v>2932</v>
      </c>
      <c r="H5" s="3725"/>
      <c r="I5" s="3724" t="s">
        <v>2933</v>
      </c>
      <c r="J5" s="3725"/>
      <c r="K5" s="854"/>
      <c r="L5" s="2134"/>
      <c r="M5" s="2135"/>
      <c r="N5" s="2135"/>
      <c r="O5" s="2135"/>
      <c r="P5" s="3717"/>
      <c r="Q5" s="3718"/>
      <c r="R5" s="3703"/>
      <c r="S5" s="3704"/>
      <c r="T5" s="3703"/>
      <c r="U5" s="3704"/>
      <c r="V5" s="3721"/>
      <c r="W5" s="3721"/>
      <c r="X5" s="1567"/>
      <c r="Y5" s="3703"/>
      <c r="Z5" s="3704"/>
      <c r="AA5" s="3697"/>
      <c r="AB5" s="3697"/>
      <c r="AC5" s="3697"/>
    </row>
    <row r="6" spans="1:29" ht="15.75" thickBot="1">
      <c r="A6" s="517"/>
      <c r="B6" s="518"/>
      <c r="C6" s="3722" t="s">
        <v>2934</v>
      </c>
      <c r="D6" s="3723"/>
      <c r="E6" s="3813" t="s">
        <v>2934</v>
      </c>
      <c r="F6" s="3814"/>
      <c r="G6" s="3722" t="s">
        <v>2934</v>
      </c>
      <c r="H6" s="3723"/>
      <c r="I6" s="3722" t="s">
        <v>2934</v>
      </c>
      <c r="J6" s="3723"/>
      <c r="K6" s="854" t="s">
        <v>527</v>
      </c>
      <c r="L6" s="2134"/>
      <c r="M6" s="2135"/>
      <c r="N6" s="2135"/>
      <c r="O6" s="2135"/>
      <c r="P6" s="3719"/>
      <c r="Q6" s="3720"/>
      <c r="R6" s="3703"/>
      <c r="S6" s="3704"/>
      <c r="T6" s="3705"/>
      <c r="U6" s="3706"/>
      <c r="V6" s="3721"/>
      <c r="W6" s="3721"/>
      <c r="X6" s="1567"/>
      <c r="Y6" s="3705"/>
      <c r="Z6" s="3706"/>
      <c r="AA6" s="3698"/>
      <c r="AB6" s="3698"/>
      <c r="AC6" s="3698"/>
    </row>
    <row r="7" spans="1:29" s="1220" customFormat="1" ht="15.7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99" t="s">
        <v>529</v>
      </c>
      <c r="Q7" s="3708"/>
      <c r="R7" s="1568" t="s">
        <v>13</v>
      </c>
      <c r="S7" s="1569">
        <f t="shared" ref="S7:S15" si="0">F7</f>
        <v>0</v>
      </c>
      <c r="T7" s="1568" t="s">
        <v>13</v>
      </c>
      <c r="U7" s="1569">
        <f t="shared" ref="U7:U15" si="1">H7</f>
        <v>0</v>
      </c>
      <c r="V7" s="1568" t="s">
        <v>13</v>
      </c>
      <c r="W7" s="1569">
        <f t="shared" ref="W7:W15"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99" t="s">
        <v>532</v>
      </c>
      <c r="Q8" s="3700"/>
      <c r="R8" s="1568" t="s">
        <v>13</v>
      </c>
      <c r="S8" s="1569">
        <f t="shared" si="0"/>
        <v>0</v>
      </c>
      <c r="T8" s="1568" t="s">
        <v>13</v>
      </c>
      <c r="U8" s="1569">
        <f t="shared" si="1"/>
        <v>0</v>
      </c>
      <c r="V8" s="1568" t="s">
        <v>13</v>
      </c>
      <c r="W8" s="1569">
        <f t="shared" si="2"/>
        <v>0</v>
      </c>
      <c r="X8" s="1570"/>
      <c r="Y8" s="3699" t="s">
        <v>532</v>
      </c>
      <c r="Z8" s="3700"/>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707" t="s">
        <v>534</v>
      </c>
      <c r="Q9" s="1151" t="str">
        <f t="shared" ref="Q9:Q15" si="6">B9</f>
        <v>用途</v>
      </c>
      <c r="R9" s="1568" t="s">
        <v>8</v>
      </c>
      <c r="S9" s="1569">
        <f t="shared" si="0"/>
        <v>100</v>
      </c>
      <c r="T9" s="1568" t="s">
        <v>8</v>
      </c>
      <c r="U9" s="1569">
        <f t="shared" si="1"/>
        <v>100</v>
      </c>
      <c r="V9" s="1568" t="s">
        <v>8</v>
      </c>
      <c r="W9" s="1569">
        <f t="shared" si="2"/>
        <v>100</v>
      </c>
      <c r="X9" s="1570"/>
      <c r="Y9" s="366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707"/>
      <c r="Q11" s="1151" t="str">
        <f t="shared" si="6"/>
        <v>容积率</v>
      </c>
      <c r="R11" s="1568" t="s">
        <v>11</v>
      </c>
      <c r="S11" s="1569" t="e">
        <f t="shared" si="0"/>
        <v>#N/A</v>
      </c>
      <c r="T11" s="1568" t="s">
        <v>11</v>
      </c>
      <c r="U11" s="1569" t="e">
        <f t="shared" si="1"/>
        <v>#N/A</v>
      </c>
      <c r="V11" s="1568" t="s">
        <v>11</v>
      </c>
      <c r="W11" s="1569" t="e">
        <f t="shared" si="2"/>
        <v>#N/A</v>
      </c>
      <c r="X11" s="1570"/>
      <c r="Y11" s="366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07"/>
      <c r="Q12" s="1151">
        <f t="shared" si="6"/>
        <v>111</v>
      </c>
      <c r="R12" s="1568" t="s">
        <v>11</v>
      </c>
      <c r="S12" s="1569">
        <f t="shared" si="0"/>
        <v>100</v>
      </c>
      <c r="T12" s="1568" t="s">
        <v>11</v>
      </c>
      <c r="U12" s="1569">
        <f t="shared" si="1"/>
        <v>100</v>
      </c>
      <c r="V12" s="1568" t="s">
        <v>11</v>
      </c>
      <c r="W12" s="1569">
        <f t="shared" si="2"/>
        <v>100</v>
      </c>
      <c r="X12" s="1570"/>
      <c r="Y12" s="3664"/>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07"/>
      <c r="Q13" s="1151">
        <f t="shared" si="6"/>
        <v>111</v>
      </c>
      <c r="R13" s="1568" t="s">
        <v>11</v>
      </c>
      <c r="S13" s="1569">
        <f t="shared" si="0"/>
        <v>100</v>
      </c>
      <c r="T13" s="1568" t="s">
        <v>11</v>
      </c>
      <c r="U13" s="1569">
        <f t="shared" si="1"/>
        <v>100</v>
      </c>
      <c r="V13" s="1568" t="s">
        <v>11</v>
      </c>
      <c r="W13" s="1569">
        <f t="shared" si="2"/>
        <v>100</v>
      </c>
      <c r="X13" s="1570"/>
      <c r="Y13" s="3664"/>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07"/>
      <c r="Q14" s="1151">
        <f t="shared" si="6"/>
        <v>111</v>
      </c>
      <c r="R14" s="1568" t="s">
        <v>11</v>
      </c>
      <c r="S14" s="1569">
        <f t="shared" si="0"/>
        <v>100</v>
      </c>
      <c r="T14" s="1568" t="s">
        <v>11</v>
      </c>
      <c r="U14" s="1569">
        <f t="shared" si="1"/>
        <v>100</v>
      </c>
      <c r="V14" s="1568" t="s">
        <v>11</v>
      </c>
      <c r="W14" s="1569">
        <f t="shared" si="2"/>
        <v>100</v>
      </c>
      <c r="X14" s="1570"/>
      <c r="Y14" s="3664"/>
      <c r="Z14" s="1150">
        <f t="shared" si="7"/>
        <v>111</v>
      </c>
      <c r="AA14" s="1571">
        <f t="shared" si="3"/>
        <v>1</v>
      </c>
      <c r="AB14" s="1571">
        <f t="shared" si="4"/>
        <v>1</v>
      </c>
      <c r="AC14" s="1571">
        <f t="shared" si="5"/>
        <v>1</v>
      </c>
    </row>
    <row r="15" spans="1:29" ht="99.75">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09" t="s">
        <v>539</v>
      </c>
      <c r="Q15" s="1572" t="str">
        <f t="shared" si="6"/>
        <v>居住社区成熟度</v>
      </c>
      <c r="R15" s="1573" t="s">
        <v>11</v>
      </c>
      <c r="S15" s="1574">
        <f t="shared" si="0"/>
        <v>100</v>
      </c>
      <c r="T15" s="1573" t="s">
        <v>11</v>
      </c>
      <c r="U15" s="1574">
        <f t="shared" si="1"/>
        <v>100</v>
      </c>
      <c r="V15" s="1573" t="s">
        <v>11</v>
      </c>
      <c r="W15" s="1574">
        <f t="shared" si="2"/>
        <v>100</v>
      </c>
      <c r="X15" s="1567"/>
      <c r="Y15" s="3709"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710"/>
      <c r="Q16" s="1572"/>
      <c r="R16" s="1573"/>
      <c r="S16" s="1574"/>
      <c r="T16" s="1573"/>
      <c r="U16" s="1574"/>
      <c r="V16" s="1573"/>
      <c r="W16" s="1574"/>
      <c r="X16" s="1567"/>
      <c r="Y16" s="3710"/>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10"/>
      <c r="Q17" s="1572" t="str">
        <f>B17</f>
        <v>交通便捷度</v>
      </c>
      <c r="R17" s="1573" t="s">
        <v>11</v>
      </c>
      <c r="S17" s="1574">
        <f>F17</f>
        <v>100</v>
      </c>
      <c r="T17" s="1573" t="s">
        <v>11</v>
      </c>
      <c r="U17" s="1574">
        <f>H17</f>
        <v>100</v>
      </c>
      <c r="V17" s="1573" t="s">
        <v>11</v>
      </c>
      <c r="W17" s="1574">
        <f>J17</f>
        <v>100</v>
      </c>
      <c r="X17" s="1567"/>
      <c r="Y17" s="37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710"/>
      <c r="Q18" s="1572"/>
      <c r="R18" s="1573"/>
      <c r="S18" s="1574"/>
      <c r="T18" s="1573"/>
      <c r="U18" s="1574"/>
      <c r="V18" s="1573"/>
      <c r="W18" s="1574"/>
      <c r="X18" s="1567"/>
      <c r="Y18" s="371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10"/>
      <c r="Q19" s="1572" t="str">
        <f>B19</f>
        <v>公共配套设施</v>
      </c>
      <c r="R19" s="1573" t="s">
        <v>11</v>
      </c>
      <c r="S19" s="1574">
        <f>F19</f>
        <v>100</v>
      </c>
      <c r="T19" s="1573" t="s">
        <v>11</v>
      </c>
      <c r="U19" s="1574">
        <f>H19</f>
        <v>100</v>
      </c>
      <c r="V19" s="1573" t="s">
        <v>11</v>
      </c>
      <c r="W19" s="1574">
        <f>J19</f>
        <v>100</v>
      </c>
      <c r="X19" s="1567"/>
      <c r="Y19" s="371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710"/>
      <c r="Q20" s="1572"/>
      <c r="R20" s="1573"/>
      <c r="S20" s="1574"/>
      <c r="T20" s="1573"/>
      <c r="U20" s="1574"/>
      <c r="V20" s="1573"/>
      <c r="W20" s="1574"/>
      <c r="X20" s="1567"/>
      <c r="Y20" s="371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10"/>
      <c r="Q21" s="2604" t="str">
        <f>B21</f>
        <v>基础设施水平</v>
      </c>
      <c r="R21" s="1573" t="s">
        <v>11</v>
      </c>
      <c r="S21" s="1574">
        <f>F21</f>
        <v>100</v>
      </c>
      <c r="T21" s="1573" t="s">
        <v>11</v>
      </c>
      <c r="U21" s="1574">
        <f>H21</f>
        <v>100</v>
      </c>
      <c r="V21" s="1573" t="s">
        <v>11</v>
      </c>
      <c r="W21" s="1574">
        <f>J21</f>
        <v>100</v>
      </c>
      <c r="X21" s="2606"/>
      <c r="Y21" s="371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710"/>
      <c r="Q22" s="2604"/>
      <c r="R22" s="1573"/>
      <c r="S22" s="1574"/>
      <c r="T22" s="1573"/>
      <c r="U22" s="1574"/>
      <c r="V22" s="1573"/>
      <c r="W22" s="1574"/>
      <c r="X22" s="2606"/>
      <c r="Y22" s="3710"/>
      <c r="Z22" s="2605"/>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10"/>
      <c r="Q23" s="1572" t="str">
        <f>B23</f>
        <v>自然及人文环境</v>
      </c>
      <c r="R23" s="1573" t="s">
        <v>11</v>
      </c>
      <c r="S23" s="1574">
        <f>F23</f>
        <v>100</v>
      </c>
      <c r="T23" s="1573" t="s">
        <v>11</v>
      </c>
      <c r="U23" s="1574">
        <f>H23</f>
        <v>100</v>
      </c>
      <c r="V23" s="1573" t="s">
        <v>11</v>
      </c>
      <c r="W23" s="1574">
        <f>J23</f>
        <v>100</v>
      </c>
      <c r="X23" s="1567"/>
      <c r="Y23" s="371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710"/>
      <c r="Q24" s="1572"/>
      <c r="R24" s="1573"/>
      <c r="S24" s="1574"/>
      <c r="T24" s="1573"/>
      <c r="U24" s="1574"/>
      <c r="V24" s="1573"/>
      <c r="W24" s="1574"/>
      <c r="X24" s="1567"/>
      <c r="Y24" s="3710"/>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10"/>
      <c r="Q25" s="1572" t="str">
        <f t="shared" ref="Q25:Q46" si="11">B25</f>
        <v>楼层-1</v>
      </c>
      <c r="R25" s="1573" t="s">
        <v>11</v>
      </c>
      <c r="S25" s="1574">
        <f>F25</f>
        <v>100</v>
      </c>
      <c r="T25" s="1573" t="s">
        <v>11</v>
      </c>
      <c r="U25" s="1574">
        <f>H25</f>
        <v>100</v>
      </c>
      <c r="V25" s="1573" t="s">
        <v>11</v>
      </c>
      <c r="W25" s="1574">
        <f>J25</f>
        <v>100</v>
      </c>
      <c r="X25" s="1567"/>
      <c r="Y25" s="3710"/>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10"/>
      <c r="Q26" s="1572" t="str">
        <f t="shared" si="11"/>
        <v>朝向</v>
      </c>
      <c r="R26" s="1573" t="s">
        <v>11</v>
      </c>
      <c r="S26" s="1574">
        <f>F26</f>
        <v>100</v>
      </c>
      <c r="T26" s="1573" t="s">
        <v>11</v>
      </c>
      <c r="U26" s="1574">
        <f>H26</f>
        <v>100</v>
      </c>
      <c r="V26" s="1573" t="s">
        <v>11</v>
      </c>
      <c r="W26" s="1574">
        <f>J26</f>
        <v>100</v>
      </c>
      <c r="X26" s="1567"/>
      <c r="Y26" s="3710"/>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10"/>
      <c r="Q27" s="1151" t="str">
        <f t="shared" si="11"/>
        <v>道路级别</v>
      </c>
      <c r="R27" s="1568" t="s">
        <v>11</v>
      </c>
      <c r="S27" s="1569">
        <f>F27</f>
        <v>100</v>
      </c>
      <c r="T27" s="1568" t="s">
        <v>11</v>
      </c>
      <c r="U27" s="1569">
        <f>H27</f>
        <v>100</v>
      </c>
      <c r="V27" s="1568" t="s">
        <v>11</v>
      </c>
      <c r="W27" s="1569">
        <f>J27</f>
        <v>100</v>
      </c>
      <c r="X27" s="1570"/>
      <c r="Y27" s="371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10"/>
      <c r="Q28" s="1572">
        <f t="shared" si="11"/>
        <v>111</v>
      </c>
      <c r="R28" s="1573" t="s">
        <v>11</v>
      </c>
      <c r="S28" s="1574">
        <f t="shared" ref="S28:S46" si="12">F28</f>
        <v>100</v>
      </c>
      <c r="T28" s="1573" t="s">
        <v>11</v>
      </c>
      <c r="U28" s="1574">
        <f t="shared" ref="U28:U46" si="13">H28</f>
        <v>100</v>
      </c>
      <c r="V28" s="1573" t="s">
        <v>11</v>
      </c>
      <c r="W28" s="1574">
        <f t="shared" ref="W28:W46" si="14">J28</f>
        <v>100</v>
      </c>
      <c r="X28" s="1567"/>
      <c r="Y28" s="371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10"/>
      <c r="Q29" s="1572">
        <f t="shared" si="11"/>
        <v>111</v>
      </c>
      <c r="R29" s="1573" t="s">
        <v>11</v>
      </c>
      <c r="S29" s="1574">
        <f t="shared" si="12"/>
        <v>100</v>
      </c>
      <c r="T29" s="1573" t="s">
        <v>11</v>
      </c>
      <c r="U29" s="1574">
        <f t="shared" si="13"/>
        <v>100</v>
      </c>
      <c r="V29" s="1573" t="s">
        <v>11</v>
      </c>
      <c r="W29" s="1574">
        <f t="shared" si="14"/>
        <v>100</v>
      </c>
      <c r="X29" s="1567"/>
      <c r="Y29" s="371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10"/>
      <c r="Q30" s="1572">
        <f t="shared" si="11"/>
        <v>111</v>
      </c>
      <c r="R30" s="1573" t="s">
        <v>11</v>
      </c>
      <c r="S30" s="1574">
        <f t="shared" si="12"/>
        <v>100</v>
      </c>
      <c r="T30" s="1573" t="s">
        <v>11</v>
      </c>
      <c r="U30" s="1574">
        <f t="shared" si="13"/>
        <v>100</v>
      </c>
      <c r="V30" s="1573" t="s">
        <v>11</v>
      </c>
      <c r="W30" s="1574">
        <f t="shared" si="14"/>
        <v>100</v>
      </c>
      <c r="X30" s="1567"/>
      <c r="Y30" s="371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10"/>
      <c r="Q31" s="1572">
        <f t="shared" si="11"/>
        <v>111</v>
      </c>
      <c r="R31" s="1573" t="s">
        <v>11</v>
      </c>
      <c r="S31" s="1574">
        <f t="shared" si="12"/>
        <v>100</v>
      </c>
      <c r="T31" s="1573" t="s">
        <v>11</v>
      </c>
      <c r="U31" s="1574">
        <f t="shared" si="13"/>
        <v>100</v>
      </c>
      <c r="V31" s="1573" t="s">
        <v>11</v>
      </c>
      <c r="W31" s="1574">
        <f t="shared" si="14"/>
        <v>100</v>
      </c>
      <c r="X31" s="1567"/>
      <c r="Y31" s="3710"/>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711" t="s">
        <v>549</v>
      </c>
      <c r="Q32" s="1572" t="str">
        <f t="shared" si="11"/>
        <v>建筑类型</v>
      </c>
      <c r="R32" s="1573" t="s">
        <v>11</v>
      </c>
      <c r="S32" s="1574">
        <f t="shared" si="12"/>
        <v>100</v>
      </c>
      <c r="T32" s="1573" t="s">
        <v>11</v>
      </c>
      <c r="U32" s="1574">
        <f t="shared" si="13"/>
        <v>100</v>
      </c>
      <c r="V32" s="1573" t="s">
        <v>11</v>
      </c>
      <c r="W32" s="1574">
        <f t="shared" si="14"/>
        <v>100</v>
      </c>
      <c r="X32" s="1567"/>
      <c r="Y32" s="3712"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712"/>
      <c r="Q33" s="1605" t="str">
        <f t="shared" si="11"/>
        <v>项目建筑规模</v>
      </c>
      <c r="R33" s="1577" t="s">
        <v>11</v>
      </c>
      <c r="S33" s="1578" t="e">
        <f t="shared" si="12"/>
        <v>#N/A</v>
      </c>
      <c r="T33" s="1577" t="s">
        <v>11</v>
      </c>
      <c r="U33" s="1578" t="e">
        <f t="shared" si="13"/>
        <v>#N/A</v>
      </c>
      <c r="V33" s="1577" t="s">
        <v>11</v>
      </c>
      <c r="W33" s="1578" t="e">
        <f t="shared" si="14"/>
        <v>#N/A</v>
      </c>
      <c r="X33" s="1579"/>
      <c r="Y33" s="371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712"/>
      <c r="Q34" s="1572" t="str">
        <f t="shared" si="11"/>
        <v>建筑结构</v>
      </c>
      <c r="R34" s="1573" t="s">
        <v>11</v>
      </c>
      <c r="S34" s="1574">
        <f t="shared" si="12"/>
        <v>100</v>
      </c>
      <c r="T34" s="1573" t="s">
        <v>11</v>
      </c>
      <c r="U34" s="1574">
        <f t="shared" si="13"/>
        <v>100</v>
      </c>
      <c r="V34" s="1573" t="s">
        <v>11</v>
      </c>
      <c r="W34" s="1574">
        <f t="shared" si="14"/>
        <v>100</v>
      </c>
      <c r="X34" s="1567"/>
      <c r="Y34" s="3712"/>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712"/>
      <c r="Q35" s="1572" t="str">
        <f t="shared" si="11"/>
        <v>建筑品质</v>
      </c>
      <c r="R35" s="1573" t="s">
        <v>11</v>
      </c>
      <c r="S35" s="1574">
        <f t="shared" si="12"/>
        <v>100</v>
      </c>
      <c r="T35" s="1573" t="s">
        <v>11</v>
      </c>
      <c r="U35" s="1574">
        <f t="shared" si="13"/>
        <v>100</v>
      </c>
      <c r="V35" s="1573" t="s">
        <v>11</v>
      </c>
      <c r="W35" s="1574">
        <f t="shared" si="14"/>
        <v>100</v>
      </c>
      <c r="X35" s="1567"/>
      <c r="Y35" s="3712"/>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712"/>
      <c r="Q36" s="1572" t="str">
        <f t="shared" si="11"/>
        <v>公共部分装修</v>
      </c>
      <c r="R36" s="1573" t="s">
        <v>11</v>
      </c>
      <c r="S36" s="1574">
        <f t="shared" si="12"/>
        <v>100</v>
      </c>
      <c r="T36" s="1573" t="s">
        <v>11</v>
      </c>
      <c r="U36" s="1574">
        <f t="shared" si="13"/>
        <v>100</v>
      </c>
      <c r="V36" s="1573" t="s">
        <v>11</v>
      </c>
      <c r="W36" s="1574">
        <f t="shared" si="14"/>
        <v>100</v>
      </c>
      <c r="X36" s="1567"/>
      <c r="Y36" s="3712"/>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712"/>
      <c r="Q37" s="1151" t="str">
        <f t="shared" si="11"/>
        <v>成新度</v>
      </c>
      <c r="R37" s="1568" t="s">
        <v>11</v>
      </c>
      <c r="S37" s="1569" t="e">
        <f t="shared" si="12"/>
        <v>#N/A</v>
      </c>
      <c r="T37" s="1568" t="s">
        <v>11</v>
      </c>
      <c r="U37" s="1569" t="e">
        <f t="shared" si="13"/>
        <v>#N/A</v>
      </c>
      <c r="V37" s="1568" t="s">
        <v>11</v>
      </c>
      <c r="W37" s="1569" t="e">
        <f t="shared" si="14"/>
        <v>#N/A</v>
      </c>
      <c r="X37" s="1570"/>
      <c r="Y37" s="3712"/>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12" t="s">
        <v>549</v>
      </c>
      <c r="Q38" s="1572" t="str">
        <f t="shared" si="11"/>
        <v>物业管理</v>
      </c>
      <c r="R38" s="1573" t="s">
        <v>11</v>
      </c>
      <c r="S38" s="1574">
        <f t="shared" si="12"/>
        <v>100</v>
      </c>
      <c r="T38" s="1573" t="s">
        <v>11</v>
      </c>
      <c r="U38" s="1574">
        <f t="shared" si="13"/>
        <v>100</v>
      </c>
      <c r="V38" s="1573" t="s">
        <v>11</v>
      </c>
      <c r="W38" s="1574">
        <f t="shared" si="14"/>
        <v>100</v>
      </c>
      <c r="X38" s="1567"/>
      <c r="Y38" s="3712"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712"/>
      <c r="Q39" s="1572" t="str">
        <f t="shared" si="11"/>
        <v>市政基础设施</v>
      </c>
      <c r="R39" s="1573" t="s">
        <v>11</v>
      </c>
      <c r="S39" s="1574">
        <f t="shared" si="12"/>
        <v>100</v>
      </c>
      <c r="T39" s="1573" t="s">
        <v>11</v>
      </c>
      <c r="U39" s="1574">
        <f t="shared" si="13"/>
        <v>100</v>
      </c>
      <c r="V39" s="1573" t="s">
        <v>11</v>
      </c>
      <c r="W39" s="1574">
        <f t="shared" si="14"/>
        <v>100</v>
      </c>
      <c r="X39" s="1567"/>
      <c r="Y39" s="3712"/>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12"/>
      <c r="Q40" s="1572" t="str">
        <f t="shared" si="11"/>
        <v>房型</v>
      </c>
      <c r="R40" s="1573" t="s">
        <v>11</v>
      </c>
      <c r="S40" s="1574">
        <f t="shared" si="12"/>
        <v>100</v>
      </c>
      <c r="T40" s="1573" t="s">
        <v>11</v>
      </c>
      <c r="U40" s="1574">
        <f t="shared" si="13"/>
        <v>100</v>
      </c>
      <c r="V40" s="1573" t="s">
        <v>11</v>
      </c>
      <c r="W40" s="1574">
        <f t="shared" si="14"/>
        <v>100</v>
      </c>
      <c r="X40" s="1567"/>
      <c r="Y40" s="3712"/>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12"/>
      <c r="Q41" s="1605" t="str">
        <f t="shared" si="11"/>
        <v>单套/主力户型建筑面积</v>
      </c>
      <c r="R41" s="1577" t="s">
        <v>11</v>
      </c>
      <c r="S41" s="1578">
        <f t="shared" si="12"/>
        <v>100</v>
      </c>
      <c r="T41" s="1577" t="s">
        <v>11</v>
      </c>
      <c r="U41" s="1578">
        <f t="shared" si="13"/>
        <v>100</v>
      </c>
      <c r="V41" s="1577" t="s">
        <v>11</v>
      </c>
      <c r="W41" s="1578">
        <f t="shared" si="14"/>
        <v>100</v>
      </c>
      <c r="X41" s="1579"/>
      <c r="Y41" s="3712"/>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712"/>
      <c r="Q42" s="1572" t="str">
        <f t="shared" si="11"/>
        <v>内部装修</v>
      </c>
      <c r="R42" s="1573" t="s">
        <v>11</v>
      </c>
      <c r="S42" s="1574">
        <f t="shared" si="12"/>
        <v>100</v>
      </c>
      <c r="T42" s="1573" t="s">
        <v>11</v>
      </c>
      <c r="U42" s="1574">
        <f t="shared" si="13"/>
        <v>100</v>
      </c>
      <c r="V42" s="1573" t="s">
        <v>11</v>
      </c>
      <c r="W42" s="1574">
        <f t="shared" si="14"/>
        <v>100</v>
      </c>
      <c r="X42" s="1567"/>
      <c r="Y42" s="3712"/>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12"/>
      <c r="Q43" s="1572" t="str">
        <f t="shared" si="11"/>
        <v>内部装修维护情况</v>
      </c>
      <c r="R43" s="1573" t="s">
        <v>11</v>
      </c>
      <c r="S43" s="1574">
        <f t="shared" si="12"/>
        <v>100</v>
      </c>
      <c r="T43" s="1573" t="s">
        <v>11</v>
      </c>
      <c r="U43" s="1574">
        <f t="shared" si="13"/>
        <v>100</v>
      </c>
      <c r="V43" s="1573" t="s">
        <v>11</v>
      </c>
      <c r="W43" s="1574">
        <f t="shared" si="14"/>
        <v>100</v>
      </c>
      <c r="X43" s="1567"/>
      <c r="Y43" s="371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12"/>
      <c r="Q44" s="1151">
        <f t="shared" si="11"/>
        <v>111</v>
      </c>
      <c r="R44" s="1568" t="s">
        <v>11</v>
      </c>
      <c r="S44" s="1569">
        <f t="shared" si="12"/>
        <v>100</v>
      </c>
      <c r="T44" s="1568" t="s">
        <v>11</v>
      </c>
      <c r="U44" s="1569">
        <f t="shared" si="13"/>
        <v>100</v>
      </c>
      <c r="V44" s="1568" t="s">
        <v>11</v>
      </c>
      <c r="W44" s="1569">
        <f t="shared" si="14"/>
        <v>100</v>
      </c>
      <c r="X44" s="1570"/>
      <c r="Y44" s="371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12"/>
      <c r="Q45" s="1572">
        <f t="shared" si="11"/>
        <v>111</v>
      </c>
      <c r="R45" s="1573" t="s">
        <v>11</v>
      </c>
      <c r="S45" s="1574">
        <f t="shared" si="12"/>
        <v>100</v>
      </c>
      <c r="T45" s="1573" t="s">
        <v>11</v>
      </c>
      <c r="U45" s="1574">
        <f t="shared" si="13"/>
        <v>100</v>
      </c>
      <c r="V45" s="1573" t="s">
        <v>11</v>
      </c>
      <c r="W45" s="1574">
        <f t="shared" si="14"/>
        <v>100</v>
      </c>
      <c r="X45" s="1567"/>
      <c r="Y45" s="371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18"/>
      <c r="Q46" s="1572">
        <f t="shared" si="11"/>
        <v>111</v>
      </c>
      <c r="R46" s="1573" t="s">
        <v>10</v>
      </c>
      <c r="S46" s="1574">
        <f t="shared" si="12"/>
        <v>100</v>
      </c>
      <c r="T46" s="1573" t="s">
        <v>10</v>
      </c>
      <c r="U46" s="1574">
        <f t="shared" si="13"/>
        <v>100</v>
      </c>
      <c r="V46" s="1573" t="s">
        <v>10</v>
      </c>
      <c r="W46" s="1574">
        <f t="shared" si="14"/>
        <v>100</v>
      </c>
      <c r="X46" s="1567"/>
      <c r="Y46" s="3818"/>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707" t="str">
        <f>A47</f>
        <v>成交单价（元/平方米）</v>
      </c>
      <c r="Q47" s="3707"/>
      <c r="R47" s="3817">
        <f>E47</f>
        <v>0</v>
      </c>
      <c r="S47" s="3817"/>
      <c r="T47" s="3817">
        <f>G47</f>
        <v>0</v>
      </c>
      <c r="U47" s="3817"/>
      <c r="V47" s="3817">
        <f>I47</f>
        <v>0</v>
      </c>
      <c r="W47" s="3817"/>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707" t="str">
        <f>A48</f>
        <v>比较价格（元/平方米）</v>
      </c>
      <c r="Q48" s="3707"/>
      <c r="R48" s="3817" t="e">
        <f>IF(F1="售价",ROUND(PRODUCT(R47,AA7:AA46),0),ROUND(PRODUCT(R47,AA7:AA46),1))</f>
        <v>#DIV/0!</v>
      </c>
      <c r="S48" s="3817"/>
      <c r="T48" s="3817" t="e">
        <f>IF(F1="售价",ROUND(PRODUCT(T47,AB7:AB46),0),ROUND(PRODUCT(T47,AB7:AB46),1))</f>
        <v>#DIV/0!</v>
      </c>
      <c r="U48" s="3817"/>
      <c r="V48" s="3817" t="e">
        <f>IF(F1="售价",ROUND(PRODUCT(V47,AC7:AC46),0),ROUND(PRODUCT(V47,AC7:AC46),1))</f>
        <v>#DIV/0!</v>
      </c>
      <c r="W48" s="3817"/>
      <c r="X48" s="1559"/>
      <c r="Y48" s="1559"/>
      <c r="Z48" s="1559"/>
      <c r="AA48" s="1559"/>
      <c r="AB48" s="1559"/>
      <c r="AC48" s="1559"/>
    </row>
    <row r="49" spans="1:29" ht="15.75" thickBot="1">
      <c r="A49" s="621" t="s">
        <v>2936</v>
      </c>
      <c r="B49" s="622"/>
      <c r="C49" s="2661" t="e">
        <f>R49</f>
        <v>#DIV/0!</v>
      </c>
      <c r="D49" s="2661"/>
      <c r="E49" s="2661"/>
      <c r="F49" s="2661"/>
      <c r="G49" s="2661"/>
      <c r="H49" s="2661"/>
      <c r="I49" s="2661"/>
      <c r="J49" s="2661"/>
      <c r="K49" s="1608"/>
      <c r="L49" s="2145"/>
      <c r="M49" s="2146"/>
      <c r="N49" s="2146"/>
      <c r="O49" s="2146"/>
      <c r="P49" s="3728" t="str">
        <f>A49</f>
        <v>估价对象XX用房的比较价格（楼面单价，元/平方米）</v>
      </c>
      <c r="Q49" s="3729"/>
      <c r="R49" s="3816" t="e">
        <f>IF(F1="售价",ROUND(AVERAGE(R48:V48),0),ROUND(AVERAGE(R48:V48),1))</f>
        <v>#DIV/0!</v>
      </c>
      <c r="S49" s="3816"/>
      <c r="T49" s="3816"/>
      <c r="U49" s="3816"/>
      <c r="V49" s="3816"/>
      <c r="W49" s="38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713" t="s">
        <v>521</v>
      </c>
      <c r="D4" s="3714"/>
      <c r="E4" s="3807" t="s">
        <v>522</v>
      </c>
      <c r="F4" s="3808"/>
      <c r="G4" s="3713" t="s">
        <v>523</v>
      </c>
      <c r="H4" s="3714"/>
      <c r="I4" s="3713" t="s">
        <v>524</v>
      </c>
      <c r="J4" s="3714"/>
      <c r="K4" s="514" t="s">
        <v>525</v>
      </c>
      <c r="L4" s="2134"/>
      <c r="M4" s="2135"/>
      <c r="N4" s="2135"/>
      <c r="O4" s="2135"/>
      <c r="P4" s="3715" t="s">
        <v>526</v>
      </c>
      <c r="Q4" s="3716"/>
      <c r="R4" s="3701" t="s">
        <v>522</v>
      </c>
      <c r="S4" s="3702"/>
      <c r="T4" s="3701" t="s">
        <v>523</v>
      </c>
      <c r="U4" s="3702"/>
      <c r="V4" s="3721" t="s">
        <v>524</v>
      </c>
      <c r="W4" s="3721"/>
      <c r="X4" s="1567"/>
      <c r="Y4" s="3701" t="s">
        <v>526</v>
      </c>
      <c r="Z4" s="3702"/>
      <c r="AA4" s="3696" t="s">
        <v>522</v>
      </c>
      <c r="AB4" s="3721" t="s">
        <v>523</v>
      </c>
      <c r="AC4" s="3696" t="s">
        <v>524</v>
      </c>
    </row>
    <row r="5" spans="1:29" ht="15">
      <c r="A5" s="515"/>
      <c r="B5" s="516"/>
      <c r="C5" s="3724" t="s">
        <v>2930</v>
      </c>
      <c r="D5" s="3725"/>
      <c r="E5" s="3815" t="s">
        <v>2931</v>
      </c>
      <c r="F5" s="3810"/>
      <c r="G5" s="3724" t="s">
        <v>2932</v>
      </c>
      <c r="H5" s="3725"/>
      <c r="I5" s="3724" t="s">
        <v>2933</v>
      </c>
      <c r="J5" s="3725"/>
      <c r="K5" s="514"/>
      <c r="L5" s="2134"/>
      <c r="M5" s="2135"/>
      <c r="N5" s="2135"/>
      <c r="O5" s="2135"/>
      <c r="P5" s="3717"/>
      <c r="Q5" s="3718"/>
      <c r="R5" s="3703"/>
      <c r="S5" s="3704"/>
      <c r="T5" s="3703"/>
      <c r="U5" s="3704"/>
      <c r="V5" s="3721"/>
      <c r="W5" s="3721"/>
      <c r="X5" s="1567"/>
      <c r="Y5" s="3703"/>
      <c r="Z5" s="3704"/>
      <c r="AA5" s="3697"/>
      <c r="AB5" s="3721"/>
      <c r="AC5" s="3697"/>
    </row>
    <row r="6" spans="1:29" ht="15.75" thickBot="1">
      <c r="A6" s="517"/>
      <c r="B6" s="518"/>
      <c r="C6" s="3722" t="s">
        <v>2934</v>
      </c>
      <c r="D6" s="3723"/>
      <c r="E6" s="3813" t="s">
        <v>2934</v>
      </c>
      <c r="F6" s="3814"/>
      <c r="G6" s="3722" t="s">
        <v>2934</v>
      </c>
      <c r="H6" s="3723"/>
      <c r="I6" s="3722" t="s">
        <v>2934</v>
      </c>
      <c r="J6" s="3723"/>
      <c r="K6" s="514" t="s">
        <v>527</v>
      </c>
      <c r="L6" s="2134"/>
      <c r="M6" s="2135"/>
      <c r="N6" s="2135"/>
      <c r="O6" s="2135"/>
      <c r="P6" s="3719"/>
      <c r="Q6" s="3720"/>
      <c r="R6" s="3703"/>
      <c r="S6" s="3704"/>
      <c r="T6" s="3705"/>
      <c r="U6" s="3706"/>
      <c r="V6" s="3721"/>
      <c r="W6" s="3721"/>
      <c r="X6" s="1567"/>
      <c r="Y6" s="3705"/>
      <c r="Z6" s="3706"/>
      <c r="AA6" s="3698"/>
      <c r="AB6" s="3721"/>
      <c r="AC6" s="3698"/>
    </row>
    <row r="7" spans="1:29" s="1220" customFormat="1" ht="15.7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9" t="s">
        <v>529</v>
      </c>
      <c r="Q7" s="3708"/>
      <c r="R7" s="1568" t="s">
        <v>8</v>
      </c>
      <c r="S7" s="1569">
        <f t="shared" ref="S7:S15" si="0">F7</f>
        <v>0</v>
      </c>
      <c r="T7" s="1568" t="s">
        <v>8</v>
      </c>
      <c r="U7" s="1569">
        <f t="shared" ref="U7:U15" si="1">H7</f>
        <v>0</v>
      </c>
      <c r="V7" s="1568" t="s">
        <v>8</v>
      </c>
      <c r="W7" s="1569">
        <f t="shared" ref="W7:W15"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9" t="s">
        <v>532</v>
      </c>
      <c r="Q8" s="3700"/>
      <c r="R8" s="1568" t="s">
        <v>8</v>
      </c>
      <c r="S8" s="1569">
        <f t="shared" si="0"/>
        <v>0</v>
      </c>
      <c r="T8" s="1568" t="s">
        <v>8</v>
      </c>
      <c r="U8" s="1569">
        <f t="shared" si="1"/>
        <v>0</v>
      </c>
      <c r="V8" s="1568" t="s">
        <v>8</v>
      </c>
      <c r="W8" s="1569">
        <f t="shared" si="2"/>
        <v>0</v>
      </c>
      <c r="X8" s="1570"/>
      <c r="Y8" s="3699" t="s">
        <v>532</v>
      </c>
      <c r="Z8" s="3700"/>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707" t="s">
        <v>534</v>
      </c>
      <c r="Q9" s="1151" t="str">
        <f t="shared" ref="Q9:Q15" si="6">B9</f>
        <v>用途</v>
      </c>
      <c r="R9" s="1568" t="s">
        <v>8</v>
      </c>
      <c r="S9" s="1569">
        <f t="shared" si="0"/>
        <v>100</v>
      </c>
      <c r="T9" s="1568" t="s">
        <v>8</v>
      </c>
      <c r="U9" s="1569">
        <f t="shared" si="1"/>
        <v>100</v>
      </c>
      <c r="V9" s="1568" t="s">
        <v>8</v>
      </c>
      <c r="W9" s="1569">
        <f t="shared" si="2"/>
        <v>100</v>
      </c>
      <c r="X9" s="1570"/>
      <c r="Y9" s="366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707"/>
      <c r="Q11" s="1151" t="str">
        <f t="shared" si="6"/>
        <v>容积率</v>
      </c>
      <c r="R11" s="1568" t="s">
        <v>8</v>
      </c>
      <c r="S11" s="1569" t="e">
        <f t="shared" si="0"/>
        <v>#N/A</v>
      </c>
      <c r="T11" s="1568" t="s">
        <v>8</v>
      </c>
      <c r="U11" s="1569" t="e">
        <f t="shared" si="1"/>
        <v>#N/A</v>
      </c>
      <c r="V11" s="1568" t="s">
        <v>8</v>
      </c>
      <c r="W11" s="1569" t="e">
        <f t="shared" si="2"/>
        <v>#N/A</v>
      </c>
      <c r="X11" s="1570"/>
      <c r="Y11" s="366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707"/>
      <c r="Q12" s="1151">
        <f t="shared" si="6"/>
        <v>111</v>
      </c>
      <c r="R12" s="1568" t="s">
        <v>8</v>
      </c>
      <c r="S12" s="1569">
        <f t="shared" si="0"/>
        <v>100</v>
      </c>
      <c r="T12" s="1568" t="s">
        <v>8</v>
      </c>
      <c r="U12" s="1569">
        <f t="shared" si="1"/>
        <v>100</v>
      </c>
      <c r="V12" s="1568" t="s">
        <v>8</v>
      </c>
      <c r="W12" s="1569">
        <f t="shared" si="2"/>
        <v>100</v>
      </c>
      <c r="X12" s="1570"/>
      <c r="Y12" s="3664"/>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707"/>
      <c r="Q13" s="1151">
        <f t="shared" si="6"/>
        <v>111</v>
      </c>
      <c r="R13" s="1568" t="s">
        <v>8</v>
      </c>
      <c r="S13" s="1569">
        <f t="shared" si="0"/>
        <v>100</v>
      </c>
      <c r="T13" s="1568" t="s">
        <v>8</v>
      </c>
      <c r="U13" s="1569">
        <f t="shared" si="1"/>
        <v>100</v>
      </c>
      <c r="V13" s="1568" t="s">
        <v>8</v>
      </c>
      <c r="W13" s="1569">
        <f t="shared" si="2"/>
        <v>100</v>
      </c>
      <c r="X13" s="1570"/>
      <c r="Y13" s="3664"/>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707"/>
      <c r="Q14" s="1151">
        <f t="shared" si="6"/>
        <v>111</v>
      </c>
      <c r="R14" s="1568" t="s">
        <v>8</v>
      </c>
      <c r="S14" s="1569">
        <f t="shared" si="0"/>
        <v>100</v>
      </c>
      <c r="T14" s="1568" t="s">
        <v>8</v>
      </c>
      <c r="U14" s="1569">
        <f t="shared" si="1"/>
        <v>100</v>
      </c>
      <c r="V14" s="1568" t="s">
        <v>8</v>
      </c>
      <c r="W14" s="1569">
        <f t="shared" si="2"/>
        <v>100</v>
      </c>
      <c r="X14" s="1570"/>
      <c r="Y14" s="3664"/>
      <c r="Z14" s="1150">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709" t="s">
        <v>539</v>
      </c>
      <c r="Q15" s="1572" t="str">
        <f t="shared" si="6"/>
        <v>商业繁华度</v>
      </c>
      <c r="R15" s="1573" t="s">
        <v>8</v>
      </c>
      <c r="S15" s="1574">
        <f t="shared" si="0"/>
        <v>100</v>
      </c>
      <c r="T15" s="1573" t="s">
        <v>8</v>
      </c>
      <c r="U15" s="1574">
        <f t="shared" si="1"/>
        <v>100</v>
      </c>
      <c r="V15" s="1573" t="s">
        <v>8</v>
      </c>
      <c r="W15" s="1574">
        <f t="shared" si="2"/>
        <v>100</v>
      </c>
      <c r="X15" s="1567"/>
      <c r="Y15" s="3709"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10"/>
      <c r="Q16" s="1572"/>
      <c r="R16" s="1573"/>
      <c r="S16" s="1574"/>
      <c r="T16" s="1573"/>
      <c r="U16" s="1574"/>
      <c r="V16" s="1573"/>
      <c r="W16" s="1574"/>
      <c r="X16" s="1567"/>
      <c r="Y16" s="3710"/>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710"/>
      <c r="Q17" s="1572" t="str">
        <f>B17</f>
        <v>交通便捷度</v>
      </c>
      <c r="R17" s="1573" t="s">
        <v>8</v>
      </c>
      <c r="S17" s="1574">
        <f>F17</f>
        <v>100</v>
      </c>
      <c r="T17" s="1573" t="s">
        <v>8</v>
      </c>
      <c r="U17" s="1574">
        <f>H17</f>
        <v>100</v>
      </c>
      <c r="V17" s="1573" t="s">
        <v>8</v>
      </c>
      <c r="W17" s="1574">
        <f>J17</f>
        <v>100</v>
      </c>
      <c r="X17" s="1567"/>
      <c r="Y17" s="37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10"/>
      <c r="Q18" s="1572"/>
      <c r="R18" s="1573"/>
      <c r="S18" s="1574"/>
      <c r="T18" s="1573"/>
      <c r="U18" s="1574"/>
      <c r="V18" s="1573"/>
      <c r="W18" s="1574"/>
      <c r="X18" s="1567"/>
      <c r="Y18" s="371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710"/>
      <c r="Q19" s="1572" t="str">
        <f>B19</f>
        <v>公共配套设施</v>
      </c>
      <c r="R19" s="1573" t="s">
        <v>8</v>
      </c>
      <c r="S19" s="1574">
        <f>F19</f>
        <v>100</v>
      </c>
      <c r="T19" s="1573" t="s">
        <v>8</v>
      </c>
      <c r="U19" s="1574">
        <f>H19</f>
        <v>100</v>
      </c>
      <c r="V19" s="1573" t="s">
        <v>8</v>
      </c>
      <c r="W19" s="1574">
        <f>J19</f>
        <v>100</v>
      </c>
      <c r="X19" s="1567"/>
      <c r="Y19" s="371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710"/>
      <c r="Q20" s="1572"/>
      <c r="R20" s="1573"/>
      <c r="S20" s="1574"/>
      <c r="T20" s="1573"/>
      <c r="U20" s="1574"/>
      <c r="V20" s="1573"/>
      <c r="W20" s="1574"/>
      <c r="X20" s="1567"/>
      <c r="Y20" s="371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710"/>
      <c r="Q21" s="2604" t="str">
        <f>B21</f>
        <v>基础设施水平</v>
      </c>
      <c r="R21" s="1573" t="s">
        <v>8</v>
      </c>
      <c r="S21" s="1574">
        <f>F21</f>
        <v>100</v>
      </c>
      <c r="T21" s="1573" t="s">
        <v>8</v>
      </c>
      <c r="U21" s="1574">
        <f>H21</f>
        <v>100</v>
      </c>
      <c r="V21" s="1573" t="s">
        <v>8</v>
      </c>
      <c r="W21" s="1574">
        <f>J21</f>
        <v>100</v>
      </c>
      <c r="X21" s="2606"/>
      <c r="Y21" s="371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710"/>
      <c r="Q22" s="2604"/>
      <c r="R22" s="1573"/>
      <c r="S22" s="1574"/>
      <c r="T22" s="1573"/>
      <c r="U22" s="1574"/>
      <c r="V22" s="1573"/>
      <c r="W22" s="1574"/>
      <c r="X22" s="2606"/>
      <c r="Y22" s="3710"/>
      <c r="Z22" s="2605"/>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710"/>
      <c r="Q23" s="1572" t="str">
        <f>B23</f>
        <v>自然及人文环境</v>
      </c>
      <c r="R23" s="1573" t="s">
        <v>8</v>
      </c>
      <c r="S23" s="1574">
        <f>F23</f>
        <v>100</v>
      </c>
      <c r="T23" s="1573" t="s">
        <v>8</v>
      </c>
      <c r="U23" s="1574">
        <f>H23</f>
        <v>100</v>
      </c>
      <c r="V23" s="1573" t="s">
        <v>8</v>
      </c>
      <c r="W23" s="1574">
        <f>J23</f>
        <v>100</v>
      </c>
      <c r="X23" s="1567"/>
      <c r="Y23" s="371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710"/>
      <c r="Q24" s="1572"/>
      <c r="R24" s="1573"/>
      <c r="S24" s="1574"/>
      <c r="T24" s="1573"/>
      <c r="U24" s="1574"/>
      <c r="V24" s="1573"/>
      <c r="W24" s="1574"/>
      <c r="X24" s="1567"/>
      <c r="Y24" s="3710"/>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10"/>
      <c r="Q25" s="1572" t="str">
        <f t="shared" ref="Q25:Q46" si="11">B25</f>
        <v>临街状况</v>
      </c>
      <c r="R25" s="1573" t="s">
        <v>8</v>
      </c>
      <c r="S25" s="1574">
        <f>F25</f>
        <v>100</v>
      </c>
      <c r="T25" s="1573" t="s">
        <v>8</v>
      </c>
      <c r="U25" s="1574">
        <f>H25</f>
        <v>100</v>
      </c>
      <c r="V25" s="1573" t="s">
        <v>8</v>
      </c>
      <c r="W25" s="1574">
        <f>J25</f>
        <v>100</v>
      </c>
      <c r="X25" s="1567"/>
      <c r="Y25" s="3710"/>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10"/>
      <c r="Q26" s="1572" t="str">
        <f t="shared" si="11"/>
        <v>平面位置/可视性</v>
      </c>
      <c r="R26" s="1573" t="s">
        <v>8</v>
      </c>
      <c r="S26" s="1574">
        <f>F26</f>
        <v>100</v>
      </c>
      <c r="T26" s="1573" t="s">
        <v>8</v>
      </c>
      <c r="U26" s="1574">
        <f>H26</f>
        <v>100</v>
      </c>
      <c r="V26" s="1573" t="s">
        <v>8</v>
      </c>
      <c r="W26" s="1574">
        <f>J26</f>
        <v>100</v>
      </c>
      <c r="X26" s="1567"/>
      <c r="Y26" s="3710"/>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10"/>
      <c r="Q27" s="1151" t="str">
        <f t="shared" si="11"/>
        <v>人流量</v>
      </c>
      <c r="R27" s="1568" t="s">
        <v>8</v>
      </c>
      <c r="S27" s="1569">
        <f>F27</f>
        <v>100</v>
      </c>
      <c r="T27" s="1568" t="s">
        <v>8</v>
      </c>
      <c r="U27" s="1569">
        <f>H27</f>
        <v>100</v>
      </c>
      <c r="V27" s="1568" t="s">
        <v>8</v>
      </c>
      <c r="W27" s="1569">
        <f>J27</f>
        <v>100</v>
      </c>
      <c r="X27" s="1570"/>
      <c r="Y27" s="3710"/>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1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1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10"/>
      <c r="Q29" s="1572">
        <f t="shared" si="11"/>
        <v>111</v>
      </c>
      <c r="R29" s="1573" t="s">
        <v>8</v>
      </c>
      <c r="S29" s="1574">
        <f t="shared" si="12"/>
        <v>100</v>
      </c>
      <c r="T29" s="1573" t="s">
        <v>8</v>
      </c>
      <c r="U29" s="1574">
        <f t="shared" si="13"/>
        <v>100</v>
      </c>
      <c r="V29" s="1573" t="s">
        <v>8</v>
      </c>
      <c r="W29" s="1574">
        <f t="shared" si="14"/>
        <v>100</v>
      </c>
      <c r="X29" s="1567"/>
      <c r="Y29" s="371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10"/>
      <c r="Q30" s="1572">
        <f t="shared" si="11"/>
        <v>111</v>
      </c>
      <c r="R30" s="1573" t="s">
        <v>8</v>
      </c>
      <c r="S30" s="1574">
        <f t="shared" si="12"/>
        <v>100</v>
      </c>
      <c r="T30" s="1573" t="s">
        <v>8</v>
      </c>
      <c r="U30" s="1574">
        <f t="shared" si="13"/>
        <v>100</v>
      </c>
      <c r="V30" s="1573" t="s">
        <v>8</v>
      </c>
      <c r="W30" s="1574">
        <f t="shared" si="14"/>
        <v>100</v>
      </c>
      <c r="X30" s="1567"/>
      <c r="Y30" s="371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10"/>
      <c r="Q31" s="1572">
        <f t="shared" si="11"/>
        <v>111</v>
      </c>
      <c r="R31" s="1573" t="s">
        <v>8</v>
      </c>
      <c r="S31" s="1574">
        <f t="shared" si="12"/>
        <v>100</v>
      </c>
      <c r="T31" s="1573" t="s">
        <v>8</v>
      </c>
      <c r="U31" s="1574">
        <f t="shared" si="13"/>
        <v>100</v>
      </c>
      <c r="V31" s="1573" t="s">
        <v>8</v>
      </c>
      <c r="W31" s="1574">
        <f t="shared" si="14"/>
        <v>100</v>
      </c>
      <c r="X31" s="1567"/>
      <c r="Y31" s="3710"/>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11" t="s">
        <v>549</v>
      </c>
      <c r="Q32" s="1572" t="str">
        <f t="shared" si="11"/>
        <v>商业类型</v>
      </c>
      <c r="R32" s="1573" t="s">
        <v>8</v>
      </c>
      <c r="S32" s="1574">
        <f t="shared" si="12"/>
        <v>100</v>
      </c>
      <c r="T32" s="1573" t="s">
        <v>8</v>
      </c>
      <c r="U32" s="1574">
        <f t="shared" si="13"/>
        <v>100</v>
      </c>
      <c r="V32" s="1573" t="s">
        <v>8</v>
      </c>
      <c r="W32" s="1574">
        <f t="shared" si="14"/>
        <v>100</v>
      </c>
      <c r="X32" s="1567"/>
      <c r="Y32" s="3712"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12"/>
      <c r="Q33" s="1605" t="str">
        <f t="shared" si="11"/>
        <v>项目建筑规模</v>
      </c>
      <c r="R33" s="1577" t="s">
        <v>8</v>
      </c>
      <c r="S33" s="1578" t="e">
        <f t="shared" si="12"/>
        <v>#N/A</v>
      </c>
      <c r="T33" s="1577" t="s">
        <v>8</v>
      </c>
      <c r="U33" s="1578" t="e">
        <f t="shared" si="13"/>
        <v>#N/A</v>
      </c>
      <c r="V33" s="1577" t="s">
        <v>8</v>
      </c>
      <c r="W33" s="1578" t="e">
        <f t="shared" si="14"/>
        <v>#N/A</v>
      </c>
      <c r="X33" s="1579"/>
      <c r="Y33" s="371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712"/>
      <c r="Q34" s="1572" t="str">
        <f t="shared" si="11"/>
        <v>建筑结构</v>
      </c>
      <c r="R34" s="1573" t="s">
        <v>8</v>
      </c>
      <c r="S34" s="1574">
        <f t="shared" si="12"/>
        <v>100</v>
      </c>
      <c r="T34" s="1573" t="s">
        <v>8</v>
      </c>
      <c r="U34" s="1574">
        <f t="shared" si="13"/>
        <v>100</v>
      </c>
      <c r="V34" s="1573" t="s">
        <v>8</v>
      </c>
      <c r="W34" s="1574">
        <f t="shared" si="14"/>
        <v>100</v>
      </c>
      <c r="X34" s="1567"/>
      <c r="Y34" s="3712"/>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12"/>
      <c r="Q35" s="1572" t="str">
        <f t="shared" si="11"/>
        <v>公共部分装修</v>
      </c>
      <c r="R35" s="1573" t="s">
        <v>8</v>
      </c>
      <c r="S35" s="1574">
        <f t="shared" si="12"/>
        <v>100</v>
      </c>
      <c r="T35" s="1573" t="s">
        <v>8</v>
      </c>
      <c r="U35" s="1574">
        <f t="shared" si="13"/>
        <v>100</v>
      </c>
      <c r="V35" s="1573" t="s">
        <v>8</v>
      </c>
      <c r="W35" s="1574">
        <f t="shared" si="14"/>
        <v>100</v>
      </c>
      <c r="X35" s="1567"/>
      <c r="Y35" s="3712"/>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712"/>
      <c r="Q36" s="1572" t="str">
        <f t="shared" si="11"/>
        <v>成新度</v>
      </c>
      <c r="R36" s="1573" t="s">
        <v>8</v>
      </c>
      <c r="S36" s="1574" t="e">
        <f t="shared" si="12"/>
        <v>#N/A</v>
      </c>
      <c r="T36" s="1573" t="s">
        <v>8</v>
      </c>
      <c r="U36" s="1574" t="e">
        <f t="shared" si="13"/>
        <v>#N/A</v>
      </c>
      <c r="V36" s="1573" t="s">
        <v>8</v>
      </c>
      <c r="W36" s="1574" t="e">
        <f t="shared" si="14"/>
        <v>#N/A</v>
      </c>
      <c r="X36" s="1567"/>
      <c r="Y36" s="3712"/>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12"/>
      <c r="Q37" s="1151" t="str">
        <f t="shared" si="11"/>
        <v>市政基础设施</v>
      </c>
      <c r="R37" s="1568" t="s">
        <v>8</v>
      </c>
      <c r="S37" s="1569">
        <f t="shared" si="12"/>
        <v>100</v>
      </c>
      <c r="T37" s="1568" t="s">
        <v>8</v>
      </c>
      <c r="U37" s="1569">
        <f t="shared" si="13"/>
        <v>100</v>
      </c>
      <c r="V37" s="1568" t="s">
        <v>8</v>
      </c>
      <c r="W37" s="1569">
        <f t="shared" si="14"/>
        <v>100</v>
      </c>
      <c r="X37" s="1570"/>
      <c r="Y37" s="3712"/>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12" t="s">
        <v>765</v>
      </c>
      <c r="Q38" s="1572" t="str">
        <f t="shared" si="11"/>
        <v>业态</v>
      </c>
      <c r="R38" s="1573" t="s">
        <v>8</v>
      </c>
      <c r="S38" s="1574">
        <f t="shared" si="12"/>
        <v>100</v>
      </c>
      <c r="T38" s="1573" t="s">
        <v>8</v>
      </c>
      <c r="U38" s="1574">
        <f t="shared" si="13"/>
        <v>100</v>
      </c>
      <c r="V38" s="1573" t="s">
        <v>8</v>
      </c>
      <c r="W38" s="1574">
        <f t="shared" si="14"/>
        <v>100</v>
      </c>
      <c r="X38" s="1567"/>
      <c r="Y38" s="3712"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12"/>
      <c r="Q39" s="1572" t="str">
        <f t="shared" si="11"/>
        <v>层高</v>
      </c>
      <c r="R39" s="1573" t="s">
        <v>8</v>
      </c>
      <c r="S39" s="1574">
        <f t="shared" si="12"/>
        <v>100</v>
      </c>
      <c r="T39" s="1573" t="s">
        <v>8</v>
      </c>
      <c r="U39" s="1574">
        <f t="shared" si="13"/>
        <v>100</v>
      </c>
      <c r="V39" s="1573" t="s">
        <v>8</v>
      </c>
      <c r="W39" s="1574">
        <f t="shared" si="14"/>
        <v>100</v>
      </c>
      <c r="X39" s="1567"/>
      <c r="Y39" s="3712"/>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12"/>
      <c r="Q40" s="1572" t="str">
        <f t="shared" si="11"/>
        <v>单套建筑面积</v>
      </c>
      <c r="R40" s="1573" t="s">
        <v>8</v>
      </c>
      <c r="S40" s="1574">
        <f t="shared" si="12"/>
        <v>100</v>
      </c>
      <c r="T40" s="1573" t="s">
        <v>8</v>
      </c>
      <c r="U40" s="1574">
        <f t="shared" si="13"/>
        <v>100</v>
      </c>
      <c r="V40" s="1573" t="s">
        <v>8</v>
      </c>
      <c r="W40" s="1574">
        <f t="shared" si="14"/>
        <v>100</v>
      </c>
      <c r="X40" s="1567"/>
      <c r="Y40" s="3712"/>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12"/>
      <c r="Q41" s="1605" t="str">
        <f t="shared" si="11"/>
        <v>进深比</v>
      </c>
      <c r="R41" s="1577" t="s">
        <v>8</v>
      </c>
      <c r="S41" s="1578">
        <f t="shared" si="12"/>
        <v>100</v>
      </c>
      <c r="T41" s="1577" t="s">
        <v>8</v>
      </c>
      <c r="U41" s="1578">
        <f t="shared" si="13"/>
        <v>100</v>
      </c>
      <c r="V41" s="1577" t="s">
        <v>8</v>
      </c>
      <c r="W41" s="1578">
        <f t="shared" si="14"/>
        <v>100</v>
      </c>
      <c r="X41" s="1579"/>
      <c r="Y41" s="3712"/>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12"/>
      <c r="Q42" s="1572" t="str">
        <f t="shared" si="11"/>
        <v>内部装修</v>
      </c>
      <c r="R42" s="1573" t="s">
        <v>8</v>
      </c>
      <c r="S42" s="1574">
        <f t="shared" si="12"/>
        <v>100</v>
      </c>
      <c r="T42" s="1573" t="s">
        <v>8</v>
      </c>
      <c r="U42" s="1574">
        <f t="shared" si="13"/>
        <v>100</v>
      </c>
      <c r="V42" s="1573" t="s">
        <v>8</v>
      </c>
      <c r="W42" s="1574">
        <f t="shared" si="14"/>
        <v>100</v>
      </c>
      <c r="X42" s="1567"/>
      <c r="Y42" s="3712"/>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12"/>
      <c r="Q43" s="1572" t="str">
        <f t="shared" si="11"/>
        <v>内部装修维护情况</v>
      </c>
      <c r="R43" s="1573" t="s">
        <v>8</v>
      </c>
      <c r="S43" s="1574">
        <f t="shared" si="12"/>
        <v>100</v>
      </c>
      <c r="T43" s="1573" t="s">
        <v>8</v>
      </c>
      <c r="U43" s="1574">
        <f t="shared" si="13"/>
        <v>100</v>
      </c>
      <c r="V43" s="1573" t="s">
        <v>8</v>
      </c>
      <c r="W43" s="1574">
        <f t="shared" si="14"/>
        <v>100</v>
      </c>
      <c r="X43" s="1567"/>
      <c r="Y43" s="371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12"/>
      <c r="Q44" s="1151">
        <f t="shared" si="11"/>
        <v>111</v>
      </c>
      <c r="R44" s="1568" t="s">
        <v>8</v>
      </c>
      <c r="S44" s="1569">
        <f t="shared" si="12"/>
        <v>100</v>
      </c>
      <c r="T44" s="1568" t="s">
        <v>8</v>
      </c>
      <c r="U44" s="1569">
        <f t="shared" si="13"/>
        <v>100</v>
      </c>
      <c r="V44" s="1568" t="s">
        <v>8</v>
      </c>
      <c r="W44" s="1569">
        <f t="shared" si="14"/>
        <v>100</v>
      </c>
      <c r="X44" s="1570"/>
      <c r="Y44" s="371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12"/>
      <c r="Q45" s="1572">
        <f t="shared" si="11"/>
        <v>111</v>
      </c>
      <c r="R45" s="1573" t="s">
        <v>8</v>
      </c>
      <c r="S45" s="1574">
        <f t="shared" si="12"/>
        <v>100</v>
      </c>
      <c r="T45" s="1573" t="s">
        <v>8</v>
      </c>
      <c r="U45" s="1574">
        <f t="shared" si="13"/>
        <v>100</v>
      </c>
      <c r="V45" s="1573" t="s">
        <v>8</v>
      </c>
      <c r="W45" s="1574">
        <f t="shared" si="14"/>
        <v>100</v>
      </c>
      <c r="X45" s="1567"/>
      <c r="Y45" s="371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18"/>
      <c r="Q46" s="1572">
        <f t="shared" si="11"/>
        <v>111</v>
      </c>
      <c r="R46" s="1573" t="s">
        <v>8</v>
      </c>
      <c r="S46" s="1574">
        <f t="shared" si="12"/>
        <v>100</v>
      </c>
      <c r="T46" s="1573" t="s">
        <v>8</v>
      </c>
      <c r="U46" s="1574">
        <f t="shared" si="13"/>
        <v>100</v>
      </c>
      <c r="V46" s="1573" t="s">
        <v>8</v>
      </c>
      <c r="W46" s="1574">
        <f t="shared" si="14"/>
        <v>100</v>
      </c>
      <c r="X46" s="1567"/>
      <c r="Y46" s="3818"/>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707" t="str">
        <f>A47</f>
        <v>成交单价（元/平方米）</v>
      </c>
      <c r="Q47" s="3707"/>
      <c r="R47" s="3817">
        <f>E47</f>
        <v>0</v>
      </c>
      <c r="S47" s="3817"/>
      <c r="T47" s="3817">
        <f>G47</f>
        <v>0</v>
      </c>
      <c r="U47" s="3817"/>
      <c r="V47" s="3817">
        <f>I47</f>
        <v>0</v>
      </c>
      <c r="W47" s="3817"/>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707" t="str">
        <f>A48</f>
        <v>比较价格（元/平方米）</v>
      </c>
      <c r="Q48" s="3707"/>
      <c r="R48" s="3817" t="e">
        <f>IF(F1="售价",ROUND(PRODUCT(R47,AA7:AA46),0),ROUND(PRODUCT(R47,AA7:AA46),1))</f>
        <v>#DIV/0!</v>
      </c>
      <c r="S48" s="3817"/>
      <c r="T48" s="3817" t="e">
        <f>IF(F1="售价",ROUND(PRODUCT(T47,AB7:AB46),0),ROUND(PRODUCT(T47,AB7:AB46),1))</f>
        <v>#DIV/0!</v>
      </c>
      <c r="U48" s="3817"/>
      <c r="V48" s="3817" t="e">
        <f>IF(F1="售价",ROUND(PRODUCT(V47,AC7:AC46),0),ROUND(PRODUCT(V47,AC7:AC46),1))</f>
        <v>#DIV/0!</v>
      </c>
      <c r="W48" s="3817"/>
      <c r="X48" s="1559"/>
      <c r="Y48" s="1559"/>
      <c r="Z48" s="1559"/>
      <c r="AA48" s="1559"/>
      <c r="AB48" s="1559"/>
      <c r="AC48" s="1559"/>
    </row>
    <row r="49" spans="1:29" ht="15.75" thickBot="1">
      <c r="A49" s="621" t="s">
        <v>2936</v>
      </c>
      <c r="B49" s="622"/>
      <c r="C49" s="2661" t="e">
        <f>R49</f>
        <v>#DIV/0!</v>
      </c>
      <c r="D49" s="2661"/>
      <c r="E49" s="2661"/>
      <c r="F49" s="2661"/>
      <c r="G49" s="2661"/>
      <c r="H49" s="2661"/>
      <c r="I49" s="2661"/>
      <c r="J49" s="2661"/>
      <c r="K49" s="1613"/>
      <c r="L49" s="2145"/>
      <c r="M49" s="2146"/>
      <c r="N49" s="2135"/>
      <c r="O49" s="2146"/>
      <c r="P49" s="3728" t="str">
        <f>A49</f>
        <v>估价对象XX用房的比较价格（楼面单价，元/平方米）</v>
      </c>
      <c r="Q49" s="3729"/>
      <c r="R49" s="3816" t="e">
        <f>IF(F1="售价",ROUND(AVERAGE(R48:V48),0),ROUND(AVERAGE(R48:V48),1))</f>
        <v>#DIV/0!</v>
      </c>
      <c r="S49" s="3816"/>
      <c r="T49" s="3816"/>
      <c r="U49" s="3816"/>
      <c r="V49" s="3816"/>
      <c r="W49" s="38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713" t="s">
        <v>521</v>
      </c>
      <c r="D4" s="3714"/>
      <c r="E4" s="3807" t="s">
        <v>522</v>
      </c>
      <c r="F4" s="3808"/>
      <c r="G4" s="3713" t="s">
        <v>523</v>
      </c>
      <c r="H4" s="3714"/>
      <c r="I4" s="3713" t="s">
        <v>524</v>
      </c>
      <c r="J4" s="3714"/>
      <c r="K4" s="514" t="s">
        <v>525</v>
      </c>
      <c r="L4" s="2134"/>
      <c r="M4" s="2135"/>
      <c r="N4" s="2135"/>
      <c r="O4" s="2135"/>
      <c r="P4" s="3819" t="s">
        <v>526</v>
      </c>
      <c r="Q4" s="3716"/>
      <c r="R4" s="3701" t="s">
        <v>522</v>
      </c>
      <c r="S4" s="3702"/>
      <c r="T4" s="3701" t="s">
        <v>523</v>
      </c>
      <c r="U4" s="3702"/>
      <c r="V4" s="3721" t="s">
        <v>524</v>
      </c>
      <c r="W4" s="3721"/>
      <c r="X4" s="1567"/>
      <c r="Y4" s="3701" t="s">
        <v>526</v>
      </c>
      <c r="Z4" s="3702"/>
      <c r="AA4" s="3696" t="s">
        <v>522</v>
      </c>
      <c r="AB4" s="3696" t="s">
        <v>523</v>
      </c>
      <c r="AC4" s="3696" t="s">
        <v>524</v>
      </c>
    </row>
    <row r="5" spans="1:29" ht="15">
      <c r="A5" s="515"/>
      <c r="B5" s="516"/>
      <c r="C5" s="3724" t="s">
        <v>2930</v>
      </c>
      <c r="D5" s="3725"/>
      <c r="E5" s="3815" t="s">
        <v>2931</v>
      </c>
      <c r="F5" s="3810"/>
      <c r="G5" s="3724" t="s">
        <v>2932</v>
      </c>
      <c r="H5" s="3725"/>
      <c r="I5" s="3724" t="s">
        <v>2933</v>
      </c>
      <c r="J5" s="3725"/>
      <c r="K5" s="514"/>
      <c r="L5" s="2134"/>
      <c r="M5" s="2135"/>
      <c r="N5" s="2135"/>
      <c r="O5" s="2135"/>
      <c r="P5" s="3820"/>
      <c r="Q5" s="3718"/>
      <c r="R5" s="3703"/>
      <c r="S5" s="3704"/>
      <c r="T5" s="3703"/>
      <c r="U5" s="3704"/>
      <c r="V5" s="3721"/>
      <c r="W5" s="3721"/>
      <c r="X5" s="1567"/>
      <c r="Y5" s="3703"/>
      <c r="Z5" s="3704"/>
      <c r="AA5" s="3697"/>
      <c r="AB5" s="3697"/>
      <c r="AC5" s="3697"/>
    </row>
    <row r="6" spans="1:29" ht="15.75" thickBot="1">
      <c r="A6" s="517"/>
      <c r="B6" s="518"/>
      <c r="C6" s="3722" t="s">
        <v>2934</v>
      </c>
      <c r="D6" s="3723"/>
      <c r="E6" s="3813" t="s">
        <v>2934</v>
      </c>
      <c r="F6" s="3814"/>
      <c r="G6" s="3722" t="s">
        <v>2934</v>
      </c>
      <c r="H6" s="3723"/>
      <c r="I6" s="3722" t="s">
        <v>2934</v>
      </c>
      <c r="J6" s="3723"/>
      <c r="K6" s="514" t="s">
        <v>527</v>
      </c>
      <c r="L6" s="2134"/>
      <c r="M6" s="2135"/>
      <c r="N6" s="2135"/>
      <c r="O6" s="2135"/>
      <c r="P6" s="3821"/>
      <c r="Q6" s="3720"/>
      <c r="R6" s="3703"/>
      <c r="S6" s="3704"/>
      <c r="T6" s="3705"/>
      <c r="U6" s="3706"/>
      <c r="V6" s="3721"/>
      <c r="W6" s="3721"/>
      <c r="X6" s="1567"/>
      <c r="Y6" s="3705"/>
      <c r="Z6" s="3706"/>
      <c r="AA6" s="3698"/>
      <c r="AB6" s="3698"/>
      <c r="AC6" s="3698"/>
    </row>
    <row r="7" spans="1:29" s="1220" customFormat="1" ht="15.7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08" t="s">
        <v>529</v>
      </c>
      <c r="Q7" s="3708"/>
      <c r="R7" s="1568" t="s">
        <v>8</v>
      </c>
      <c r="S7" s="1569">
        <f t="shared" ref="S7:S15" si="0">F7</f>
        <v>0</v>
      </c>
      <c r="T7" s="1568" t="s">
        <v>8</v>
      </c>
      <c r="U7" s="1569">
        <f t="shared" ref="U7:U15" si="1">H7</f>
        <v>0</v>
      </c>
      <c r="V7" s="1568" t="s">
        <v>8</v>
      </c>
      <c r="W7" s="1569">
        <f t="shared" ref="W7:W15"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08" t="s">
        <v>532</v>
      </c>
      <c r="Q8" s="3700"/>
      <c r="R8" s="1568" t="s">
        <v>8</v>
      </c>
      <c r="S8" s="1569">
        <f t="shared" si="0"/>
        <v>0</v>
      </c>
      <c r="T8" s="1568" t="s">
        <v>8</v>
      </c>
      <c r="U8" s="1569">
        <f t="shared" si="1"/>
        <v>0</v>
      </c>
      <c r="V8" s="1568" t="s">
        <v>8</v>
      </c>
      <c r="W8" s="1569">
        <f t="shared" si="2"/>
        <v>0</v>
      </c>
      <c r="X8" s="1570"/>
      <c r="Y8" s="3699" t="s">
        <v>532</v>
      </c>
      <c r="Z8" s="3700"/>
      <c r="AA8" s="1571" t="e">
        <f t="shared" ref="AA8:AA47" si="3">D8/F8</f>
        <v>#DIV/0!</v>
      </c>
      <c r="AB8" s="1571" t="e">
        <f t="shared" ref="AB8:AB47" si="4">D8/H8</f>
        <v>#DIV/0!</v>
      </c>
      <c r="AC8" s="1571" t="e">
        <f t="shared" ref="AC8:AC47" si="5">D8/J8</f>
        <v>#DIV/0!</v>
      </c>
    </row>
    <row r="9" spans="1:29" s="1220"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707" t="s">
        <v>534</v>
      </c>
      <c r="Q9" s="1151" t="str">
        <f t="shared" ref="Q9:Q15" si="6">B9</f>
        <v>用途</v>
      </c>
      <c r="R9" s="1568" t="s">
        <v>8</v>
      </c>
      <c r="S9" s="1569">
        <f t="shared" si="0"/>
        <v>100</v>
      </c>
      <c r="T9" s="1568" t="s">
        <v>8</v>
      </c>
      <c r="U9" s="1569">
        <f t="shared" si="1"/>
        <v>100</v>
      </c>
      <c r="V9" s="1568" t="s">
        <v>8</v>
      </c>
      <c r="W9" s="1569">
        <f t="shared" si="2"/>
        <v>100</v>
      </c>
      <c r="X9" s="1570"/>
      <c r="Y9" s="366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707"/>
      <c r="Q11" s="1151" t="str">
        <f t="shared" si="6"/>
        <v>容积率</v>
      </c>
      <c r="R11" s="1568" t="s">
        <v>8</v>
      </c>
      <c r="S11" s="1569" t="e">
        <f t="shared" si="0"/>
        <v>#N/A</v>
      </c>
      <c r="T11" s="1568" t="s">
        <v>8</v>
      </c>
      <c r="U11" s="1569" t="e">
        <f t="shared" si="1"/>
        <v>#N/A</v>
      </c>
      <c r="V11" s="1568" t="s">
        <v>8</v>
      </c>
      <c r="W11" s="1569" t="e">
        <f t="shared" si="2"/>
        <v>#N/A</v>
      </c>
      <c r="X11" s="1570"/>
      <c r="Y11" s="366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707"/>
      <c r="Q12" s="1151">
        <f t="shared" si="6"/>
        <v>111</v>
      </c>
      <c r="R12" s="1568" t="s">
        <v>8</v>
      </c>
      <c r="S12" s="1569">
        <f t="shared" si="0"/>
        <v>100</v>
      </c>
      <c r="T12" s="1568" t="s">
        <v>8</v>
      </c>
      <c r="U12" s="1569">
        <f t="shared" si="1"/>
        <v>100</v>
      </c>
      <c r="V12" s="1568" t="s">
        <v>8</v>
      </c>
      <c r="W12" s="1569">
        <f t="shared" si="2"/>
        <v>100</v>
      </c>
      <c r="X12" s="1570"/>
      <c r="Y12" s="3664"/>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707"/>
      <c r="Q13" s="1151">
        <f t="shared" si="6"/>
        <v>111</v>
      </c>
      <c r="R13" s="1568" t="s">
        <v>8</v>
      </c>
      <c r="S13" s="1569">
        <f t="shared" si="0"/>
        <v>100</v>
      </c>
      <c r="T13" s="1568" t="s">
        <v>8</v>
      </c>
      <c r="U13" s="1569">
        <f t="shared" si="1"/>
        <v>100</v>
      </c>
      <c r="V13" s="1568" t="s">
        <v>8</v>
      </c>
      <c r="W13" s="1569">
        <f t="shared" si="2"/>
        <v>100</v>
      </c>
      <c r="X13" s="1570"/>
      <c r="Y13" s="3664"/>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707"/>
      <c r="Q14" s="1151">
        <f t="shared" si="6"/>
        <v>111</v>
      </c>
      <c r="R14" s="1568" t="s">
        <v>8</v>
      </c>
      <c r="S14" s="1569">
        <f t="shared" si="0"/>
        <v>100</v>
      </c>
      <c r="T14" s="1568" t="s">
        <v>8</v>
      </c>
      <c r="U14" s="1569">
        <f t="shared" si="1"/>
        <v>100</v>
      </c>
      <c r="V14" s="1568" t="s">
        <v>8</v>
      </c>
      <c r="W14" s="1569">
        <f t="shared" si="2"/>
        <v>100</v>
      </c>
      <c r="X14" s="1570"/>
      <c r="Y14" s="3664"/>
      <c r="Z14" s="1150">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09" t="s">
        <v>539</v>
      </c>
      <c r="Q15" s="1572" t="str">
        <f t="shared" si="6"/>
        <v>办公集聚程度</v>
      </c>
      <c r="R15" s="1573" t="s">
        <v>8</v>
      </c>
      <c r="S15" s="1574">
        <f t="shared" si="0"/>
        <v>100</v>
      </c>
      <c r="T15" s="1573" t="s">
        <v>8</v>
      </c>
      <c r="U15" s="1574">
        <f t="shared" si="1"/>
        <v>100</v>
      </c>
      <c r="V15" s="1573" t="s">
        <v>8</v>
      </c>
      <c r="W15" s="1574">
        <f t="shared" si="2"/>
        <v>100</v>
      </c>
      <c r="X15" s="1567"/>
      <c r="Y15" s="3709"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710"/>
      <c r="Q16" s="1572"/>
      <c r="R16" s="1573"/>
      <c r="S16" s="1574"/>
      <c r="T16" s="1573"/>
      <c r="U16" s="1574"/>
      <c r="V16" s="1573"/>
      <c r="W16" s="1574"/>
      <c r="X16" s="1567"/>
      <c r="Y16" s="3710"/>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10"/>
      <c r="Q17" s="1572" t="str">
        <f>B17</f>
        <v>交通便捷度</v>
      </c>
      <c r="R17" s="1573" t="s">
        <v>8</v>
      </c>
      <c r="S17" s="1574">
        <f>F17</f>
        <v>100</v>
      </c>
      <c r="T17" s="1573" t="s">
        <v>8</v>
      </c>
      <c r="U17" s="1574">
        <f>H17</f>
        <v>100</v>
      </c>
      <c r="V17" s="1573" t="s">
        <v>8</v>
      </c>
      <c r="W17" s="1574">
        <f>J17</f>
        <v>100</v>
      </c>
      <c r="X17" s="1567"/>
      <c r="Y17" s="371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710"/>
      <c r="Q18" s="1572"/>
      <c r="R18" s="1573"/>
      <c r="S18" s="1574"/>
      <c r="T18" s="1573"/>
      <c r="U18" s="1574"/>
      <c r="V18" s="1573"/>
      <c r="W18" s="1574"/>
      <c r="X18" s="1567"/>
      <c r="Y18" s="3710"/>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10"/>
      <c r="Q19" s="1572" t="str">
        <f>B19</f>
        <v>公共配套设施</v>
      </c>
      <c r="R19" s="1573" t="s">
        <v>8</v>
      </c>
      <c r="S19" s="1574">
        <f>F19</f>
        <v>100</v>
      </c>
      <c r="T19" s="1573" t="s">
        <v>8</v>
      </c>
      <c r="U19" s="1574">
        <f>H19</f>
        <v>100</v>
      </c>
      <c r="V19" s="1573" t="s">
        <v>8</v>
      </c>
      <c r="W19" s="1574">
        <f>J19</f>
        <v>100</v>
      </c>
      <c r="X19" s="1567"/>
      <c r="Y19" s="371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710"/>
      <c r="Q20" s="1572"/>
      <c r="R20" s="1573"/>
      <c r="S20" s="1574"/>
      <c r="T20" s="1573"/>
      <c r="U20" s="1574"/>
      <c r="V20" s="1573"/>
      <c r="W20" s="1574"/>
      <c r="X20" s="1567"/>
      <c r="Y20" s="3710"/>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10"/>
      <c r="Q21" s="2604" t="str">
        <f>B21</f>
        <v>基础设施水平</v>
      </c>
      <c r="R21" s="1573" t="s">
        <v>8</v>
      </c>
      <c r="S21" s="1574">
        <f>F21</f>
        <v>100</v>
      </c>
      <c r="T21" s="1573" t="s">
        <v>8</v>
      </c>
      <c r="U21" s="1574">
        <f>H21</f>
        <v>100</v>
      </c>
      <c r="V21" s="1573" t="s">
        <v>8</v>
      </c>
      <c r="W21" s="1574">
        <f>J21</f>
        <v>100</v>
      </c>
      <c r="X21" s="2606"/>
      <c r="Y21" s="3710"/>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710"/>
      <c r="Q22" s="2604"/>
      <c r="R22" s="1573"/>
      <c r="S22" s="1574"/>
      <c r="T22" s="1573"/>
      <c r="U22" s="1574"/>
      <c r="V22" s="1573"/>
      <c r="W22" s="1574"/>
      <c r="X22" s="2606"/>
      <c r="Y22" s="3710"/>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10"/>
      <c r="Q23" s="1572" t="str">
        <f>B23</f>
        <v>环境质量</v>
      </c>
      <c r="R23" s="1573" t="s">
        <v>8</v>
      </c>
      <c r="S23" s="1574">
        <f>F23</f>
        <v>100</v>
      </c>
      <c r="T23" s="1573" t="s">
        <v>8</v>
      </c>
      <c r="U23" s="1574">
        <f>H23</f>
        <v>100</v>
      </c>
      <c r="V23" s="1573" t="s">
        <v>8</v>
      </c>
      <c r="W23" s="1574">
        <f>J23</f>
        <v>100</v>
      </c>
      <c r="X23" s="1567"/>
      <c r="Y23" s="371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710"/>
      <c r="Q24" s="1572"/>
      <c r="R24" s="1573"/>
      <c r="S24" s="1574"/>
      <c r="T24" s="1573"/>
      <c r="U24" s="1574"/>
      <c r="V24" s="1573"/>
      <c r="W24" s="1574"/>
      <c r="X24" s="1567"/>
      <c r="Y24" s="3710"/>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10"/>
      <c r="Q25" s="1572" t="str">
        <f>B25</f>
        <v>毗邻道路的类型与等级</v>
      </c>
      <c r="R25" s="1573" t="s">
        <v>8</v>
      </c>
      <c r="S25" s="1574">
        <f>F25</f>
        <v>100</v>
      </c>
      <c r="T25" s="1573" t="s">
        <v>8</v>
      </c>
      <c r="U25" s="1574">
        <f>H25</f>
        <v>100</v>
      </c>
      <c r="V25" s="1573" t="s">
        <v>8</v>
      </c>
      <c r="W25" s="1574">
        <f>J25</f>
        <v>100</v>
      </c>
      <c r="X25" s="1567"/>
      <c r="Y25" s="371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710"/>
      <c r="Q26" s="1572"/>
      <c r="R26" s="1573"/>
      <c r="S26" s="1574"/>
      <c r="T26" s="1573"/>
      <c r="U26" s="1574"/>
      <c r="V26" s="1573"/>
      <c r="W26" s="1574"/>
      <c r="X26" s="1567"/>
      <c r="Y26" s="3710"/>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10"/>
      <c r="Q27" s="1572" t="str">
        <f t="shared" ref="Q27:Q47" si="11">B27</f>
        <v>楼层</v>
      </c>
      <c r="R27" s="1573" t="s">
        <v>8</v>
      </c>
      <c r="S27" s="1574">
        <f>F27</f>
        <v>100</v>
      </c>
      <c r="T27" s="1573" t="s">
        <v>8</v>
      </c>
      <c r="U27" s="1574">
        <f>H27</f>
        <v>100</v>
      </c>
      <c r="V27" s="1573" t="s">
        <v>8</v>
      </c>
      <c r="W27" s="1574">
        <f>J27</f>
        <v>100</v>
      </c>
      <c r="X27" s="1567"/>
      <c r="Y27" s="3710"/>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10"/>
      <c r="Q28" s="1151" t="str">
        <f t="shared" si="11"/>
        <v>朝向</v>
      </c>
      <c r="R28" s="1568" t="s">
        <v>8</v>
      </c>
      <c r="S28" s="1569">
        <f>F28</f>
        <v>100</v>
      </c>
      <c r="T28" s="1568" t="s">
        <v>8</v>
      </c>
      <c r="U28" s="1569">
        <f>H28</f>
        <v>100</v>
      </c>
      <c r="V28" s="1568" t="s">
        <v>8</v>
      </c>
      <c r="W28" s="1569">
        <f>J28</f>
        <v>100</v>
      </c>
      <c r="X28" s="1570"/>
      <c r="Y28" s="371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10"/>
      <c r="Q29" s="1572">
        <f t="shared" si="11"/>
        <v>111</v>
      </c>
      <c r="R29" s="1573" t="s">
        <v>8</v>
      </c>
      <c r="S29" s="1574">
        <f t="shared" ref="S29:S47" si="12">F29</f>
        <v>100</v>
      </c>
      <c r="T29" s="1573" t="s">
        <v>8</v>
      </c>
      <c r="U29" s="1574">
        <f t="shared" ref="U29:U47" si="13">H29</f>
        <v>100</v>
      </c>
      <c r="V29" s="1573" t="s">
        <v>8</v>
      </c>
      <c r="W29" s="1574">
        <f t="shared" ref="W29:W47" si="14">J29</f>
        <v>100</v>
      </c>
      <c r="X29" s="1567"/>
      <c r="Y29" s="371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10"/>
      <c r="Q30" s="1572">
        <f t="shared" si="11"/>
        <v>111</v>
      </c>
      <c r="R30" s="1573" t="s">
        <v>8</v>
      </c>
      <c r="S30" s="1574">
        <f t="shared" si="12"/>
        <v>100</v>
      </c>
      <c r="T30" s="1573" t="s">
        <v>8</v>
      </c>
      <c r="U30" s="1574">
        <f t="shared" si="13"/>
        <v>100</v>
      </c>
      <c r="V30" s="1573" t="s">
        <v>8</v>
      </c>
      <c r="W30" s="1574">
        <f t="shared" si="14"/>
        <v>100</v>
      </c>
      <c r="X30" s="1567"/>
      <c r="Y30" s="371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10"/>
      <c r="Q31" s="1572">
        <f t="shared" si="11"/>
        <v>111</v>
      </c>
      <c r="R31" s="1573" t="s">
        <v>8</v>
      </c>
      <c r="S31" s="1574">
        <f t="shared" si="12"/>
        <v>100</v>
      </c>
      <c r="T31" s="1573" t="s">
        <v>8</v>
      </c>
      <c r="U31" s="1574">
        <f t="shared" si="13"/>
        <v>100</v>
      </c>
      <c r="V31" s="1573" t="s">
        <v>8</v>
      </c>
      <c r="W31" s="1574">
        <f t="shared" si="14"/>
        <v>100</v>
      </c>
      <c r="X31" s="1567"/>
      <c r="Y31" s="371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10"/>
      <c r="Q32" s="1572">
        <f t="shared" si="11"/>
        <v>111</v>
      </c>
      <c r="R32" s="1573" t="s">
        <v>8</v>
      </c>
      <c r="S32" s="1574">
        <f t="shared" si="12"/>
        <v>100</v>
      </c>
      <c r="T32" s="1573" t="s">
        <v>8</v>
      </c>
      <c r="U32" s="1574">
        <f t="shared" si="13"/>
        <v>100</v>
      </c>
      <c r="V32" s="1573" t="s">
        <v>8</v>
      </c>
      <c r="W32" s="1574">
        <f t="shared" si="14"/>
        <v>100</v>
      </c>
      <c r="X32" s="1567"/>
      <c r="Y32" s="3710"/>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11" t="s">
        <v>549</v>
      </c>
      <c r="Q33" s="1572" t="str">
        <f t="shared" si="11"/>
        <v>建筑类型</v>
      </c>
      <c r="R33" s="1573" t="s">
        <v>8</v>
      </c>
      <c r="S33" s="1574">
        <f t="shared" si="12"/>
        <v>100</v>
      </c>
      <c r="T33" s="1573" t="s">
        <v>8</v>
      </c>
      <c r="U33" s="1574">
        <f t="shared" si="13"/>
        <v>100</v>
      </c>
      <c r="V33" s="1573" t="s">
        <v>8</v>
      </c>
      <c r="W33" s="1574">
        <f t="shared" si="14"/>
        <v>100</v>
      </c>
      <c r="X33" s="1567"/>
      <c r="Y33" s="3712"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12"/>
      <c r="Q34" s="1605" t="str">
        <f t="shared" si="11"/>
        <v>项目建筑规模</v>
      </c>
      <c r="R34" s="1577" t="s">
        <v>8</v>
      </c>
      <c r="S34" s="1578" t="e">
        <f t="shared" si="12"/>
        <v>#N/A</v>
      </c>
      <c r="T34" s="1577" t="s">
        <v>8</v>
      </c>
      <c r="U34" s="1578" t="e">
        <f t="shared" si="13"/>
        <v>#N/A</v>
      </c>
      <c r="V34" s="1577" t="s">
        <v>8</v>
      </c>
      <c r="W34" s="1578" t="e">
        <f t="shared" si="14"/>
        <v>#N/A</v>
      </c>
      <c r="X34" s="1579"/>
      <c r="Y34" s="3712"/>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12"/>
      <c r="Q35" s="1572" t="str">
        <f t="shared" si="11"/>
        <v>建筑结构</v>
      </c>
      <c r="R35" s="1573" t="s">
        <v>8</v>
      </c>
      <c r="S35" s="1574">
        <f t="shared" si="12"/>
        <v>100</v>
      </c>
      <c r="T35" s="1573" t="s">
        <v>8</v>
      </c>
      <c r="U35" s="1574">
        <f t="shared" si="13"/>
        <v>100</v>
      </c>
      <c r="V35" s="1573" t="s">
        <v>8</v>
      </c>
      <c r="W35" s="1574">
        <f t="shared" si="14"/>
        <v>100</v>
      </c>
      <c r="X35" s="1567"/>
      <c r="Y35" s="3712"/>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12"/>
      <c r="Q36" s="1572" t="str">
        <f t="shared" si="11"/>
        <v>公共部分装修</v>
      </c>
      <c r="R36" s="1573" t="s">
        <v>8</v>
      </c>
      <c r="S36" s="1574">
        <f t="shared" si="12"/>
        <v>100</v>
      </c>
      <c r="T36" s="1573" t="s">
        <v>8</v>
      </c>
      <c r="U36" s="1574">
        <f t="shared" si="13"/>
        <v>100</v>
      </c>
      <c r="V36" s="1573" t="s">
        <v>8</v>
      </c>
      <c r="W36" s="1574">
        <f t="shared" si="14"/>
        <v>100</v>
      </c>
      <c r="X36" s="1567"/>
      <c r="Y36" s="3712"/>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12"/>
      <c r="Q37" s="1572" t="str">
        <f t="shared" si="11"/>
        <v>成新度</v>
      </c>
      <c r="R37" s="1573" t="s">
        <v>8</v>
      </c>
      <c r="S37" s="1574" t="e">
        <f t="shared" si="12"/>
        <v>#N/A</v>
      </c>
      <c r="T37" s="1573" t="s">
        <v>8</v>
      </c>
      <c r="U37" s="1574" t="e">
        <f t="shared" si="13"/>
        <v>#N/A</v>
      </c>
      <c r="V37" s="1573" t="s">
        <v>8</v>
      </c>
      <c r="W37" s="1574" t="e">
        <f t="shared" si="14"/>
        <v>#N/A</v>
      </c>
      <c r="X37" s="1567"/>
      <c r="Y37" s="3712"/>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12"/>
      <c r="Q38" s="1151" t="str">
        <f t="shared" si="11"/>
        <v>写字楼等级</v>
      </c>
      <c r="R38" s="1568" t="s">
        <v>8</v>
      </c>
      <c r="S38" s="1569">
        <f t="shared" si="12"/>
        <v>100</v>
      </c>
      <c r="T38" s="1568" t="s">
        <v>8</v>
      </c>
      <c r="U38" s="1569">
        <f t="shared" si="13"/>
        <v>100</v>
      </c>
      <c r="V38" s="1568" t="s">
        <v>8</v>
      </c>
      <c r="W38" s="1569">
        <f t="shared" si="14"/>
        <v>100</v>
      </c>
      <c r="X38" s="1570"/>
      <c r="Y38" s="3712"/>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12" t="s">
        <v>549</v>
      </c>
      <c r="Q39" s="1572" t="str">
        <f t="shared" si="11"/>
        <v>物业管理</v>
      </c>
      <c r="R39" s="1573" t="s">
        <v>8</v>
      </c>
      <c r="S39" s="1574">
        <f t="shared" si="12"/>
        <v>100</v>
      </c>
      <c r="T39" s="1573" t="s">
        <v>8</v>
      </c>
      <c r="U39" s="1574">
        <f t="shared" si="13"/>
        <v>100</v>
      </c>
      <c r="V39" s="1573" t="s">
        <v>8</v>
      </c>
      <c r="W39" s="1574">
        <f t="shared" si="14"/>
        <v>100</v>
      </c>
      <c r="X39" s="1567"/>
      <c r="Y39" s="3712"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12"/>
      <c r="Q40" s="1572" t="str">
        <f t="shared" si="11"/>
        <v>市政基础设施</v>
      </c>
      <c r="R40" s="1573" t="s">
        <v>8</v>
      </c>
      <c r="S40" s="1574">
        <f t="shared" si="12"/>
        <v>100</v>
      </c>
      <c r="T40" s="1573" t="s">
        <v>8</v>
      </c>
      <c r="U40" s="1574">
        <f t="shared" si="13"/>
        <v>100</v>
      </c>
      <c r="V40" s="1573" t="s">
        <v>8</v>
      </c>
      <c r="W40" s="1574">
        <f t="shared" si="14"/>
        <v>100</v>
      </c>
      <c r="X40" s="1567"/>
      <c r="Y40" s="3712"/>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12"/>
      <c r="Q41" s="1572" t="str">
        <f t="shared" si="11"/>
        <v>层高</v>
      </c>
      <c r="R41" s="1573" t="s">
        <v>8</v>
      </c>
      <c r="S41" s="1574">
        <f t="shared" si="12"/>
        <v>100</v>
      </c>
      <c r="T41" s="1573" t="s">
        <v>8</v>
      </c>
      <c r="U41" s="1574">
        <f t="shared" si="13"/>
        <v>100</v>
      </c>
      <c r="V41" s="1573" t="s">
        <v>8</v>
      </c>
      <c r="W41" s="1574">
        <f t="shared" si="14"/>
        <v>100</v>
      </c>
      <c r="X41" s="1567"/>
      <c r="Y41" s="3712"/>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12"/>
      <c r="Q42" s="1605" t="str">
        <f t="shared" si="11"/>
        <v>单套建筑面积</v>
      </c>
      <c r="R42" s="1577" t="s">
        <v>8</v>
      </c>
      <c r="S42" s="1578">
        <f t="shared" si="12"/>
        <v>100</v>
      </c>
      <c r="T42" s="1577" t="s">
        <v>8</v>
      </c>
      <c r="U42" s="1578">
        <f t="shared" si="13"/>
        <v>100</v>
      </c>
      <c r="V42" s="1577" t="s">
        <v>8</v>
      </c>
      <c r="W42" s="1578">
        <f t="shared" si="14"/>
        <v>100</v>
      </c>
      <c r="X42" s="1579"/>
      <c r="Y42" s="3712"/>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12"/>
      <c r="Q43" s="1572" t="str">
        <f t="shared" si="11"/>
        <v>内部装修</v>
      </c>
      <c r="R43" s="1573" t="s">
        <v>8</v>
      </c>
      <c r="S43" s="1574">
        <f t="shared" si="12"/>
        <v>100</v>
      </c>
      <c r="T43" s="1573" t="s">
        <v>8</v>
      </c>
      <c r="U43" s="1574">
        <f t="shared" si="13"/>
        <v>100</v>
      </c>
      <c r="V43" s="1573" t="s">
        <v>8</v>
      </c>
      <c r="W43" s="1574">
        <f t="shared" si="14"/>
        <v>100</v>
      </c>
      <c r="X43" s="1567"/>
      <c r="Y43" s="3712"/>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12"/>
      <c r="Q44" s="1572" t="str">
        <f t="shared" si="11"/>
        <v>内部装修维护情况</v>
      </c>
      <c r="R44" s="1573" t="s">
        <v>8</v>
      </c>
      <c r="S44" s="1574">
        <f t="shared" si="12"/>
        <v>100</v>
      </c>
      <c r="T44" s="1573" t="s">
        <v>8</v>
      </c>
      <c r="U44" s="1574">
        <f t="shared" si="13"/>
        <v>100</v>
      </c>
      <c r="V44" s="1573" t="s">
        <v>8</v>
      </c>
      <c r="W44" s="1574">
        <f t="shared" si="14"/>
        <v>100</v>
      </c>
      <c r="X44" s="1567"/>
      <c r="Y44" s="371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12"/>
      <c r="Q45" s="1151">
        <f t="shared" si="11"/>
        <v>111</v>
      </c>
      <c r="R45" s="1568" t="s">
        <v>8</v>
      </c>
      <c r="S45" s="1569">
        <f t="shared" si="12"/>
        <v>100</v>
      </c>
      <c r="T45" s="1568" t="s">
        <v>8</v>
      </c>
      <c r="U45" s="1569">
        <f t="shared" si="13"/>
        <v>100</v>
      </c>
      <c r="V45" s="1568" t="s">
        <v>8</v>
      </c>
      <c r="W45" s="1569">
        <f t="shared" si="14"/>
        <v>100</v>
      </c>
      <c r="X45" s="1570"/>
      <c r="Y45" s="371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12"/>
      <c r="Q46" s="1572">
        <f t="shared" si="11"/>
        <v>111</v>
      </c>
      <c r="R46" s="1573" t="s">
        <v>8</v>
      </c>
      <c r="S46" s="1574">
        <f t="shared" si="12"/>
        <v>100</v>
      </c>
      <c r="T46" s="1573" t="s">
        <v>8</v>
      </c>
      <c r="U46" s="1574">
        <f t="shared" si="13"/>
        <v>100</v>
      </c>
      <c r="V46" s="1573" t="s">
        <v>8</v>
      </c>
      <c r="W46" s="1574">
        <f t="shared" si="14"/>
        <v>100</v>
      </c>
      <c r="X46" s="1567"/>
      <c r="Y46" s="371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18"/>
      <c r="Q47" s="1572">
        <f t="shared" si="11"/>
        <v>111</v>
      </c>
      <c r="R47" s="1573" t="s">
        <v>8</v>
      </c>
      <c r="S47" s="1574">
        <f t="shared" si="12"/>
        <v>100</v>
      </c>
      <c r="T47" s="1573" t="s">
        <v>8</v>
      </c>
      <c r="U47" s="1574">
        <f t="shared" si="13"/>
        <v>100</v>
      </c>
      <c r="V47" s="1573" t="s">
        <v>8</v>
      </c>
      <c r="W47" s="1574">
        <f t="shared" si="14"/>
        <v>100</v>
      </c>
      <c r="X47" s="1567"/>
      <c r="Y47" s="3818"/>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729" t="str">
        <f>A48</f>
        <v>成交单价（元/平方米）</v>
      </c>
      <c r="Q48" s="3707"/>
      <c r="R48" s="3817">
        <f>E48</f>
        <v>0</v>
      </c>
      <c r="S48" s="3817"/>
      <c r="T48" s="3817">
        <f>G48</f>
        <v>0</v>
      </c>
      <c r="U48" s="3817"/>
      <c r="V48" s="3817">
        <f>I48</f>
        <v>0</v>
      </c>
      <c r="W48" s="3817"/>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729" t="str">
        <f>A49</f>
        <v>比较价格（元/平方米）</v>
      </c>
      <c r="Q49" s="3707"/>
      <c r="R49" s="3817" t="e">
        <f>IF(F1="售价",ROUND(PRODUCT(R48,AA7:AA47),0),ROUND(PRODUCT(R48,AA7:AA47),1))</f>
        <v>#DIV/0!</v>
      </c>
      <c r="S49" s="3817"/>
      <c r="T49" s="3817" t="e">
        <f>IF(F1="售价",ROUND(PRODUCT(T48,AB7:AB47),0),ROUND(PRODUCT(T48,AB7:AB47),1))</f>
        <v>#DIV/0!</v>
      </c>
      <c r="U49" s="3817"/>
      <c r="V49" s="3817" t="e">
        <f>IF(F1="售价",ROUND(PRODUCT(V48,AC7:AC47),0),ROUND(PRODUCT(V48,AC7:AC47),1))</f>
        <v>#DIV/0!</v>
      </c>
      <c r="W49" s="3817"/>
      <c r="X49" s="1559"/>
      <c r="Y49" s="1559"/>
      <c r="Z49" s="1559"/>
      <c r="AA49" s="1559"/>
      <c r="AB49" s="1559"/>
      <c r="AC49" s="1559"/>
    </row>
    <row r="50" spans="1:29" ht="15.75" thickBot="1">
      <c r="A50" s="621" t="s">
        <v>2936</v>
      </c>
      <c r="B50" s="622"/>
      <c r="C50" s="2661" t="e">
        <f>R50</f>
        <v>#DIV/0!</v>
      </c>
      <c r="D50" s="2661"/>
      <c r="E50" s="2661"/>
      <c r="F50" s="2661"/>
      <c r="G50" s="2661"/>
      <c r="H50" s="2661"/>
      <c r="I50" s="2661"/>
      <c r="J50" s="2661"/>
      <c r="K50" s="1613"/>
      <c r="L50" s="2145"/>
      <c r="M50" s="2135"/>
      <c r="N50" s="2135"/>
      <c r="O50" s="2135"/>
      <c r="P50" s="3822" t="str">
        <f>A50</f>
        <v>估价对象XX用房的比较价格（楼面单价，元/平方米）</v>
      </c>
      <c r="Q50" s="3729"/>
      <c r="R50" s="3816" t="e">
        <f>IF(F1="售价",ROUND(AVERAGE(R49:V49),0),ROUND(AVERAGE(R49:V49),1))</f>
        <v>#DIV/0!</v>
      </c>
      <c r="S50" s="3816"/>
      <c r="T50" s="3816"/>
      <c r="U50" s="3816"/>
      <c r="V50" s="3816"/>
      <c r="W50" s="381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713" t="s">
        <v>521</v>
      </c>
      <c r="D4" s="3714"/>
      <c r="E4" s="3807" t="s">
        <v>522</v>
      </c>
      <c r="F4" s="3808"/>
      <c r="G4" s="3713" t="s">
        <v>523</v>
      </c>
      <c r="H4" s="3714"/>
      <c r="I4" s="3713" t="s">
        <v>524</v>
      </c>
      <c r="J4" s="3714"/>
      <c r="K4" s="514" t="s">
        <v>525</v>
      </c>
      <c r="L4" s="2134"/>
      <c r="M4" s="2135"/>
      <c r="N4" s="2135"/>
      <c r="O4" s="2135"/>
      <c r="P4" s="3715" t="s">
        <v>526</v>
      </c>
      <c r="Q4" s="3716"/>
      <c r="R4" s="3701" t="s">
        <v>522</v>
      </c>
      <c r="S4" s="3702"/>
      <c r="T4" s="3701" t="s">
        <v>523</v>
      </c>
      <c r="U4" s="3702"/>
      <c r="V4" s="3721" t="s">
        <v>524</v>
      </c>
      <c r="W4" s="3721"/>
      <c r="X4" s="1567"/>
      <c r="Y4" s="3701" t="s">
        <v>526</v>
      </c>
      <c r="Z4" s="3702"/>
      <c r="AA4" s="3696" t="s">
        <v>522</v>
      </c>
      <c r="AB4" s="3697" t="s">
        <v>523</v>
      </c>
      <c r="AC4" s="3696" t="s">
        <v>524</v>
      </c>
    </row>
    <row r="5" spans="1:29" ht="15">
      <c r="A5" s="515"/>
      <c r="B5" s="516"/>
      <c r="C5" s="3724" t="s">
        <v>2930</v>
      </c>
      <c r="D5" s="3725"/>
      <c r="E5" s="3815" t="s">
        <v>2931</v>
      </c>
      <c r="F5" s="3810"/>
      <c r="G5" s="3724" t="s">
        <v>2932</v>
      </c>
      <c r="H5" s="3725"/>
      <c r="I5" s="3724" t="s">
        <v>2933</v>
      </c>
      <c r="J5" s="3725"/>
      <c r="K5" s="514"/>
      <c r="L5" s="2134"/>
      <c r="M5" s="2135"/>
      <c r="N5" s="2135"/>
      <c r="O5" s="2135"/>
      <c r="P5" s="3717"/>
      <c r="Q5" s="3718"/>
      <c r="R5" s="3703"/>
      <c r="S5" s="3704"/>
      <c r="T5" s="3703"/>
      <c r="U5" s="3704"/>
      <c r="V5" s="3721"/>
      <c r="W5" s="3721"/>
      <c r="X5" s="1567"/>
      <c r="Y5" s="3703"/>
      <c r="Z5" s="3704"/>
      <c r="AA5" s="3697"/>
      <c r="AB5" s="3697"/>
      <c r="AC5" s="3697"/>
    </row>
    <row r="6" spans="1:29" ht="15.75" thickBot="1">
      <c r="A6" s="517"/>
      <c r="B6" s="518"/>
      <c r="C6" s="3722" t="s">
        <v>2934</v>
      </c>
      <c r="D6" s="3723"/>
      <c r="E6" s="3813" t="s">
        <v>2934</v>
      </c>
      <c r="F6" s="3814"/>
      <c r="G6" s="3722" t="s">
        <v>2934</v>
      </c>
      <c r="H6" s="3723"/>
      <c r="I6" s="3722" t="s">
        <v>2934</v>
      </c>
      <c r="J6" s="3723"/>
      <c r="K6" s="514" t="s">
        <v>527</v>
      </c>
      <c r="L6" s="2134"/>
      <c r="M6" s="2135"/>
      <c r="N6" s="2135"/>
      <c r="O6" s="2135"/>
      <c r="P6" s="3719"/>
      <c r="Q6" s="3720"/>
      <c r="R6" s="3703"/>
      <c r="S6" s="3704"/>
      <c r="T6" s="3705"/>
      <c r="U6" s="3706"/>
      <c r="V6" s="3721"/>
      <c r="W6" s="3721"/>
      <c r="X6" s="1567"/>
      <c r="Y6" s="3705"/>
      <c r="Z6" s="3706"/>
      <c r="AA6" s="3698"/>
      <c r="AB6" s="3698"/>
      <c r="AC6" s="3698"/>
    </row>
    <row r="7" spans="1:29" s="1220" customFormat="1" ht="15.7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9" t="s">
        <v>529</v>
      </c>
      <c r="Q7" s="3708"/>
      <c r="R7" s="1568" t="s">
        <v>8</v>
      </c>
      <c r="S7" s="1569">
        <f t="shared" ref="S7:S15" si="0">F7</f>
        <v>0</v>
      </c>
      <c r="T7" s="1568" t="s">
        <v>8</v>
      </c>
      <c r="U7" s="1569">
        <f t="shared" ref="U7:U15" si="1">H7</f>
        <v>0</v>
      </c>
      <c r="V7" s="1568" t="s">
        <v>8</v>
      </c>
      <c r="W7" s="1569">
        <f t="shared" ref="W7:W15"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9" t="s">
        <v>532</v>
      </c>
      <c r="Q8" s="3700"/>
      <c r="R8" s="1568" t="s">
        <v>8</v>
      </c>
      <c r="S8" s="1569">
        <f t="shared" si="0"/>
        <v>0</v>
      </c>
      <c r="T8" s="1568" t="s">
        <v>8</v>
      </c>
      <c r="U8" s="1569">
        <f t="shared" si="1"/>
        <v>0</v>
      </c>
      <c r="V8" s="1568" t="s">
        <v>8</v>
      </c>
      <c r="W8" s="1569">
        <f t="shared" si="2"/>
        <v>0</v>
      </c>
      <c r="X8" s="1570"/>
      <c r="Y8" s="3699" t="s">
        <v>532</v>
      </c>
      <c r="Z8" s="3700"/>
      <c r="AA8" s="1571" t="e">
        <f t="shared" ref="AA8:AA40" si="3">D8/F8</f>
        <v>#DIV/0!</v>
      </c>
      <c r="AB8" s="1571" t="e">
        <f t="shared" ref="AB8:AB40" si="4">D8/H8</f>
        <v>#DIV/0!</v>
      </c>
      <c r="AC8" s="1571" t="e">
        <f t="shared" ref="AC8:AC40" si="5">D8/J8</f>
        <v>#DIV/0!</v>
      </c>
    </row>
    <row r="9" spans="1:29" s="1220"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707" t="s">
        <v>534</v>
      </c>
      <c r="Q9" s="1151" t="str">
        <f t="shared" ref="Q9:Q15" si="6">B9</f>
        <v>用途</v>
      </c>
      <c r="R9" s="1568" t="s">
        <v>8</v>
      </c>
      <c r="S9" s="1569">
        <f t="shared" si="0"/>
        <v>100</v>
      </c>
      <c r="T9" s="1568" t="s">
        <v>8</v>
      </c>
      <c r="U9" s="1569">
        <f t="shared" si="1"/>
        <v>100</v>
      </c>
      <c r="V9" s="1568" t="s">
        <v>8</v>
      </c>
      <c r="W9" s="1569">
        <f t="shared" si="2"/>
        <v>100</v>
      </c>
      <c r="X9" s="1570"/>
      <c r="Y9" s="3664"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707"/>
      <c r="Q11" s="1151" t="str">
        <f t="shared" si="6"/>
        <v>容积率</v>
      </c>
      <c r="R11" s="1568" t="s">
        <v>8</v>
      </c>
      <c r="S11" s="1569" t="e">
        <f t="shared" si="0"/>
        <v>#N/A</v>
      </c>
      <c r="T11" s="1568" t="s">
        <v>8</v>
      </c>
      <c r="U11" s="1569" t="e">
        <f t="shared" si="1"/>
        <v>#N/A</v>
      </c>
      <c r="V11" s="1568" t="s">
        <v>8</v>
      </c>
      <c r="W11" s="1569" t="e">
        <f t="shared" si="2"/>
        <v>#N/A</v>
      </c>
      <c r="X11" s="1570"/>
      <c r="Y11" s="366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707"/>
      <c r="Q12" s="1151">
        <f t="shared" si="6"/>
        <v>111</v>
      </c>
      <c r="R12" s="1568" t="s">
        <v>8</v>
      </c>
      <c r="S12" s="1569">
        <f t="shared" si="0"/>
        <v>100</v>
      </c>
      <c r="T12" s="1568" t="s">
        <v>8</v>
      </c>
      <c r="U12" s="1569">
        <f t="shared" si="1"/>
        <v>100</v>
      </c>
      <c r="V12" s="1568" t="s">
        <v>8</v>
      </c>
      <c r="W12" s="1569">
        <f t="shared" si="2"/>
        <v>100</v>
      </c>
      <c r="X12" s="1570"/>
      <c r="Y12" s="3664"/>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707"/>
      <c r="Q13" s="1151">
        <f t="shared" si="6"/>
        <v>111</v>
      </c>
      <c r="R13" s="1568" t="s">
        <v>8</v>
      </c>
      <c r="S13" s="1569">
        <f t="shared" si="0"/>
        <v>100</v>
      </c>
      <c r="T13" s="1568" t="s">
        <v>8</v>
      </c>
      <c r="U13" s="1569">
        <f t="shared" si="1"/>
        <v>100</v>
      </c>
      <c r="V13" s="1568" t="s">
        <v>8</v>
      </c>
      <c r="W13" s="1569">
        <f t="shared" si="2"/>
        <v>100</v>
      </c>
      <c r="X13" s="1570"/>
      <c r="Y13" s="3664"/>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707"/>
      <c r="Q14" s="1151">
        <f t="shared" si="6"/>
        <v>111</v>
      </c>
      <c r="R14" s="1568" t="s">
        <v>8</v>
      </c>
      <c r="S14" s="1569">
        <f t="shared" si="0"/>
        <v>100</v>
      </c>
      <c r="T14" s="1568" t="s">
        <v>8</v>
      </c>
      <c r="U14" s="1569">
        <f t="shared" si="1"/>
        <v>100</v>
      </c>
      <c r="V14" s="1568" t="s">
        <v>8</v>
      </c>
      <c r="W14" s="1569">
        <f t="shared" si="2"/>
        <v>100</v>
      </c>
      <c r="X14" s="1570"/>
      <c r="Y14" s="3664"/>
      <c r="Z14" s="1150">
        <f t="shared" si="7"/>
        <v>111</v>
      </c>
      <c r="AA14" s="1571">
        <f t="shared" si="3"/>
        <v>1</v>
      </c>
      <c r="AB14" s="1571">
        <f t="shared" si="4"/>
        <v>1</v>
      </c>
      <c r="AC14" s="1571">
        <f t="shared" si="5"/>
        <v>1</v>
      </c>
    </row>
    <row r="15" spans="1:29" ht="57">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09" t="s">
        <v>539</v>
      </c>
      <c r="Q15" s="1572" t="str">
        <f t="shared" si="6"/>
        <v>产业集聚程度</v>
      </c>
      <c r="R15" s="1573" t="s">
        <v>8</v>
      </c>
      <c r="S15" s="1574">
        <f t="shared" si="0"/>
        <v>100</v>
      </c>
      <c r="T15" s="1573" t="s">
        <v>8</v>
      </c>
      <c r="U15" s="1574">
        <f t="shared" si="1"/>
        <v>100</v>
      </c>
      <c r="V15" s="1573" t="s">
        <v>8</v>
      </c>
      <c r="W15" s="1574">
        <f t="shared" si="2"/>
        <v>100</v>
      </c>
      <c r="X15" s="1567"/>
      <c r="Y15" s="3709"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10"/>
      <c r="Q16" s="1572"/>
      <c r="R16" s="1573"/>
      <c r="S16" s="1574"/>
      <c r="T16" s="1573"/>
      <c r="U16" s="1574"/>
      <c r="V16" s="1573"/>
      <c r="W16" s="1574"/>
      <c r="X16" s="1567"/>
      <c r="Y16" s="3710"/>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10"/>
      <c r="Q17" s="1572" t="str">
        <f>B17</f>
        <v>交通便捷度</v>
      </c>
      <c r="R17" s="1573" t="s">
        <v>8</v>
      </c>
      <c r="S17" s="1574">
        <f>F17</f>
        <v>100</v>
      </c>
      <c r="T17" s="1573" t="s">
        <v>8</v>
      </c>
      <c r="U17" s="1574">
        <f>H17</f>
        <v>100</v>
      </c>
      <c r="V17" s="1573" t="s">
        <v>8</v>
      </c>
      <c r="W17" s="1574">
        <f>J17</f>
        <v>100</v>
      </c>
      <c r="X17" s="1567"/>
      <c r="Y17" s="37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10"/>
      <c r="Q18" s="1572"/>
      <c r="R18" s="1573"/>
      <c r="S18" s="1574"/>
      <c r="T18" s="1573"/>
      <c r="U18" s="1574"/>
      <c r="V18" s="1573"/>
      <c r="W18" s="1574"/>
      <c r="X18" s="1567"/>
      <c r="Y18" s="3710"/>
      <c r="Z18" s="1575"/>
      <c r="AA18" s="1576">
        <v>1</v>
      </c>
      <c r="AB18" s="1576">
        <v>1</v>
      </c>
      <c r="AC18" s="1576">
        <v>1</v>
      </c>
    </row>
    <row r="19" spans="1:29" ht="42.75">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10"/>
      <c r="Q19" s="1572" t="str">
        <f>B19</f>
        <v>公共配套设施</v>
      </c>
      <c r="R19" s="1573" t="s">
        <v>8</v>
      </c>
      <c r="S19" s="1574">
        <f>F19</f>
        <v>100</v>
      </c>
      <c r="T19" s="1573" t="s">
        <v>8</v>
      </c>
      <c r="U19" s="1574">
        <f>H19</f>
        <v>100</v>
      </c>
      <c r="V19" s="1573" t="s">
        <v>8</v>
      </c>
      <c r="W19" s="1574">
        <f>J19</f>
        <v>100</v>
      </c>
      <c r="X19" s="1567"/>
      <c r="Y19" s="371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710"/>
      <c r="Q20" s="1572"/>
      <c r="R20" s="1573"/>
      <c r="S20" s="1574"/>
      <c r="T20" s="1573"/>
      <c r="U20" s="1574"/>
      <c r="V20" s="1573"/>
      <c r="W20" s="1574"/>
      <c r="X20" s="1567"/>
      <c r="Y20" s="3710"/>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10"/>
      <c r="Q21" s="2604" t="str">
        <f>B21</f>
        <v>基础设施水平</v>
      </c>
      <c r="R21" s="1573" t="s">
        <v>8</v>
      </c>
      <c r="S21" s="1574">
        <f>F21</f>
        <v>100</v>
      </c>
      <c r="T21" s="1573" t="s">
        <v>8</v>
      </c>
      <c r="U21" s="1574">
        <f>H21</f>
        <v>100</v>
      </c>
      <c r="V21" s="1573" t="s">
        <v>8</v>
      </c>
      <c r="W21" s="1574">
        <f>J21</f>
        <v>100</v>
      </c>
      <c r="X21" s="2606"/>
      <c r="Y21" s="3710"/>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710"/>
      <c r="Q22" s="2604"/>
      <c r="R22" s="1573"/>
      <c r="S22" s="1574"/>
      <c r="T22" s="1573"/>
      <c r="U22" s="1574"/>
      <c r="V22" s="1573"/>
      <c r="W22" s="1574"/>
      <c r="X22" s="2606"/>
      <c r="Y22" s="3710"/>
      <c r="Z22" s="2605"/>
      <c r="AA22" s="1576">
        <v>1</v>
      </c>
      <c r="AB22" s="1576">
        <v>1</v>
      </c>
      <c r="AC22" s="1576">
        <v>1</v>
      </c>
    </row>
    <row r="23" spans="1:29" ht="71.25">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10"/>
      <c r="Q23" s="1572" t="str">
        <f>B23</f>
        <v>环境质量</v>
      </c>
      <c r="R23" s="1573" t="s">
        <v>8</v>
      </c>
      <c r="S23" s="1574">
        <f>F23</f>
        <v>100</v>
      </c>
      <c r="T23" s="1573" t="s">
        <v>8</v>
      </c>
      <c r="U23" s="1574">
        <f>H23</f>
        <v>100</v>
      </c>
      <c r="V23" s="1573" t="s">
        <v>8</v>
      </c>
      <c r="W23" s="1574">
        <f>J23</f>
        <v>100</v>
      </c>
      <c r="X23" s="1567"/>
      <c r="Y23" s="371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710"/>
      <c r="Q24" s="1572"/>
      <c r="R24" s="1573"/>
      <c r="S24" s="1574"/>
      <c r="T24" s="1573"/>
      <c r="U24" s="1574"/>
      <c r="V24" s="1573"/>
      <c r="W24" s="1574"/>
      <c r="X24" s="1567"/>
      <c r="Y24" s="371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10"/>
      <c r="Q25" s="1572">
        <f>B25</f>
        <v>111</v>
      </c>
      <c r="R25" s="1573" t="s">
        <v>8</v>
      </c>
      <c r="S25" s="1574">
        <f>F25</f>
        <v>100</v>
      </c>
      <c r="T25" s="1573" t="s">
        <v>8</v>
      </c>
      <c r="U25" s="1574">
        <f>H25</f>
        <v>100</v>
      </c>
      <c r="V25" s="1573" t="s">
        <v>8</v>
      </c>
      <c r="W25" s="1574">
        <f>J25</f>
        <v>100</v>
      </c>
      <c r="X25" s="1567"/>
      <c r="Y25" s="371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10"/>
      <c r="Q26" s="1572">
        <f t="shared" ref="Q26:Q40" si="11">B26</f>
        <v>111</v>
      </c>
      <c r="R26" s="1573" t="s">
        <v>8</v>
      </c>
      <c r="S26" s="1574">
        <f>F26</f>
        <v>100</v>
      </c>
      <c r="T26" s="1573" t="s">
        <v>8</v>
      </c>
      <c r="U26" s="1574">
        <f>H26</f>
        <v>100</v>
      </c>
      <c r="V26" s="1573" t="s">
        <v>8</v>
      </c>
      <c r="W26" s="1574">
        <f>J26</f>
        <v>100</v>
      </c>
      <c r="X26" s="1567"/>
      <c r="Y26" s="371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10"/>
      <c r="Q27" s="1151">
        <f t="shared" si="11"/>
        <v>111</v>
      </c>
      <c r="R27" s="1568" t="s">
        <v>8</v>
      </c>
      <c r="S27" s="1569">
        <f>F27</f>
        <v>100</v>
      </c>
      <c r="T27" s="1568" t="s">
        <v>8</v>
      </c>
      <c r="U27" s="1569">
        <f>H27</f>
        <v>100</v>
      </c>
      <c r="V27" s="1568" t="s">
        <v>8</v>
      </c>
      <c r="W27" s="1569">
        <f>J27</f>
        <v>100</v>
      </c>
      <c r="X27" s="1570"/>
      <c r="Y27" s="371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10"/>
      <c r="Q28" s="1572">
        <f t="shared" si="11"/>
        <v>111</v>
      </c>
      <c r="R28" s="1573" t="s">
        <v>8</v>
      </c>
      <c r="S28" s="1574">
        <f t="shared" ref="S28:S40" si="12">F28</f>
        <v>100</v>
      </c>
      <c r="T28" s="1573" t="s">
        <v>8</v>
      </c>
      <c r="U28" s="1574">
        <f t="shared" ref="U28:U40" si="13">H28</f>
        <v>100</v>
      </c>
      <c r="V28" s="1573" t="s">
        <v>8</v>
      </c>
      <c r="W28" s="1574">
        <f t="shared" ref="W28:W40" si="14">J28</f>
        <v>100</v>
      </c>
      <c r="X28" s="1567"/>
      <c r="Y28" s="3710"/>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11" t="s">
        <v>549</v>
      </c>
      <c r="Q29" s="1572" t="str">
        <f t="shared" si="11"/>
        <v>建筑类型</v>
      </c>
      <c r="R29" s="1573" t="s">
        <v>8</v>
      </c>
      <c r="S29" s="1574">
        <f t="shared" si="12"/>
        <v>100</v>
      </c>
      <c r="T29" s="1573" t="s">
        <v>8</v>
      </c>
      <c r="U29" s="1574">
        <f t="shared" si="13"/>
        <v>100</v>
      </c>
      <c r="V29" s="1573" t="s">
        <v>8</v>
      </c>
      <c r="W29" s="1574">
        <f t="shared" si="14"/>
        <v>100</v>
      </c>
      <c r="X29" s="1567"/>
      <c r="Y29" s="3712"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12"/>
      <c r="Q30" s="1605" t="str">
        <f t="shared" si="11"/>
        <v>项目建筑规模</v>
      </c>
      <c r="R30" s="1577" t="s">
        <v>8</v>
      </c>
      <c r="S30" s="1578" t="e">
        <f t="shared" si="12"/>
        <v>#N/A</v>
      </c>
      <c r="T30" s="1577" t="s">
        <v>8</v>
      </c>
      <c r="U30" s="1578" t="e">
        <f t="shared" si="13"/>
        <v>#N/A</v>
      </c>
      <c r="V30" s="1577" t="s">
        <v>8</v>
      </c>
      <c r="W30" s="1578" t="e">
        <f t="shared" si="14"/>
        <v>#N/A</v>
      </c>
      <c r="X30" s="1579"/>
      <c r="Y30" s="3712"/>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12"/>
      <c r="Q31" s="1572" t="str">
        <f t="shared" si="11"/>
        <v>建筑结构</v>
      </c>
      <c r="R31" s="1573" t="s">
        <v>8</v>
      </c>
      <c r="S31" s="1574">
        <f t="shared" si="12"/>
        <v>100</v>
      </c>
      <c r="T31" s="1573" t="s">
        <v>8</v>
      </c>
      <c r="U31" s="1574">
        <f t="shared" si="13"/>
        <v>100</v>
      </c>
      <c r="V31" s="1573" t="s">
        <v>8</v>
      </c>
      <c r="W31" s="1574">
        <f t="shared" si="14"/>
        <v>100</v>
      </c>
      <c r="X31" s="1567"/>
      <c r="Y31" s="3712"/>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12"/>
      <c r="Q32" s="1572" t="str">
        <f t="shared" si="11"/>
        <v>公共部分装修</v>
      </c>
      <c r="R32" s="1573" t="s">
        <v>8</v>
      </c>
      <c r="S32" s="1574">
        <f t="shared" si="12"/>
        <v>100</v>
      </c>
      <c r="T32" s="1573" t="s">
        <v>8</v>
      </c>
      <c r="U32" s="1574">
        <f t="shared" si="13"/>
        <v>100</v>
      </c>
      <c r="V32" s="1573" t="s">
        <v>8</v>
      </c>
      <c r="W32" s="1574">
        <f t="shared" si="14"/>
        <v>100</v>
      </c>
      <c r="X32" s="1567"/>
      <c r="Y32" s="3712"/>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12"/>
      <c r="Q33" s="1572" t="str">
        <f t="shared" si="11"/>
        <v>成新度</v>
      </c>
      <c r="R33" s="1573" t="s">
        <v>8</v>
      </c>
      <c r="S33" s="1574" t="e">
        <f t="shared" si="12"/>
        <v>#N/A</v>
      </c>
      <c r="T33" s="1573" t="s">
        <v>8</v>
      </c>
      <c r="U33" s="1574" t="e">
        <f t="shared" si="13"/>
        <v>#N/A</v>
      </c>
      <c r="V33" s="1573" t="s">
        <v>8</v>
      </c>
      <c r="W33" s="1574" t="e">
        <f t="shared" si="14"/>
        <v>#N/A</v>
      </c>
      <c r="X33" s="1567"/>
      <c r="Y33" s="3712"/>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12"/>
      <c r="Q34" s="1151" t="str">
        <f t="shared" si="11"/>
        <v>物业管理</v>
      </c>
      <c r="R34" s="1568" t="s">
        <v>8</v>
      </c>
      <c r="S34" s="1569">
        <f t="shared" si="12"/>
        <v>100</v>
      </c>
      <c r="T34" s="1568" t="s">
        <v>8</v>
      </c>
      <c r="U34" s="1569">
        <f t="shared" si="13"/>
        <v>100</v>
      </c>
      <c r="V34" s="1568" t="s">
        <v>8</v>
      </c>
      <c r="W34" s="1569">
        <f t="shared" si="14"/>
        <v>100</v>
      </c>
      <c r="X34" s="1570"/>
      <c r="Y34" s="3712"/>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12" t="s">
        <v>549</v>
      </c>
      <c r="Q35" s="1572" t="str">
        <f t="shared" si="11"/>
        <v>市政基础设施</v>
      </c>
      <c r="R35" s="1573" t="s">
        <v>8</v>
      </c>
      <c r="S35" s="1574">
        <f t="shared" si="12"/>
        <v>100</v>
      </c>
      <c r="T35" s="1573" t="s">
        <v>8</v>
      </c>
      <c r="U35" s="1574">
        <f t="shared" si="13"/>
        <v>100</v>
      </c>
      <c r="V35" s="1573" t="s">
        <v>8</v>
      </c>
      <c r="W35" s="1574">
        <f t="shared" si="14"/>
        <v>100</v>
      </c>
      <c r="X35" s="1567"/>
      <c r="Y35" s="3712"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12"/>
      <c r="Q36" s="1572" t="str">
        <f t="shared" si="11"/>
        <v>内部装修</v>
      </c>
      <c r="R36" s="1573" t="s">
        <v>8</v>
      </c>
      <c r="S36" s="1574">
        <f t="shared" si="12"/>
        <v>100</v>
      </c>
      <c r="T36" s="1573" t="s">
        <v>8</v>
      </c>
      <c r="U36" s="1574">
        <f t="shared" si="13"/>
        <v>100</v>
      </c>
      <c r="V36" s="1573" t="s">
        <v>8</v>
      </c>
      <c r="W36" s="1574">
        <f t="shared" si="14"/>
        <v>100</v>
      </c>
      <c r="X36" s="1567"/>
      <c r="Y36" s="3712"/>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12"/>
      <c r="Q37" s="1572" t="str">
        <f t="shared" si="11"/>
        <v>内部装修状况</v>
      </c>
      <c r="R37" s="1573" t="s">
        <v>8</v>
      </c>
      <c r="S37" s="1574">
        <f t="shared" si="12"/>
        <v>100</v>
      </c>
      <c r="T37" s="1573" t="s">
        <v>8</v>
      </c>
      <c r="U37" s="1574">
        <f t="shared" si="13"/>
        <v>100</v>
      </c>
      <c r="V37" s="1573" t="s">
        <v>8</v>
      </c>
      <c r="W37" s="1574">
        <f t="shared" si="14"/>
        <v>100</v>
      </c>
      <c r="X37" s="1567"/>
      <c r="Y37" s="371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12"/>
      <c r="Q38" s="1605">
        <f t="shared" si="11"/>
        <v>111</v>
      </c>
      <c r="R38" s="1577" t="s">
        <v>8</v>
      </c>
      <c r="S38" s="1578">
        <f t="shared" si="12"/>
        <v>100</v>
      </c>
      <c r="T38" s="1577" t="s">
        <v>8</v>
      </c>
      <c r="U38" s="1578">
        <f t="shared" si="13"/>
        <v>100</v>
      </c>
      <c r="V38" s="1577" t="s">
        <v>8</v>
      </c>
      <c r="W38" s="1578">
        <f t="shared" si="14"/>
        <v>100</v>
      </c>
      <c r="X38" s="1579"/>
      <c r="Y38" s="371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12"/>
      <c r="Q39" s="1572">
        <f t="shared" si="11"/>
        <v>111</v>
      </c>
      <c r="R39" s="1573" t="s">
        <v>8</v>
      </c>
      <c r="S39" s="1574">
        <f t="shared" si="12"/>
        <v>100</v>
      </c>
      <c r="T39" s="1573" t="s">
        <v>8</v>
      </c>
      <c r="U39" s="1574">
        <f t="shared" si="13"/>
        <v>100</v>
      </c>
      <c r="V39" s="1573" t="s">
        <v>8</v>
      </c>
      <c r="W39" s="1574">
        <f t="shared" si="14"/>
        <v>100</v>
      </c>
      <c r="X39" s="1567"/>
      <c r="Y39" s="371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818"/>
      <c r="Q40" s="1572">
        <f t="shared" si="11"/>
        <v>111</v>
      </c>
      <c r="R40" s="1573" t="s">
        <v>8</v>
      </c>
      <c r="S40" s="1574">
        <f t="shared" si="12"/>
        <v>100</v>
      </c>
      <c r="T40" s="1573" t="s">
        <v>8</v>
      </c>
      <c r="U40" s="1574">
        <f t="shared" si="13"/>
        <v>100</v>
      </c>
      <c r="V40" s="1573" t="s">
        <v>8</v>
      </c>
      <c r="W40" s="1574">
        <f t="shared" si="14"/>
        <v>100</v>
      </c>
      <c r="X40" s="1567"/>
      <c r="Y40" s="3818"/>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707" t="str">
        <f>A41</f>
        <v>成交单价（元/平方米）</v>
      </c>
      <c r="Q41" s="3707"/>
      <c r="R41" s="3817">
        <f>E41</f>
        <v>0</v>
      </c>
      <c r="S41" s="3817"/>
      <c r="T41" s="3817">
        <f>G41</f>
        <v>0</v>
      </c>
      <c r="U41" s="3817"/>
      <c r="V41" s="3817">
        <f>I41</f>
        <v>0</v>
      </c>
      <c r="W41" s="3817"/>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707" t="str">
        <f>A42</f>
        <v>比较价格（元/平方米）</v>
      </c>
      <c r="Q42" s="3707"/>
      <c r="R42" s="3817" t="e">
        <f>IF(F1="售价",ROUND(PRODUCT(R41,AA7:AA40),0),ROUND(PRODUCT(R41,AA7:AA40),1))</f>
        <v>#DIV/0!</v>
      </c>
      <c r="S42" s="3817"/>
      <c r="T42" s="3817" t="e">
        <f>IF(F1="售价",ROUND(PRODUCT(T41,AB7:AB40),0),ROUND(PRODUCT(T41,AB7:AB40),1))</f>
        <v>#DIV/0!</v>
      </c>
      <c r="U42" s="3817"/>
      <c r="V42" s="3817" t="e">
        <f>IF(F1="售价",ROUND(PRODUCT(V41,AC7:AC40),0),ROUND(PRODUCT(V41,AC7:AC40),1))</f>
        <v>#DIV/0!</v>
      </c>
      <c r="W42" s="3817"/>
      <c r="X42" s="1559"/>
      <c r="Y42" s="1559"/>
      <c r="Z42" s="1559"/>
      <c r="AA42" s="1559"/>
      <c r="AB42" s="1559"/>
      <c r="AC42" s="1559"/>
    </row>
    <row r="43" spans="1:29" ht="15.75" thickBot="1">
      <c r="A43" s="621" t="s">
        <v>2936</v>
      </c>
      <c r="B43" s="622"/>
      <c r="C43" s="2661" t="e">
        <f>R43</f>
        <v>#DIV/0!</v>
      </c>
      <c r="D43" s="2661"/>
      <c r="E43" s="2661"/>
      <c r="F43" s="2661"/>
      <c r="G43" s="2661"/>
      <c r="H43" s="2661"/>
      <c r="I43" s="2661"/>
      <c r="J43" s="2661"/>
      <c r="K43" s="1613"/>
      <c r="L43" s="2145"/>
      <c r="M43" s="2146"/>
      <c r="N43" s="2146"/>
      <c r="O43" s="2146"/>
      <c r="P43" s="3728" t="str">
        <f>A43</f>
        <v>估价对象XX用房的比较价格（楼面单价，元/平方米）</v>
      </c>
      <c r="Q43" s="3729"/>
      <c r="R43" s="3816" t="e">
        <f>IF(F1="售价",ROUND(AVERAGE(R42:V42),0),ROUND(AVERAGE(R42:V42),1))</f>
        <v>#DIV/0!</v>
      </c>
      <c r="S43" s="3816"/>
      <c r="T43" s="3816"/>
      <c r="U43" s="3816"/>
      <c r="V43" s="3816"/>
      <c r="W43" s="381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13" t="s">
        <v>797</v>
      </c>
      <c r="D4" s="3714"/>
      <c r="E4" s="3713" t="s">
        <v>798</v>
      </c>
      <c r="F4" s="3714"/>
      <c r="G4" s="3713" t="s">
        <v>799</v>
      </c>
      <c r="H4" s="3714"/>
      <c r="I4" s="3713" t="s">
        <v>800</v>
      </c>
      <c r="J4" s="3714"/>
      <c r="K4" s="514" t="s">
        <v>801</v>
      </c>
      <c r="L4" s="2134"/>
      <c r="M4" s="2135"/>
      <c r="N4" s="2135"/>
      <c r="O4" s="2135"/>
      <c r="P4" s="3715" t="s">
        <v>802</v>
      </c>
      <c r="Q4" s="3716"/>
      <c r="R4" s="3701" t="s">
        <v>798</v>
      </c>
      <c r="S4" s="3702"/>
      <c r="T4" s="3701" t="s">
        <v>799</v>
      </c>
      <c r="U4" s="3702"/>
      <c r="V4" s="3721" t="s">
        <v>800</v>
      </c>
      <c r="W4" s="3721"/>
      <c r="X4" s="1567"/>
      <c r="Y4" s="3701" t="s">
        <v>802</v>
      </c>
      <c r="Z4" s="3702"/>
      <c r="AA4" s="3696" t="s">
        <v>798</v>
      </c>
      <c r="AB4" s="3697" t="s">
        <v>799</v>
      </c>
      <c r="AC4" s="3696" t="s">
        <v>800</v>
      </c>
    </row>
    <row r="5" spans="1:29" ht="15">
      <c r="A5" s="515"/>
      <c r="B5" s="516"/>
      <c r="C5" s="3724" t="s">
        <v>2930</v>
      </c>
      <c r="D5" s="3725"/>
      <c r="E5" s="3724" t="s">
        <v>2931</v>
      </c>
      <c r="F5" s="3725"/>
      <c r="G5" s="3724" t="s">
        <v>2932</v>
      </c>
      <c r="H5" s="3725"/>
      <c r="I5" s="3724" t="s">
        <v>2933</v>
      </c>
      <c r="J5" s="3725"/>
      <c r="K5" s="514"/>
      <c r="L5" s="2134"/>
      <c r="M5" s="2135"/>
      <c r="N5" s="2135"/>
      <c r="O5" s="2135"/>
      <c r="P5" s="3717"/>
      <c r="Q5" s="3718"/>
      <c r="R5" s="3703"/>
      <c r="S5" s="3704"/>
      <c r="T5" s="3703"/>
      <c r="U5" s="3704"/>
      <c r="V5" s="3721"/>
      <c r="W5" s="3721"/>
      <c r="X5" s="1567"/>
      <c r="Y5" s="3703"/>
      <c r="Z5" s="3704"/>
      <c r="AA5" s="3697"/>
      <c r="AB5" s="3697"/>
      <c r="AC5" s="3697"/>
    </row>
    <row r="6" spans="1:29" ht="15.75" thickBot="1">
      <c r="A6" s="517"/>
      <c r="B6" s="518"/>
      <c r="C6" s="3722" t="s">
        <v>2934</v>
      </c>
      <c r="D6" s="3723"/>
      <c r="E6" s="3726" t="s">
        <v>2934</v>
      </c>
      <c r="F6" s="3727"/>
      <c r="G6" s="3722" t="s">
        <v>2934</v>
      </c>
      <c r="H6" s="3723"/>
      <c r="I6" s="3722" t="s">
        <v>2934</v>
      </c>
      <c r="J6" s="3723"/>
      <c r="K6" s="514" t="s">
        <v>527</v>
      </c>
      <c r="L6" s="2134"/>
      <c r="M6" s="2135"/>
      <c r="N6" s="2135"/>
      <c r="O6" s="2135"/>
      <c r="P6" s="3719"/>
      <c r="Q6" s="3720"/>
      <c r="R6" s="3703"/>
      <c r="S6" s="3704"/>
      <c r="T6" s="3705"/>
      <c r="U6" s="3706"/>
      <c r="V6" s="3721"/>
      <c r="W6" s="3721"/>
      <c r="X6" s="1567"/>
      <c r="Y6" s="3705"/>
      <c r="Z6" s="3706"/>
      <c r="AA6" s="3698"/>
      <c r="AB6" s="3698"/>
      <c r="AC6" s="3698"/>
    </row>
    <row r="7" spans="1:29" s="1220" customFormat="1" ht="15.7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9" t="s">
        <v>529</v>
      </c>
      <c r="Q7" s="3708"/>
      <c r="R7" s="1568" t="s">
        <v>8</v>
      </c>
      <c r="S7" s="1569">
        <f t="shared" ref="S7:S14" si="0">F7</f>
        <v>0</v>
      </c>
      <c r="T7" s="1568" t="s">
        <v>8</v>
      </c>
      <c r="U7" s="1569">
        <f t="shared" ref="U7:U14" si="1">H7</f>
        <v>0</v>
      </c>
      <c r="V7" s="1568" t="s">
        <v>8</v>
      </c>
      <c r="W7" s="1569">
        <f t="shared" ref="W7:W14"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9" t="s">
        <v>532</v>
      </c>
      <c r="Q8" s="3700"/>
      <c r="R8" s="1568" t="s">
        <v>8</v>
      </c>
      <c r="S8" s="1569">
        <f t="shared" si="0"/>
        <v>0</v>
      </c>
      <c r="T8" s="1568" t="s">
        <v>8</v>
      </c>
      <c r="U8" s="1569">
        <f t="shared" si="1"/>
        <v>0</v>
      </c>
      <c r="V8" s="1568" t="s">
        <v>8</v>
      </c>
      <c r="W8" s="1569">
        <f t="shared" si="2"/>
        <v>0</v>
      </c>
      <c r="X8" s="1570"/>
      <c r="Y8" s="3699" t="s">
        <v>532</v>
      </c>
      <c r="Z8" s="3700"/>
      <c r="AA8" s="1571" t="e">
        <f t="shared" ref="AA8:AA36" si="3">D8/F8</f>
        <v>#DIV/0!</v>
      </c>
      <c r="AB8" s="1571" t="e">
        <f t="shared" ref="AB8:AB36" si="4">D8/H8</f>
        <v>#DIV/0!</v>
      </c>
      <c r="AC8" s="1571" t="e">
        <f t="shared" ref="AC8:AC36" si="5">D8/J8</f>
        <v>#DIV/0!</v>
      </c>
    </row>
    <row r="9" spans="1:29" s="1220"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707" t="s">
        <v>534</v>
      </c>
      <c r="Q9" s="1151" t="str">
        <f t="shared" ref="Q9:Q14" si="6">B9</f>
        <v>用途</v>
      </c>
      <c r="R9" s="1568" t="s">
        <v>8</v>
      </c>
      <c r="S9" s="1569">
        <f t="shared" si="0"/>
        <v>100</v>
      </c>
      <c r="T9" s="1568" t="s">
        <v>8</v>
      </c>
      <c r="U9" s="1569">
        <f t="shared" si="1"/>
        <v>100</v>
      </c>
      <c r="V9" s="1568" t="s">
        <v>8</v>
      </c>
      <c r="W9" s="1569">
        <f t="shared" si="2"/>
        <v>100</v>
      </c>
      <c r="X9" s="1570"/>
      <c r="Y9" s="3664"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707"/>
      <c r="Q11" s="1151">
        <f t="shared" si="6"/>
        <v>111</v>
      </c>
      <c r="R11" s="1568" t="s">
        <v>8</v>
      </c>
      <c r="S11" s="1569">
        <f t="shared" si="0"/>
        <v>100</v>
      </c>
      <c r="T11" s="1568" t="s">
        <v>8</v>
      </c>
      <c r="U11" s="1569">
        <f t="shared" si="1"/>
        <v>100</v>
      </c>
      <c r="V11" s="1568" t="s">
        <v>8</v>
      </c>
      <c r="W11" s="1569">
        <f t="shared" si="2"/>
        <v>100</v>
      </c>
      <c r="X11" s="1570"/>
      <c r="Y11" s="3664"/>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707"/>
      <c r="Q12" s="1151">
        <f t="shared" si="6"/>
        <v>111</v>
      </c>
      <c r="R12" s="1568" t="s">
        <v>8</v>
      </c>
      <c r="S12" s="1569">
        <f t="shared" si="0"/>
        <v>100</v>
      </c>
      <c r="T12" s="1568" t="s">
        <v>8</v>
      </c>
      <c r="U12" s="1569">
        <f t="shared" si="1"/>
        <v>100</v>
      </c>
      <c r="V12" s="1568" t="s">
        <v>8</v>
      </c>
      <c r="W12" s="1569">
        <f t="shared" si="2"/>
        <v>100</v>
      </c>
      <c r="X12" s="1570"/>
      <c r="Y12" s="3664"/>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707"/>
      <c r="Q13" s="1151">
        <f t="shared" si="6"/>
        <v>111</v>
      </c>
      <c r="R13" s="1568" t="s">
        <v>8</v>
      </c>
      <c r="S13" s="1569">
        <f t="shared" si="0"/>
        <v>100</v>
      </c>
      <c r="T13" s="1568" t="s">
        <v>8</v>
      </c>
      <c r="U13" s="1569">
        <f t="shared" si="1"/>
        <v>100</v>
      </c>
      <c r="V13" s="1568" t="s">
        <v>8</v>
      </c>
      <c r="W13" s="1569">
        <f t="shared" si="2"/>
        <v>100</v>
      </c>
      <c r="X13" s="1570"/>
      <c r="Y13" s="3664"/>
      <c r="Z13" s="1150">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09" t="s">
        <v>539</v>
      </c>
      <c r="Q14" s="1572" t="str">
        <f t="shared" si="6"/>
        <v>交通便捷度</v>
      </c>
      <c r="R14" s="1573" t="s">
        <v>8</v>
      </c>
      <c r="S14" s="1574">
        <f t="shared" si="0"/>
        <v>100</v>
      </c>
      <c r="T14" s="1573" t="s">
        <v>8</v>
      </c>
      <c r="U14" s="1574">
        <f t="shared" si="1"/>
        <v>100</v>
      </c>
      <c r="V14" s="1573" t="s">
        <v>8</v>
      </c>
      <c r="W14" s="1574">
        <f t="shared" si="2"/>
        <v>100</v>
      </c>
      <c r="X14" s="1567"/>
      <c r="Y14" s="3709"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710"/>
      <c r="Q15" s="1572"/>
      <c r="R15" s="1573"/>
      <c r="S15" s="1574"/>
      <c r="T15" s="1573"/>
      <c r="U15" s="1574"/>
      <c r="V15" s="1573"/>
      <c r="W15" s="1574"/>
      <c r="X15" s="1567"/>
      <c r="Y15" s="3710"/>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10"/>
      <c r="Q16" s="1572" t="str">
        <f>B16</f>
        <v>公共配套设施</v>
      </c>
      <c r="R16" s="1573" t="s">
        <v>8</v>
      </c>
      <c r="S16" s="1574">
        <f>F16</f>
        <v>100</v>
      </c>
      <c r="T16" s="1573" t="s">
        <v>8</v>
      </c>
      <c r="U16" s="1574">
        <f>H16</f>
        <v>100</v>
      </c>
      <c r="V16" s="1573" t="s">
        <v>8</v>
      </c>
      <c r="W16" s="1574">
        <f>J16</f>
        <v>100</v>
      </c>
      <c r="X16" s="1567"/>
      <c r="Y16" s="371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710"/>
      <c r="Q17" s="1572"/>
      <c r="R17" s="1573"/>
      <c r="S17" s="1574"/>
      <c r="T17" s="1573"/>
      <c r="U17" s="1574"/>
      <c r="V17" s="1573"/>
      <c r="W17" s="1574"/>
      <c r="X17" s="1567"/>
      <c r="Y17" s="3710"/>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10"/>
      <c r="Q18" s="2604" t="str">
        <f>B18</f>
        <v>基础设施水平</v>
      </c>
      <c r="R18" s="1573" t="s">
        <v>8</v>
      </c>
      <c r="S18" s="1574">
        <f>F18</f>
        <v>100</v>
      </c>
      <c r="T18" s="1573" t="s">
        <v>8</v>
      </c>
      <c r="U18" s="1574">
        <f>H18</f>
        <v>100</v>
      </c>
      <c r="V18" s="1573" t="s">
        <v>8</v>
      </c>
      <c r="W18" s="1574">
        <f>J18</f>
        <v>100</v>
      </c>
      <c r="X18" s="2606"/>
      <c r="Y18" s="3710"/>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710"/>
      <c r="Q19" s="2604"/>
      <c r="R19" s="1573"/>
      <c r="S19" s="1574"/>
      <c r="T19" s="1573"/>
      <c r="U19" s="1574"/>
      <c r="V19" s="1573"/>
      <c r="W19" s="1574"/>
      <c r="X19" s="2606"/>
      <c r="Y19" s="3710"/>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10"/>
      <c r="Q20" s="1572" t="str">
        <f>B20</f>
        <v>自然及人文环境</v>
      </c>
      <c r="R20" s="1573" t="s">
        <v>8</v>
      </c>
      <c r="S20" s="1574">
        <f>F20</f>
        <v>100</v>
      </c>
      <c r="T20" s="1573" t="s">
        <v>8</v>
      </c>
      <c r="U20" s="1574">
        <f>H20</f>
        <v>100</v>
      </c>
      <c r="V20" s="1573" t="s">
        <v>8</v>
      </c>
      <c r="W20" s="1574">
        <f>J20</f>
        <v>100</v>
      </c>
      <c r="X20" s="1567"/>
      <c r="Y20" s="371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710"/>
      <c r="Q21" s="1572"/>
      <c r="R21" s="1573"/>
      <c r="S21" s="1574"/>
      <c r="T21" s="1573"/>
      <c r="U21" s="1574"/>
      <c r="V21" s="1573"/>
      <c r="W21" s="1574"/>
      <c r="X21" s="1567"/>
      <c r="Y21" s="3710"/>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10"/>
      <c r="Q22" s="1572" t="str">
        <f>B22</f>
        <v>楼层</v>
      </c>
      <c r="R22" s="1573" t="s">
        <v>8</v>
      </c>
      <c r="S22" s="1574">
        <f>F22</f>
        <v>100</v>
      </c>
      <c r="T22" s="1573" t="s">
        <v>8</v>
      </c>
      <c r="U22" s="1574">
        <f>H22</f>
        <v>100</v>
      </c>
      <c r="V22" s="1573" t="s">
        <v>8</v>
      </c>
      <c r="W22" s="1574">
        <f>J22</f>
        <v>100</v>
      </c>
      <c r="X22" s="1567"/>
      <c r="Y22" s="371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10"/>
      <c r="Q23" s="1572">
        <f>B23</f>
        <v>111</v>
      </c>
      <c r="R23" s="1573" t="s">
        <v>8</v>
      </c>
      <c r="S23" s="1574">
        <f>F23</f>
        <v>100</v>
      </c>
      <c r="T23" s="1573" t="s">
        <v>8</v>
      </c>
      <c r="U23" s="1574">
        <f>H23</f>
        <v>100</v>
      </c>
      <c r="V23" s="1573" t="s">
        <v>8</v>
      </c>
      <c r="W23" s="1574">
        <f>J23</f>
        <v>100</v>
      </c>
      <c r="X23" s="1567"/>
      <c r="Y23" s="371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10"/>
      <c r="Q24" s="1572">
        <f t="shared" ref="Q24:Q36" si="11">B24</f>
        <v>111</v>
      </c>
      <c r="R24" s="1573" t="s">
        <v>8</v>
      </c>
      <c r="S24" s="1574">
        <f>F24</f>
        <v>100</v>
      </c>
      <c r="T24" s="1573" t="s">
        <v>8</v>
      </c>
      <c r="U24" s="1574">
        <f>H24</f>
        <v>100</v>
      </c>
      <c r="V24" s="1573" t="s">
        <v>8</v>
      </c>
      <c r="W24" s="1574">
        <f>J24</f>
        <v>100</v>
      </c>
      <c r="X24" s="1567"/>
      <c r="Y24" s="371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10"/>
      <c r="Q25" s="1151">
        <f t="shared" si="11"/>
        <v>111</v>
      </c>
      <c r="R25" s="1568" t="s">
        <v>8</v>
      </c>
      <c r="S25" s="1569">
        <f>F25</f>
        <v>100</v>
      </c>
      <c r="T25" s="1568" t="s">
        <v>8</v>
      </c>
      <c r="U25" s="1569">
        <f>H25</f>
        <v>100</v>
      </c>
      <c r="V25" s="1568" t="s">
        <v>8</v>
      </c>
      <c r="W25" s="1569">
        <f>J25</f>
        <v>100</v>
      </c>
      <c r="X25" s="1570"/>
      <c r="Y25" s="3710"/>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11"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12"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12"/>
      <c r="Q27" s="1605" t="str">
        <f t="shared" si="11"/>
        <v>项目停车位配比</v>
      </c>
      <c r="R27" s="1577" t="s">
        <v>8</v>
      </c>
      <c r="S27" s="1578">
        <f t="shared" si="12"/>
        <v>100</v>
      </c>
      <c r="T27" s="1577" t="s">
        <v>8</v>
      </c>
      <c r="U27" s="1578">
        <f t="shared" si="13"/>
        <v>100</v>
      </c>
      <c r="V27" s="1577" t="s">
        <v>8</v>
      </c>
      <c r="W27" s="1578">
        <f t="shared" si="14"/>
        <v>100</v>
      </c>
      <c r="X27" s="1579"/>
      <c r="Y27" s="3712"/>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12"/>
      <c r="Q28" s="1572" t="str">
        <f t="shared" si="11"/>
        <v>公共部分装修</v>
      </c>
      <c r="R28" s="1573" t="s">
        <v>8</v>
      </c>
      <c r="S28" s="1574">
        <f t="shared" si="12"/>
        <v>100</v>
      </c>
      <c r="T28" s="1573" t="s">
        <v>8</v>
      </c>
      <c r="U28" s="1574">
        <f t="shared" si="13"/>
        <v>100</v>
      </c>
      <c r="V28" s="1573" t="s">
        <v>8</v>
      </c>
      <c r="W28" s="1574">
        <f t="shared" si="14"/>
        <v>100</v>
      </c>
      <c r="X28" s="1567"/>
      <c r="Y28" s="3712"/>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12"/>
      <c r="Q29" s="1572" t="str">
        <f t="shared" si="11"/>
        <v>成新率</v>
      </c>
      <c r="R29" s="1573" t="s">
        <v>8</v>
      </c>
      <c r="S29" s="1574" t="e">
        <f t="shared" si="12"/>
        <v>#N/A</v>
      </c>
      <c r="T29" s="1573" t="s">
        <v>8</v>
      </c>
      <c r="U29" s="1574" t="e">
        <f t="shared" si="13"/>
        <v>#N/A</v>
      </c>
      <c r="V29" s="1573" t="s">
        <v>8</v>
      </c>
      <c r="W29" s="1574" t="e">
        <f t="shared" si="14"/>
        <v>#N/A</v>
      </c>
      <c r="X29" s="1567"/>
      <c r="Y29" s="3712"/>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12"/>
      <c r="Q30" s="1572" t="str">
        <f t="shared" si="11"/>
        <v>物业等级</v>
      </c>
      <c r="R30" s="1573" t="s">
        <v>8</v>
      </c>
      <c r="S30" s="1574">
        <f t="shared" si="12"/>
        <v>100</v>
      </c>
      <c r="T30" s="1573" t="s">
        <v>8</v>
      </c>
      <c r="U30" s="1574">
        <f t="shared" si="13"/>
        <v>100</v>
      </c>
      <c r="V30" s="1573" t="s">
        <v>8</v>
      </c>
      <c r="W30" s="1574">
        <f t="shared" si="14"/>
        <v>100</v>
      </c>
      <c r="X30" s="1567"/>
      <c r="Y30" s="3712"/>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12"/>
      <c r="Q31" s="1151" t="str">
        <f t="shared" si="11"/>
        <v>停车位面积</v>
      </c>
      <c r="R31" s="1568" t="s">
        <v>8</v>
      </c>
      <c r="S31" s="1569" t="e">
        <f t="shared" si="12"/>
        <v>#N/A</v>
      </c>
      <c r="T31" s="1568" t="s">
        <v>8</v>
      </c>
      <c r="U31" s="1569" t="e">
        <f t="shared" si="13"/>
        <v>#N/A</v>
      </c>
      <c r="V31" s="1568" t="s">
        <v>8</v>
      </c>
      <c r="W31" s="1569" t="e">
        <f t="shared" si="14"/>
        <v>#N/A</v>
      </c>
      <c r="X31" s="1570"/>
      <c r="Y31" s="3712"/>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12" t="s">
        <v>549</v>
      </c>
      <c r="Q32" s="1572" t="str">
        <f t="shared" si="11"/>
        <v>车位类型</v>
      </c>
      <c r="R32" s="1573" t="s">
        <v>8</v>
      </c>
      <c r="S32" s="1574">
        <f t="shared" si="12"/>
        <v>100</v>
      </c>
      <c r="T32" s="1573" t="s">
        <v>8</v>
      </c>
      <c r="U32" s="1574">
        <f t="shared" si="13"/>
        <v>100</v>
      </c>
      <c r="V32" s="1573" t="s">
        <v>8</v>
      </c>
      <c r="W32" s="1574">
        <f t="shared" si="14"/>
        <v>100</v>
      </c>
      <c r="X32" s="1567"/>
      <c r="Y32" s="3712"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12"/>
      <c r="Q33" s="1572" t="str">
        <f t="shared" si="11"/>
        <v>是否直接入户</v>
      </c>
      <c r="R33" s="1573" t="s">
        <v>8</v>
      </c>
      <c r="S33" s="1574">
        <f t="shared" si="12"/>
        <v>100</v>
      </c>
      <c r="T33" s="1573" t="s">
        <v>8</v>
      </c>
      <c r="U33" s="1574">
        <f t="shared" si="13"/>
        <v>100</v>
      </c>
      <c r="V33" s="1573" t="s">
        <v>8</v>
      </c>
      <c r="W33" s="1574">
        <f t="shared" si="14"/>
        <v>100</v>
      </c>
      <c r="X33" s="1567"/>
      <c r="Y33" s="371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12"/>
      <c r="Q34" s="1572">
        <f t="shared" si="11"/>
        <v>111</v>
      </c>
      <c r="R34" s="1573" t="s">
        <v>8</v>
      </c>
      <c r="S34" s="1574">
        <f t="shared" si="12"/>
        <v>100</v>
      </c>
      <c r="T34" s="1573" t="s">
        <v>8</v>
      </c>
      <c r="U34" s="1574">
        <f t="shared" si="13"/>
        <v>100</v>
      </c>
      <c r="V34" s="1573" t="s">
        <v>8</v>
      </c>
      <c r="W34" s="1574">
        <f t="shared" si="14"/>
        <v>100</v>
      </c>
      <c r="X34" s="1567"/>
      <c r="Y34" s="371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12"/>
      <c r="Q35" s="1605">
        <f t="shared" si="11"/>
        <v>111</v>
      </c>
      <c r="R35" s="1577" t="s">
        <v>8</v>
      </c>
      <c r="S35" s="1578">
        <f t="shared" si="12"/>
        <v>100</v>
      </c>
      <c r="T35" s="1577" t="s">
        <v>8</v>
      </c>
      <c r="U35" s="1578">
        <f t="shared" si="13"/>
        <v>100</v>
      </c>
      <c r="V35" s="1577" t="s">
        <v>8</v>
      </c>
      <c r="W35" s="1578">
        <f t="shared" si="14"/>
        <v>100</v>
      </c>
      <c r="X35" s="1579"/>
      <c r="Y35" s="371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12"/>
      <c r="Q36" s="1572">
        <f t="shared" si="11"/>
        <v>111</v>
      </c>
      <c r="R36" s="1573" t="s">
        <v>8</v>
      </c>
      <c r="S36" s="1574">
        <f t="shared" si="12"/>
        <v>100</v>
      </c>
      <c r="T36" s="1573" t="s">
        <v>8</v>
      </c>
      <c r="U36" s="1574">
        <f t="shared" si="13"/>
        <v>100</v>
      </c>
      <c r="V36" s="1573" t="s">
        <v>8</v>
      </c>
      <c r="W36" s="1574">
        <f t="shared" si="14"/>
        <v>100</v>
      </c>
      <c r="X36" s="1567"/>
      <c r="Y36" s="3712"/>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707" t="str">
        <f>A37</f>
        <v>成交单价</v>
      </c>
      <c r="Q37" s="3707"/>
      <c r="R37" s="3817">
        <f>E37</f>
        <v>0</v>
      </c>
      <c r="S37" s="3817"/>
      <c r="T37" s="3817">
        <f>G37</f>
        <v>0</v>
      </c>
      <c r="U37" s="3817"/>
      <c r="V37" s="3817">
        <f>I37</f>
        <v>0</v>
      </c>
      <c r="W37" s="3817"/>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707" t="str">
        <f>A38</f>
        <v>比较价格（元/平方米）</v>
      </c>
      <c r="Q38" s="3707"/>
      <c r="R38" s="3817" t="e">
        <f>IF(F1="售价",ROUND(PRODUCT(R37,AA7:AA36),0),ROUND(PRODUCT(R37,AA7:AA36),1))</f>
        <v>#DIV/0!</v>
      </c>
      <c r="S38" s="3817"/>
      <c r="T38" s="3817" t="e">
        <f>IF(F1="售价",ROUND(PRODUCT(T37,AB7:AB36),0),ROUND(PRODUCT(T37,AB7:AB36),1))</f>
        <v>#DIV/0!</v>
      </c>
      <c r="U38" s="3817"/>
      <c r="V38" s="3817" t="e">
        <f>IF(F1="售价",ROUND(PRODUCT(V37,AC7:AC36),0),ROUND(PRODUCT(V37,AC7:AC36),1))</f>
        <v>#DIV/0!</v>
      </c>
      <c r="W38" s="3817"/>
      <c r="X38" s="1559"/>
      <c r="Y38" s="1559"/>
      <c r="Z38" s="1559"/>
      <c r="AA38" s="1559"/>
      <c r="AB38" s="1559"/>
      <c r="AC38" s="1559"/>
    </row>
    <row r="39" spans="1:29" ht="15.75" thickBot="1">
      <c r="A39" s="621" t="s">
        <v>2936</v>
      </c>
      <c r="B39" s="622"/>
      <c r="C39" s="2661" t="e">
        <f>R39</f>
        <v>#DIV/0!</v>
      </c>
      <c r="D39" s="2661"/>
      <c r="E39" s="2661"/>
      <c r="F39" s="2661"/>
      <c r="G39" s="2661"/>
      <c r="H39" s="2661"/>
      <c r="I39" s="2661"/>
      <c r="J39" s="2661"/>
      <c r="K39" s="1613"/>
      <c r="L39" s="2145"/>
      <c r="M39" s="2146"/>
      <c r="N39" s="2146"/>
      <c r="O39" s="2146"/>
      <c r="P39" s="3728" t="str">
        <f>A39</f>
        <v>估价对象XX用房的比较价格（楼面单价，元/平方米）</v>
      </c>
      <c r="Q39" s="3729"/>
      <c r="R39" s="3816" t="e">
        <f>IF(F1="售价",ROUND(AVERAGE(R38:V38),0),ROUND(AVERAGE(R38:V38),1))</f>
        <v>#DIV/0!</v>
      </c>
      <c r="S39" s="3816"/>
      <c r="T39" s="3816"/>
      <c r="U39" s="3816"/>
      <c r="V39" s="3816"/>
      <c r="W39" s="381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713" t="s">
        <v>797</v>
      </c>
      <c r="D4" s="3714"/>
      <c r="E4" s="3807" t="s">
        <v>798</v>
      </c>
      <c r="F4" s="3808"/>
      <c r="G4" s="3713" t="s">
        <v>799</v>
      </c>
      <c r="H4" s="3714"/>
      <c r="I4" s="3713" t="s">
        <v>800</v>
      </c>
      <c r="J4" s="3714"/>
      <c r="K4" s="514" t="s">
        <v>801</v>
      </c>
      <c r="L4" s="2134"/>
      <c r="M4" s="2135"/>
      <c r="N4" s="2135"/>
      <c r="O4" s="2135"/>
      <c r="P4" s="3715" t="s">
        <v>802</v>
      </c>
      <c r="Q4" s="3716"/>
      <c r="R4" s="3701" t="s">
        <v>798</v>
      </c>
      <c r="S4" s="3702"/>
      <c r="T4" s="3701" t="s">
        <v>799</v>
      </c>
      <c r="U4" s="3702"/>
      <c r="V4" s="3721" t="s">
        <v>800</v>
      </c>
      <c r="W4" s="3721"/>
      <c r="X4" s="1567"/>
      <c r="Y4" s="3701" t="s">
        <v>802</v>
      </c>
      <c r="Z4" s="3702"/>
      <c r="AA4" s="3696" t="s">
        <v>798</v>
      </c>
      <c r="AB4" s="3697" t="s">
        <v>799</v>
      </c>
      <c r="AC4" s="3696" t="s">
        <v>800</v>
      </c>
    </row>
    <row r="5" spans="1:29" ht="15">
      <c r="A5" s="515"/>
      <c r="B5" s="516"/>
      <c r="C5" s="3724" t="s">
        <v>2930</v>
      </c>
      <c r="D5" s="3725"/>
      <c r="E5" s="3815" t="s">
        <v>2931</v>
      </c>
      <c r="F5" s="3810"/>
      <c r="G5" s="3724" t="s">
        <v>2932</v>
      </c>
      <c r="H5" s="3725"/>
      <c r="I5" s="3724" t="s">
        <v>2933</v>
      </c>
      <c r="J5" s="3725"/>
      <c r="K5" s="514"/>
      <c r="L5" s="2134"/>
      <c r="M5" s="2135"/>
      <c r="N5" s="2135"/>
      <c r="O5" s="2135"/>
      <c r="P5" s="3717"/>
      <c r="Q5" s="3718"/>
      <c r="R5" s="3703"/>
      <c r="S5" s="3704"/>
      <c r="T5" s="3703"/>
      <c r="U5" s="3704"/>
      <c r="V5" s="3721"/>
      <c r="W5" s="3721"/>
      <c r="X5" s="1567"/>
      <c r="Y5" s="3703"/>
      <c r="Z5" s="3704"/>
      <c r="AA5" s="3697"/>
      <c r="AB5" s="3697"/>
      <c r="AC5" s="3697"/>
    </row>
    <row r="6" spans="1:29" ht="15.75" thickBot="1">
      <c r="A6" s="517"/>
      <c r="B6" s="518"/>
      <c r="C6" s="3722" t="s">
        <v>2934</v>
      </c>
      <c r="D6" s="3723"/>
      <c r="E6" s="3813" t="s">
        <v>2934</v>
      </c>
      <c r="F6" s="3814"/>
      <c r="G6" s="3722" t="s">
        <v>2934</v>
      </c>
      <c r="H6" s="3723"/>
      <c r="I6" s="3722" t="s">
        <v>2934</v>
      </c>
      <c r="J6" s="3723"/>
      <c r="K6" s="514" t="s">
        <v>527</v>
      </c>
      <c r="L6" s="2134"/>
      <c r="M6" s="2135"/>
      <c r="N6" s="2135"/>
      <c r="O6" s="2135"/>
      <c r="P6" s="3719"/>
      <c r="Q6" s="3720"/>
      <c r="R6" s="3703"/>
      <c r="S6" s="3704"/>
      <c r="T6" s="3705"/>
      <c r="U6" s="3706"/>
      <c r="V6" s="3721"/>
      <c r="W6" s="3721"/>
      <c r="X6" s="1567"/>
      <c r="Y6" s="3705"/>
      <c r="Z6" s="3706"/>
      <c r="AA6" s="3698"/>
      <c r="AB6" s="3698"/>
      <c r="AC6" s="3698"/>
    </row>
    <row r="7" spans="1:29" s="1220" customFormat="1" ht="15.7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9" t="s">
        <v>529</v>
      </c>
      <c r="Q7" s="3708"/>
      <c r="R7" s="1568" t="s">
        <v>8</v>
      </c>
      <c r="S7" s="1569">
        <f t="shared" ref="S7:S14" si="0">F7</f>
        <v>0</v>
      </c>
      <c r="T7" s="1568" t="s">
        <v>8</v>
      </c>
      <c r="U7" s="1569">
        <f t="shared" ref="U7:U14" si="1">H7</f>
        <v>0</v>
      </c>
      <c r="V7" s="1568" t="s">
        <v>8</v>
      </c>
      <c r="W7" s="1569">
        <f t="shared" ref="W7:W14" si="2">J7</f>
        <v>0</v>
      </c>
      <c r="X7" s="1570"/>
      <c r="Y7" s="3699" t="s">
        <v>529</v>
      </c>
      <c r="Z7" s="3700"/>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9" t="s">
        <v>532</v>
      </c>
      <c r="Q8" s="3700"/>
      <c r="R8" s="1568" t="s">
        <v>8</v>
      </c>
      <c r="S8" s="1569">
        <f t="shared" si="0"/>
        <v>0</v>
      </c>
      <c r="T8" s="1568" t="s">
        <v>8</v>
      </c>
      <c r="U8" s="1569">
        <f t="shared" si="1"/>
        <v>0</v>
      </c>
      <c r="V8" s="1568" t="s">
        <v>8</v>
      </c>
      <c r="W8" s="1569">
        <f t="shared" si="2"/>
        <v>0</v>
      </c>
      <c r="X8" s="1570"/>
      <c r="Y8" s="3699" t="s">
        <v>532</v>
      </c>
      <c r="Z8" s="3700"/>
      <c r="AA8" s="1571" t="e">
        <f t="shared" ref="AA8:AA34" si="3">D8/F8</f>
        <v>#DIV/0!</v>
      </c>
      <c r="AB8" s="1571" t="e">
        <f t="shared" ref="AB8:AB34" si="4">D8/H8</f>
        <v>#DIV/0!</v>
      </c>
      <c r="AC8" s="1571" t="e">
        <f t="shared" ref="AC8:AC34" si="5">D8/J8</f>
        <v>#DIV/0!</v>
      </c>
    </row>
    <row r="9" spans="1:29" s="1220"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707" t="s">
        <v>534</v>
      </c>
      <c r="Q9" s="1151" t="str">
        <f t="shared" ref="Q9:Q14" si="6">B9</f>
        <v>用途</v>
      </c>
      <c r="R9" s="1568" t="s">
        <v>8</v>
      </c>
      <c r="S9" s="1569">
        <f t="shared" si="0"/>
        <v>100</v>
      </c>
      <c r="T9" s="1568" t="s">
        <v>8</v>
      </c>
      <c r="U9" s="1569">
        <f t="shared" si="1"/>
        <v>100</v>
      </c>
      <c r="V9" s="1568" t="s">
        <v>8</v>
      </c>
      <c r="W9" s="1569">
        <f t="shared" si="2"/>
        <v>100</v>
      </c>
      <c r="X9" s="1570"/>
      <c r="Y9" s="3664"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707"/>
      <c r="Q10" s="1151" t="str">
        <f t="shared" si="6"/>
        <v>土地使用年限（年）</v>
      </c>
      <c r="R10" s="1568" t="s">
        <v>8</v>
      </c>
      <c r="S10" s="1569">
        <f t="shared" si="0"/>
        <v>100</v>
      </c>
      <c r="T10" s="1568" t="s">
        <v>8</v>
      </c>
      <c r="U10" s="1569">
        <f t="shared" si="1"/>
        <v>100</v>
      </c>
      <c r="V10" s="1568" t="s">
        <v>8</v>
      </c>
      <c r="W10" s="1569">
        <f t="shared" si="2"/>
        <v>100</v>
      </c>
      <c r="X10" s="1570"/>
      <c r="Y10" s="3664"/>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707"/>
      <c r="Q11" s="1151">
        <f t="shared" si="6"/>
        <v>111</v>
      </c>
      <c r="R11" s="1568" t="s">
        <v>8</v>
      </c>
      <c r="S11" s="1569">
        <f t="shared" si="0"/>
        <v>100</v>
      </c>
      <c r="T11" s="1568" t="s">
        <v>8</v>
      </c>
      <c r="U11" s="1569">
        <f t="shared" si="1"/>
        <v>100</v>
      </c>
      <c r="V11" s="1568" t="s">
        <v>8</v>
      </c>
      <c r="W11" s="1569">
        <f t="shared" si="2"/>
        <v>100</v>
      </c>
      <c r="X11" s="1570"/>
      <c r="Y11" s="3664"/>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707"/>
      <c r="Q12" s="1151">
        <f t="shared" si="6"/>
        <v>111</v>
      </c>
      <c r="R12" s="1568" t="s">
        <v>8</v>
      </c>
      <c r="S12" s="1569">
        <f t="shared" si="0"/>
        <v>100</v>
      </c>
      <c r="T12" s="1568" t="s">
        <v>8</v>
      </c>
      <c r="U12" s="1569">
        <f t="shared" si="1"/>
        <v>100</v>
      </c>
      <c r="V12" s="1568" t="s">
        <v>8</v>
      </c>
      <c r="W12" s="1569">
        <f t="shared" si="2"/>
        <v>100</v>
      </c>
      <c r="X12" s="1570"/>
      <c r="Y12" s="3664"/>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707"/>
      <c r="Q13" s="1151">
        <f t="shared" si="6"/>
        <v>111</v>
      </c>
      <c r="R13" s="1568" t="s">
        <v>8</v>
      </c>
      <c r="S13" s="1569">
        <f t="shared" si="0"/>
        <v>100</v>
      </c>
      <c r="T13" s="1568" t="s">
        <v>8</v>
      </c>
      <c r="U13" s="1569">
        <f t="shared" si="1"/>
        <v>100</v>
      </c>
      <c r="V13" s="1568" t="s">
        <v>8</v>
      </c>
      <c r="W13" s="1569">
        <f t="shared" si="2"/>
        <v>100</v>
      </c>
      <c r="X13" s="1570"/>
      <c r="Y13" s="3664"/>
      <c r="Z13" s="1150">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09" t="s">
        <v>539</v>
      </c>
      <c r="Q14" s="1572" t="str">
        <f t="shared" si="6"/>
        <v>交通便捷度</v>
      </c>
      <c r="R14" s="1573" t="s">
        <v>8</v>
      </c>
      <c r="S14" s="1574">
        <f t="shared" si="0"/>
        <v>100</v>
      </c>
      <c r="T14" s="1573" t="s">
        <v>8</v>
      </c>
      <c r="U14" s="1574">
        <f t="shared" si="1"/>
        <v>100</v>
      </c>
      <c r="V14" s="1573" t="s">
        <v>8</v>
      </c>
      <c r="W14" s="1574">
        <f t="shared" si="2"/>
        <v>100</v>
      </c>
      <c r="X14" s="1567"/>
      <c r="Y14" s="3709"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710"/>
      <c r="Q15" s="1572"/>
      <c r="R15" s="1573"/>
      <c r="S15" s="1574"/>
      <c r="T15" s="1573"/>
      <c r="U15" s="1574"/>
      <c r="V15" s="1573"/>
      <c r="W15" s="1574"/>
      <c r="X15" s="1567"/>
      <c r="Y15" s="3710"/>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10"/>
      <c r="Q16" s="1572" t="str">
        <f>B16</f>
        <v>公共配套设施</v>
      </c>
      <c r="R16" s="1573" t="s">
        <v>8</v>
      </c>
      <c r="S16" s="1574">
        <f>F16</f>
        <v>100</v>
      </c>
      <c r="T16" s="1573" t="s">
        <v>8</v>
      </c>
      <c r="U16" s="1574">
        <f>H16</f>
        <v>100</v>
      </c>
      <c r="V16" s="1573" t="s">
        <v>8</v>
      </c>
      <c r="W16" s="1574">
        <f>J16</f>
        <v>100</v>
      </c>
      <c r="X16" s="1567"/>
      <c r="Y16" s="371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710"/>
      <c r="Q17" s="1572"/>
      <c r="R17" s="1573"/>
      <c r="S17" s="1574"/>
      <c r="T17" s="1573"/>
      <c r="U17" s="1574"/>
      <c r="V17" s="1573"/>
      <c r="W17" s="1574"/>
      <c r="X17" s="1567"/>
      <c r="Y17" s="3710"/>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10"/>
      <c r="Q18" s="2604" t="str">
        <f>B18</f>
        <v>基础设施水平</v>
      </c>
      <c r="R18" s="1573" t="s">
        <v>8</v>
      </c>
      <c r="S18" s="1574">
        <f>F18</f>
        <v>100</v>
      </c>
      <c r="T18" s="1573" t="s">
        <v>8</v>
      </c>
      <c r="U18" s="1574">
        <f>H18</f>
        <v>100</v>
      </c>
      <c r="V18" s="1573" t="s">
        <v>8</v>
      </c>
      <c r="W18" s="1574">
        <f>J18</f>
        <v>100</v>
      </c>
      <c r="X18" s="2606"/>
      <c r="Y18" s="3710"/>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710"/>
      <c r="Q19" s="2604"/>
      <c r="R19" s="1573"/>
      <c r="S19" s="1574"/>
      <c r="T19" s="1573"/>
      <c r="U19" s="1574"/>
      <c r="V19" s="1573"/>
      <c r="W19" s="1574"/>
      <c r="X19" s="2606"/>
      <c r="Y19" s="3710"/>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10"/>
      <c r="Q20" s="1572" t="str">
        <f>B20</f>
        <v>自然及人文环境</v>
      </c>
      <c r="R20" s="1573" t="s">
        <v>8</v>
      </c>
      <c r="S20" s="1574">
        <f>F20</f>
        <v>100</v>
      </c>
      <c r="T20" s="1573" t="s">
        <v>8</v>
      </c>
      <c r="U20" s="1574">
        <f>H20</f>
        <v>100</v>
      </c>
      <c r="V20" s="1573" t="s">
        <v>8</v>
      </c>
      <c r="W20" s="1574">
        <f>J20</f>
        <v>100</v>
      </c>
      <c r="X20" s="1567"/>
      <c r="Y20" s="371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710"/>
      <c r="Q21" s="1572"/>
      <c r="R21" s="1573"/>
      <c r="S21" s="1574"/>
      <c r="T21" s="1573"/>
      <c r="U21" s="1574"/>
      <c r="V21" s="1573"/>
      <c r="W21" s="1574"/>
      <c r="X21" s="1567"/>
      <c r="Y21" s="3710"/>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10"/>
      <c r="Q22" s="1572" t="str">
        <f>B22</f>
        <v>楼层</v>
      </c>
      <c r="R22" s="1573" t="s">
        <v>8</v>
      </c>
      <c r="S22" s="1574">
        <f>F22</f>
        <v>100</v>
      </c>
      <c r="T22" s="1573" t="s">
        <v>8</v>
      </c>
      <c r="U22" s="1574">
        <f>H22</f>
        <v>100</v>
      </c>
      <c r="V22" s="1573" t="s">
        <v>8</v>
      </c>
      <c r="W22" s="1574">
        <f>J22</f>
        <v>100</v>
      </c>
      <c r="X22" s="1567"/>
      <c r="Y22" s="371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10"/>
      <c r="Q23" s="1572">
        <f>B23</f>
        <v>111</v>
      </c>
      <c r="R23" s="1573" t="s">
        <v>8</v>
      </c>
      <c r="S23" s="1574">
        <f>F23</f>
        <v>100</v>
      </c>
      <c r="T23" s="1573" t="s">
        <v>8</v>
      </c>
      <c r="U23" s="1574">
        <f>H23</f>
        <v>100</v>
      </c>
      <c r="V23" s="1573" t="s">
        <v>8</v>
      </c>
      <c r="W23" s="1574">
        <f>J23</f>
        <v>100</v>
      </c>
      <c r="X23" s="1567"/>
      <c r="Y23" s="371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10"/>
      <c r="Q24" s="1572">
        <f t="shared" ref="Q24:Q34" si="11">B24</f>
        <v>111</v>
      </c>
      <c r="R24" s="1573" t="s">
        <v>8</v>
      </c>
      <c r="S24" s="1574">
        <f>F24</f>
        <v>100</v>
      </c>
      <c r="T24" s="1573" t="s">
        <v>8</v>
      </c>
      <c r="U24" s="1574">
        <f>H24</f>
        <v>100</v>
      </c>
      <c r="V24" s="1573" t="s">
        <v>8</v>
      </c>
      <c r="W24" s="1574">
        <f>J24</f>
        <v>100</v>
      </c>
      <c r="X24" s="1567"/>
      <c r="Y24" s="371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10"/>
      <c r="Q25" s="1151">
        <f t="shared" si="11"/>
        <v>111</v>
      </c>
      <c r="R25" s="1568" t="s">
        <v>8</v>
      </c>
      <c r="S25" s="1569">
        <f>F25</f>
        <v>100</v>
      </c>
      <c r="T25" s="1568" t="s">
        <v>8</v>
      </c>
      <c r="U25" s="1569">
        <f>H25</f>
        <v>100</v>
      </c>
      <c r="V25" s="1568" t="s">
        <v>8</v>
      </c>
      <c r="W25" s="1569">
        <f>J25</f>
        <v>100</v>
      </c>
      <c r="X25" s="1570"/>
      <c r="Y25" s="3710"/>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11"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12"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12"/>
      <c r="Q27" s="1605" t="str">
        <f t="shared" si="11"/>
        <v>成新率</v>
      </c>
      <c r="R27" s="1577" t="s">
        <v>8</v>
      </c>
      <c r="S27" s="1578" t="e">
        <f t="shared" si="12"/>
        <v>#N/A</v>
      </c>
      <c r="T27" s="1577" t="s">
        <v>8</v>
      </c>
      <c r="U27" s="1578" t="e">
        <f t="shared" si="13"/>
        <v>#N/A</v>
      </c>
      <c r="V27" s="1577" t="s">
        <v>8</v>
      </c>
      <c r="W27" s="1578" t="e">
        <f t="shared" si="14"/>
        <v>#N/A</v>
      </c>
      <c r="X27" s="1579"/>
      <c r="Y27" s="3712"/>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12"/>
      <c r="Q28" s="1572" t="str">
        <f t="shared" si="11"/>
        <v>物业等级</v>
      </c>
      <c r="R28" s="1573" t="s">
        <v>8</v>
      </c>
      <c r="S28" s="1574">
        <f t="shared" si="12"/>
        <v>100</v>
      </c>
      <c r="T28" s="1573" t="s">
        <v>8</v>
      </c>
      <c r="U28" s="1574">
        <f t="shared" si="13"/>
        <v>100</v>
      </c>
      <c r="V28" s="1573" t="s">
        <v>8</v>
      </c>
      <c r="W28" s="1574">
        <f t="shared" si="14"/>
        <v>100</v>
      </c>
      <c r="X28" s="1567"/>
      <c r="Y28" s="3712"/>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12"/>
      <c r="Q29" s="1572" t="str">
        <f t="shared" si="11"/>
        <v>有无电梯</v>
      </c>
      <c r="R29" s="1573" t="s">
        <v>8</v>
      </c>
      <c r="S29" s="1574">
        <f t="shared" si="12"/>
        <v>100</v>
      </c>
      <c r="T29" s="1573" t="s">
        <v>8</v>
      </c>
      <c r="U29" s="1574">
        <f t="shared" si="13"/>
        <v>100</v>
      </c>
      <c r="V29" s="1573" t="s">
        <v>8</v>
      </c>
      <c r="W29" s="1574">
        <f t="shared" si="14"/>
        <v>100</v>
      </c>
      <c r="X29" s="1567"/>
      <c r="Y29" s="3712"/>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12"/>
      <c r="Q30" s="1572" t="str">
        <f t="shared" si="11"/>
        <v>建筑面积</v>
      </c>
      <c r="R30" s="1573" t="s">
        <v>8</v>
      </c>
      <c r="S30" s="1574" t="e">
        <f t="shared" si="12"/>
        <v>#N/A</v>
      </c>
      <c r="T30" s="1573" t="s">
        <v>8</v>
      </c>
      <c r="U30" s="1574" t="e">
        <f t="shared" si="13"/>
        <v>#N/A</v>
      </c>
      <c r="V30" s="1573" t="s">
        <v>8</v>
      </c>
      <c r="W30" s="1574" t="e">
        <f t="shared" si="14"/>
        <v>#N/A</v>
      </c>
      <c r="X30" s="1567"/>
      <c r="Y30" s="3712"/>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12"/>
      <c r="Q31" s="1151" t="str">
        <f t="shared" si="11"/>
        <v>是否封闭</v>
      </c>
      <c r="R31" s="1568" t="s">
        <v>8</v>
      </c>
      <c r="S31" s="1569">
        <f t="shared" si="12"/>
        <v>100</v>
      </c>
      <c r="T31" s="1568" t="s">
        <v>8</v>
      </c>
      <c r="U31" s="1569">
        <f t="shared" si="13"/>
        <v>100</v>
      </c>
      <c r="V31" s="1568" t="s">
        <v>8</v>
      </c>
      <c r="W31" s="1569">
        <f t="shared" si="14"/>
        <v>100</v>
      </c>
      <c r="X31" s="1570"/>
      <c r="Y31" s="371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12" t="s">
        <v>549</v>
      </c>
      <c r="Q32" s="1572">
        <f t="shared" si="11"/>
        <v>111</v>
      </c>
      <c r="R32" s="1573" t="s">
        <v>8</v>
      </c>
      <c r="S32" s="1574">
        <f t="shared" si="12"/>
        <v>100</v>
      </c>
      <c r="T32" s="1573" t="s">
        <v>8</v>
      </c>
      <c r="U32" s="1574">
        <f t="shared" si="13"/>
        <v>100</v>
      </c>
      <c r="V32" s="1573" t="s">
        <v>8</v>
      </c>
      <c r="W32" s="1574">
        <f t="shared" si="14"/>
        <v>100</v>
      </c>
      <c r="X32" s="1567"/>
      <c r="Y32" s="3712"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12"/>
      <c r="Q33" s="1572">
        <f t="shared" si="11"/>
        <v>111</v>
      </c>
      <c r="R33" s="1573" t="s">
        <v>8</v>
      </c>
      <c r="S33" s="1574">
        <f t="shared" si="12"/>
        <v>100</v>
      </c>
      <c r="T33" s="1573" t="s">
        <v>8</v>
      </c>
      <c r="U33" s="1574">
        <f t="shared" si="13"/>
        <v>100</v>
      </c>
      <c r="V33" s="1573" t="s">
        <v>8</v>
      </c>
      <c r="W33" s="1574">
        <f t="shared" si="14"/>
        <v>100</v>
      </c>
      <c r="X33" s="1567"/>
      <c r="Y33" s="371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12"/>
      <c r="Q34" s="1572">
        <f t="shared" si="11"/>
        <v>111</v>
      </c>
      <c r="R34" s="1573" t="s">
        <v>8</v>
      </c>
      <c r="S34" s="1574">
        <f t="shared" si="12"/>
        <v>100</v>
      </c>
      <c r="T34" s="1573" t="s">
        <v>8</v>
      </c>
      <c r="U34" s="1574">
        <f t="shared" si="13"/>
        <v>100</v>
      </c>
      <c r="V34" s="1573" t="s">
        <v>8</v>
      </c>
      <c r="W34" s="1574">
        <f t="shared" si="14"/>
        <v>100</v>
      </c>
      <c r="X34" s="1567"/>
      <c r="Y34" s="3712"/>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707" t="str">
        <f>A35</f>
        <v>成交单价（元/平方米）</v>
      </c>
      <c r="Q35" s="3707"/>
      <c r="R35" s="3817">
        <f>E35</f>
        <v>0</v>
      </c>
      <c r="S35" s="3817"/>
      <c r="T35" s="3817">
        <f>G35</f>
        <v>0</v>
      </c>
      <c r="U35" s="3817"/>
      <c r="V35" s="3817">
        <f>I35</f>
        <v>0</v>
      </c>
      <c r="W35" s="3817"/>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707" t="str">
        <f>A36</f>
        <v>比较价格（元/平方米）</v>
      </c>
      <c r="Q36" s="3707"/>
      <c r="R36" s="3817" t="e">
        <f>IF(F1="售价",ROUND(PRODUCT(R35,AA7:AA34),0),ROUND(PRODUCT(R35,AA7:AA34),1))</f>
        <v>#DIV/0!</v>
      </c>
      <c r="S36" s="3817"/>
      <c r="T36" s="3817" t="e">
        <f>IF(F1="售价",ROUND(PRODUCT(T35,AB7:AB34),0),ROUND(PRODUCT(T35,AB7:AB34),1))</f>
        <v>#DIV/0!</v>
      </c>
      <c r="U36" s="3817"/>
      <c r="V36" s="3817" t="e">
        <f>IF(F1="售价",ROUND(PRODUCT(V35,AC7:AC34),0),ROUND(PRODUCT(V35,AC7:AC34),1))</f>
        <v>#DIV/0!</v>
      </c>
      <c r="W36" s="3817"/>
      <c r="X36" s="1559"/>
      <c r="Y36" s="1559"/>
      <c r="Z36" s="1559"/>
      <c r="AA36" s="1559"/>
      <c r="AB36" s="1559"/>
      <c r="AC36" s="1559"/>
    </row>
    <row r="37" spans="1:29" ht="15.75" thickBot="1">
      <c r="A37" s="621" t="s">
        <v>2936</v>
      </c>
      <c r="B37" s="622"/>
      <c r="C37" s="2661" t="e">
        <f>R37</f>
        <v>#DIV/0!</v>
      </c>
      <c r="D37" s="2661"/>
      <c r="E37" s="2661"/>
      <c r="F37" s="2661"/>
      <c r="G37" s="2661"/>
      <c r="H37" s="2661"/>
      <c r="I37" s="2661"/>
      <c r="J37" s="2661"/>
      <c r="K37" s="1613"/>
      <c r="L37" s="2145"/>
      <c r="M37" s="2146"/>
      <c r="N37" s="2146"/>
      <c r="O37" s="2146"/>
      <c r="P37" s="3728" t="str">
        <f>A37</f>
        <v>估价对象XX用房的比较价格（楼面单价，元/平方米）</v>
      </c>
      <c r="Q37" s="3729"/>
      <c r="R37" s="3816" t="e">
        <f>IF(F1="售价",ROUND(AVERAGE(R36:V36),0),ROUND(AVERAGE(R36:V36),1))</f>
        <v>#DIV/0!</v>
      </c>
      <c r="S37" s="3816"/>
      <c r="T37" s="3816"/>
      <c r="U37" s="3816"/>
      <c r="V37" s="3816"/>
      <c r="W37" s="381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826" t="s">
        <v>2306</v>
      </c>
      <c r="D1" s="3827"/>
      <c r="E1" s="3827"/>
      <c r="F1" s="3827"/>
      <c r="G1" s="3827"/>
      <c r="H1" s="3827"/>
      <c r="I1" s="3827"/>
      <c r="J1" s="3827"/>
      <c r="K1" s="3827"/>
      <c r="L1" s="3827"/>
      <c r="M1" s="3827"/>
      <c r="N1" s="3827"/>
      <c r="O1" s="3827"/>
      <c r="P1" s="3827"/>
      <c r="Q1" s="3827"/>
      <c r="R1" s="3827"/>
      <c r="S1" s="382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823" t="s">
        <v>20</v>
      </c>
      <c r="D22" s="3824"/>
      <c r="E22" s="3824"/>
      <c r="F22" s="3824"/>
      <c r="G22" s="3824"/>
      <c r="H22" s="3824"/>
      <c r="I22" s="3824"/>
      <c r="J22" s="3824"/>
      <c r="K22" s="3824"/>
      <c r="L22" s="3824"/>
      <c r="M22" s="3824"/>
      <c r="N22" s="3824"/>
      <c r="O22" s="3824"/>
      <c r="P22" s="3824"/>
      <c r="Q22" s="382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17" sqref="C17:C23"/>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3139</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2040</v>
      </c>
      <c r="B1" s="3530"/>
      <c r="C1" s="3530"/>
      <c r="D1" s="3530"/>
      <c r="E1" s="3530"/>
      <c r="F1" s="3530"/>
      <c r="G1" s="3530"/>
      <c r="H1" s="3530"/>
      <c r="I1" s="3530"/>
      <c r="J1" s="3530"/>
      <c r="K1" s="3530"/>
      <c r="L1" s="3530"/>
      <c r="M1" s="3530"/>
      <c r="N1" s="3530"/>
      <c r="O1" s="3530"/>
      <c r="P1" s="3530"/>
      <c r="Q1" s="3530"/>
      <c r="R1" s="3530"/>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31" t="s">
        <v>2031</v>
      </c>
      <c r="B3" s="3531" t="s">
        <v>2734</v>
      </c>
      <c r="C3" s="3532" t="s">
        <v>2032</v>
      </c>
      <c r="D3" s="3531" t="s">
        <v>2738</v>
      </c>
      <c r="E3" s="3534" t="s">
        <v>2033</v>
      </c>
      <c r="F3" s="3534"/>
      <c r="G3" s="3534"/>
      <c r="H3" s="3534" t="s">
        <v>2034</v>
      </c>
      <c r="I3" s="3534"/>
      <c r="J3" s="3534"/>
      <c r="K3" s="3532" t="s">
        <v>2035</v>
      </c>
      <c r="L3" s="3532" t="s">
        <v>2036</v>
      </c>
      <c r="M3" s="3531" t="s">
        <v>2735</v>
      </c>
      <c r="N3" s="3533" t="str">
        <f>"（分摊）"&amp;项目基本情况!B16&amp;"国有建设用地使用权面积/㎡"</f>
        <v>（分摊）出让国有建设用地使用权面积/㎡</v>
      </c>
      <c r="O3" s="3531" t="s">
        <v>2065</v>
      </c>
      <c r="P3" s="3532" t="s">
        <v>2045</v>
      </c>
      <c r="Q3" s="3532" t="s">
        <v>2066</v>
      </c>
      <c r="R3" s="3532" t="s">
        <v>2037</v>
      </c>
    </row>
    <row r="4" spans="1:18" ht="36.75" customHeight="1">
      <c r="A4" s="3531"/>
      <c r="B4" s="3531"/>
      <c r="C4" s="3532"/>
      <c r="D4" s="3531"/>
      <c r="E4" s="2674" t="s">
        <v>2044</v>
      </c>
      <c r="F4" s="2674" t="s">
        <v>2747</v>
      </c>
      <c r="G4" s="2674" t="s">
        <v>2038</v>
      </c>
      <c r="H4" s="2674" t="s">
        <v>2039</v>
      </c>
      <c r="I4" s="2674" t="s">
        <v>2748</v>
      </c>
      <c r="J4" s="2674" t="s">
        <v>2038</v>
      </c>
      <c r="K4" s="3532"/>
      <c r="L4" s="3532"/>
      <c r="M4" s="3531"/>
      <c r="N4" s="3533"/>
      <c r="O4" s="3531"/>
      <c r="P4" s="3532"/>
      <c r="Q4" s="3532"/>
      <c r="R4" s="3532"/>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8097</v>
      </c>
      <c r="Q5" s="1811">
        <f ca="1">结果表!D42</f>
        <v>24388</v>
      </c>
      <c r="R5" s="1812">
        <f ca="1">结果表!C42</f>
        <v>147484</v>
      </c>
    </row>
    <row r="6" spans="1:18">
      <c r="A6" s="3527" t="str">
        <f>IF(项目基本情况!B9="市场价格","——","抵押价格")</f>
        <v>——</v>
      </c>
      <c r="B6" s="3528"/>
      <c r="C6" s="3528"/>
      <c r="D6" s="3528"/>
      <c r="E6" s="3528"/>
      <c r="F6" s="3528"/>
      <c r="G6" s="3528"/>
      <c r="H6" s="3528"/>
      <c r="I6" s="3528"/>
      <c r="J6" s="3528"/>
      <c r="K6" s="3528"/>
      <c r="L6" s="3528"/>
      <c r="M6" s="3528"/>
      <c r="N6" s="3528"/>
      <c r="O6" s="3528"/>
      <c r="P6" s="3528"/>
      <c r="Q6" s="3529"/>
      <c r="R6" s="1813" t="str">
        <f>结果表!O39</f>
        <v>——</v>
      </c>
    </row>
    <row r="7" spans="1:18">
      <c r="A7" s="3527" t="str">
        <f>IF(项目基本情况!B9="市场价格","——",IF(项目基本情况!E8="已注销及未注销","抵押担保权已注销时的抵押价格","——"))</f>
        <v>——</v>
      </c>
      <c r="B7" s="3528"/>
      <c r="C7" s="3528"/>
      <c r="D7" s="3528"/>
      <c r="E7" s="3528"/>
      <c r="F7" s="3528"/>
      <c r="G7" s="3528"/>
      <c r="H7" s="3528"/>
      <c r="I7" s="3528"/>
      <c r="J7" s="3528"/>
      <c r="K7" s="3528"/>
      <c r="L7" s="3528"/>
      <c r="M7" s="3528"/>
      <c r="N7" s="3528"/>
      <c r="O7" s="3528"/>
      <c r="P7" s="3528"/>
      <c r="Q7" s="3529"/>
      <c r="R7" s="1813" t="str">
        <f>结果表!O40</f>
        <v>——</v>
      </c>
    </row>
    <row r="8" spans="1:18">
      <c r="A8" s="3527" t="str">
        <f>IF(项目基本情况!B9="市场价格","——",项目基本情况!E9)</f>
        <v>——</v>
      </c>
      <c r="B8" s="3528"/>
      <c r="C8" s="3528"/>
      <c r="D8" s="3528"/>
      <c r="E8" s="3528"/>
      <c r="F8" s="3528"/>
      <c r="G8" s="3528"/>
      <c r="H8" s="3528"/>
      <c r="I8" s="3528"/>
      <c r="J8" s="3528"/>
      <c r="K8" s="3528"/>
      <c r="L8" s="3528"/>
      <c r="M8" s="3528"/>
      <c r="N8" s="3528"/>
      <c r="O8" s="3528"/>
      <c r="P8" s="3528"/>
      <c r="Q8" s="3529"/>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topLeftCell="P1" workbookViewId="0">
      <selection activeCell="AB18" sqref="AB18"/>
    </sheetView>
  </sheetViews>
  <sheetFormatPr defaultRowHeight="13.5"/>
  <cols>
    <col min="1" max="1" width="5" style="3399" customWidth="1"/>
    <col min="2" max="2" width="9" style="3399"/>
    <col min="3" max="3" width="22.625" style="3399" customWidth="1"/>
    <col min="4" max="10" width="9" style="3399"/>
    <col min="11" max="11" width="16.25" style="3399" customWidth="1"/>
    <col min="12" max="15" width="9" style="3399"/>
    <col min="16" max="16" width="11.5" style="3399" customWidth="1"/>
    <col min="17" max="17" width="9" style="3399"/>
    <col min="18" max="18" width="12.375" style="3399" customWidth="1"/>
    <col min="19" max="20" width="9" style="3399"/>
    <col min="21" max="21" width="11.25" style="3399" customWidth="1"/>
    <col min="22" max="22" width="11" style="3399" customWidth="1"/>
    <col min="23" max="23" width="11.875" style="3399" customWidth="1"/>
    <col min="24" max="27" width="9" style="3399"/>
    <col min="28" max="28" width="10.25" style="3399" bestFit="1" customWidth="1"/>
    <col min="29" max="16384" width="9" style="3399"/>
  </cols>
  <sheetData>
    <row r="1" spans="1:32" s="3358" customFormat="1" ht="21.75" customHeight="1">
      <c r="B1" s="3831" t="s">
        <v>3360</v>
      </c>
      <c r="C1" s="3831" t="s">
        <v>3361</v>
      </c>
      <c r="D1" s="3831" t="s">
        <v>3362</v>
      </c>
      <c r="E1" s="3831" t="s">
        <v>3363</v>
      </c>
      <c r="F1" s="3831" t="s">
        <v>3364</v>
      </c>
      <c r="G1" s="3831" t="s">
        <v>3365</v>
      </c>
      <c r="H1" s="3834" t="s">
        <v>3366</v>
      </c>
      <c r="I1" s="3835"/>
      <c r="J1" s="3836" t="s">
        <v>3367</v>
      </c>
      <c r="K1" s="3836" t="s">
        <v>3368</v>
      </c>
      <c r="L1" s="3831" t="s">
        <v>3369</v>
      </c>
      <c r="M1" s="3838" t="s">
        <v>3370</v>
      </c>
      <c r="N1" s="3839"/>
      <c r="O1" s="3839"/>
      <c r="P1" s="3839"/>
      <c r="Q1" s="3839"/>
      <c r="R1" s="3839"/>
      <c r="S1" s="3839"/>
      <c r="T1" s="3840"/>
      <c r="U1" s="3829" t="s">
        <v>3371</v>
      </c>
      <c r="V1" s="3831" t="s">
        <v>3372</v>
      </c>
      <c r="W1" s="3831" t="s">
        <v>3373</v>
      </c>
      <c r="X1" s="3831" t="s">
        <v>3374</v>
      </c>
      <c r="Y1" s="3841" t="s">
        <v>3375</v>
      </c>
      <c r="Z1" s="3831" t="s">
        <v>3376</v>
      </c>
      <c r="AA1" s="3831" t="s">
        <v>3377</v>
      </c>
      <c r="AB1" s="3829" t="s">
        <v>3525</v>
      </c>
    </row>
    <row r="2" spans="1:32" s="3358" customFormat="1" ht="56.25">
      <c r="B2" s="3832"/>
      <c r="C2" s="3833"/>
      <c r="D2" s="3833"/>
      <c r="E2" s="3833"/>
      <c r="F2" s="3833"/>
      <c r="G2" s="3833"/>
      <c r="H2" s="3359" t="s">
        <v>3378</v>
      </c>
      <c r="I2" s="3359" t="s">
        <v>3379</v>
      </c>
      <c r="J2" s="3837"/>
      <c r="K2" s="3837"/>
      <c r="L2" s="3832"/>
      <c r="M2" s="3359" t="s">
        <v>3380</v>
      </c>
      <c r="N2" s="3359" t="s">
        <v>3381</v>
      </c>
      <c r="O2" s="3360" t="s">
        <v>3524</v>
      </c>
      <c r="P2" s="3359" t="s">
        <v>3382</v>
      </c>
      <c r="Q2" s="3359" t="s">
        <v>3383</v>
      </c>
      <c r="R2" s="3359" t="s">
        <v>3384</v>
      </c>
      <c r="S2" s="3359" t="s">
        <v>3385</v>
      </c>
      <c r="T2" s="3361" t="s">
        <v>3369</v>
      </c>
      <c r="U2" s="3830"/>
      <c r="V2" s="3833"/>
      <c r="W2" s="3833"/>
      <c r="X2" s="3833"/>
      <c r="Y2" s="3841"/>
      <c r="Z2" s="3833"/>
      <c r="AA2" s="3833"/>
      <c r="AB2" s="3830"/>
    </row>
    <row r="3" spans="1:32" s="3362" customFormat="1" ht="58.5" customHeight="1">
      <c r="A3" s="3362" t="s">
        <v>3386</v>
      </c>
      <c r="B3" s="3363">
        <v>2015</v>
      </c>
      <c r="C3" s="3364" t="s">
        <v>3387</v>
      </c>
      <c r="D3" s="3364" t="s">
        <v>3388</v>
      </c>
      <c r="E3" s="3364" t="s">
        <v>3389</v>
      </c>
      <c r="F3" s="3364" t="s">
        <v>3390</v>
      </c>
      <c r="G3" s="3364" t="s">
        <v>3391</v>
      </c>
      <c r="H3" s="3364">
        <v>10.06</v>
      </c>
      <c r="I3" s="3364">
        <v>6.56</v>
      </c>
      <c r="J3" s="3364">
        <v>19.37</v>
      </c>
      <c r="K3" s="3364">
        <v>360883.63</v>
      </c>
      <c r="L3" s="3365" t="s">
        <v>3392</v>
      </c>
      <c r="M3" s="3366" t="s">
        <v>3393</v>
      </c>
      <c r="N3" s="3366" t="s">
        <v>3394</v>
      </c>
      <c r="O3" s="3366">
        <v>98.7</v>
      </c>
      <c r="P3" s="3366">
        <v>1318636.3400000001</v>
      </c>
      <c r="Q3" s="3364">
        <f t="shared" ref="Q3:Q9" si="0">P3/O3</f>
        <v>13360.043971631207</v>
      </c>
      <c r="R3" s="3366">
        <v>976555.7</v>
      </c>
      <c r="S3" s="3364">
        <f t="shared" ref="S3:S9" si="1">R3/O3</f>
        <v>9894.1813576494424</v>
      </c>
      <c r="T3" s="3367" t="s">
        <v>3395</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3396</v>
      </c>
      <c r="D4" s="3372" t="s">
        <v>3397</v>
      </c>
      <c r="E4" s="3372" t="s">
        <v>3398</v>
      </c>
      <c r="F4" s="3372" t="s">
        <v>3399</v>
      </c>
      <c r="G4" s="3372" t="s">
        <v>3400</v>
      </c>
      <c r="H4" s="3372">
        <v>3.8881000000000001</v>
      </c>
      <c r="I4" s="3372">
        <v>2.6985000000000001</v>
      </c>
      <c r="J4" s="3372">
        <v>13.4925</v>
      </c>
      <c r="K4" s="3372">
        <v>38207.550000000003</v>
      </c>
      <c r="L4" s="3373" t="s">
        <v>3401</v>
      </c>
      <c r="M4" s="3372" t="s">
        <v>3402</v>
      </c>
      <c r="N4" s="3372" t="s">
        <v>3403</v>
      </c>
      <c r="O4" s="3372">
        <v>3.89</v>
      </c>
      <c r="P4" s="3372">
        <v>38207.550000000003</v>
      </c>
      <c r="Q4" s="3372">
        <f t="shared" si="0"/>
        <v>9821.9922879177375</v>
      </c>
      <c r="R4" s="3372">
        <v>23028.04</v>
      </c>
      <c r="S4" s="3372">
        <f t="shared" si="1"/>
        <v>5919.8046272493575</v>
      </c>
      <c r="T4" s="3374" t="s">
        <v>3404</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3405</v>
      </c>
      <c r="B5" s="3378">
        <v>2015</v>
      </c>
      <c r="C5" s="3379" t="s">
        <v>3406</v>
      </c>
      <c r="D5" s="3379" t="s">
        <v>3407</v>
      </c>
      <c r="E5" s="3379" t="s">
        <v>3408</v>
      </c>
      <c r="F5" s="3379" t="s">
        <v>3409</v>
      </c>
      <c r="G5" s="3379" t="s">
        <v>3410</v>
      </c>
      <c r="H5" s="3379">
        <v>24.27</v>
      </c>
      <c r="I5" s="3379">
        <v>24.27</v>
      </c>
      <c r="J5" s="3379">
        <v>47.94</v>
      </c>
      <c r="K5" s="3379">
        <v>773077.49</v>
      </c>
      <c r="L5" s="3380" t="s">
        <v>3411</v>
      </c>
      <c r="M5" s="3379" t="s">
        <v>3412</v>
      </c>
      <c r="N5" s="3381" t="s">
        <v>3413</v>
      </c>
      <c r="O5" s="3382" t="s">
        <v>3414</v>
      </c>
      <c r="P5" s="3379">
        <v>1760613.68</v>
      </c>
      <c r="Q5" s="3379" t="e">
        <f t="shared" si="0"/>
        <v>#VALUE!</v>
      </c>
      <c r="R5" s="3379">
        <v>1341321.8999999999</v>
      </c>
      <c r="S5" s="3379">
        <f>R5/653.95</f>
        <v>2051.1077299487724</v>
      </c>
      <c r="T5" s="3383" t="s">
        <v>3415</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3416</v>
      </c>
      <c r="D6" s="3388" t="s">
        <v>3417</v>
      </c>
      <c r="E6" s="3388" t="s">
        <v>3408</v>
      </c>
      <c r="F6" s="3388" t="s">
        <v>3418</v>
      </c>
      <c r="G6" s="3388" t="s">
        <v>3419</v>
      </c>
      <c r="H6" s="3388">
        <v>23.43</v>
      </c>
      <c r="I6" s="3388">
        <v>9.76</v>
      </c>
      <c r="J6" s="3388">
        <v>52</v>
      </c>
      <c r="K6" s="3388">
        <v>458739.84</v>
      </c>
      <c r="L6" s="3389" t="s">
        <v>3420</v>
      </c>
      <c r="M6" s="3388" t="s">
        <v>3421</v>
      </c>
      <c r="N6" s="3390" t="s">
        <v>3422</v>
      </c>
      <c r="O6" s="3382">
        <v>93.71</v>
      </c>
      <c r="P6" s="3388">
        <v>1455282.08</v>
      </c>
      <c r="Q6" s="3388">
        <f t="shared" si="0"/>
        <v>15529.634830861169</v>
      </c>
      <c r="R6" s="3388">
        <v>1017422.86</v>
      </c>
      <c r="S6" s="3388">
        <f t="shared" si="1"/>
        <v>10857.142887632057</v>
      </c>
      <c r="T6" s="3391" t="s">
        <v>3415</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3423</v>
      </c>
      <c r="D7" s="3388" t="s">
        <v>3424</v>
      </c>
      <c r="E7" s="3388" t="s">
        <v>3408</v>
      </c>
      <c r="F7" s="3388" t="s">
        <v>3425</v>
      </c>
      <c r="G7" s="3390" t="s">
        <v>3426</v>
      </c>
      <c r="H7" s="3388">
        <v>42.48</v>
      </c>
      <c r="I7" s="3388">
        <v>22.79</v>
      </c>
      <c r="J7" s="3388">
        <v>24.73</v>
      </c>
      <c r="K7" s="3388">
        <v>74295.679999999993</v>
      </c>
      <c r="L7" s="3389" t="s">
        <v>3427</v>
      </c>
      <c r="M7" s="3393" t="s">
        <v>3428</v>
      </c>
      <c r="N7" s="3390" t="s">
        <v>3422</v>
      </c>
      <c r="O7" s="3382">
        <v>42.48</v>
      </c>
      <c r="P7" s="3393">
        <v>74295.679999999993</v>
      </c>
      <c r="Q7" s="3388">
        <f t="shared" si="0"/>
        <v>1748.9566854990583</v>
      </c>
      <c r="R7" s="3393">
        <v>45977.73</v>
      </c>
      <c r="S7" s="3388">
        <f t="shared" si="1"/>
        <v>1082.3382768361585</v>
      </c>
      <c r="T7" s="3391" t="s">
        <v>3415</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3429</v>
      </c>
      <c r="D8" s="3364" t="s">
        <v>3430</v>
      </c>
      <c r="E8" s="3364" t="s">
        <v>3408</v>
      </c>
      <c r="F8" s="3364" t="s">
        <v>3431</v>
      </c>
      <c r="G8" s="3364" t="s">
        <v>3432</v>
      </c>
      <c r="H8" s="3364">
        <v>17.920000000000002</v>
      </c>
      <c r="I8" s="3364">
        <v>5.19</v>
      </c>
      <c r="J8" s="3364">
        <v>15.57</v>
      </c>
      <c r="K8" s="3364">
        <v>402756.93</v>
      </c>
      <c r="L8" s="3395" t="s">
        <v>3433</v>
      </c>
      <c r="M8" s="3364" t="s">
        <v>3434</v>
      </c>
      <c r="N8" s="3366" t="s">
        <v>3422</v>
      </c>
      <c r="O8" s="3382" t="s">
        <v>3435</v>
      </c>
      <c r="P8" s="3364">
        <v>1427032.95</v>
      </c>
      <c r="Q8" s="3364" t="e">
        <f t="shared" si="0"/>
        <v>#VALUE!</v>
      </c>
      <c r="R8" s="3364">
        <v>1157118.46</v>
      </c>
      <c r="S8" s="3364">
        <f>R8/234.67</f>
        <v>4930.832488174884</v>
      </c>
      <c r="T8" s="3395" t="s">
        <v>3415</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3436</v>
      </c>
      <c r="B9" s="3397">
        <v>2016</v>
      </c>
      <c r="C9" s="3379" t="s">
        <v>3437</v>
      </c>
      <c r="D9" s="3379" t="s">
        <v>3438</v>
      </c>
      <c r="E9" s="3379" t="s">
        <v>3408</v>
      </c>
      <c r="F9" s="3379" t="s">
        <v>3439</v>
      </c>
      <c r="G9" s="3379" t="s">
        <v>3440</v>
      </c>
      <c r="H9" s="3379">
        <v>18.43</v>
      </c>
      <c r="I9" s="3379">
        <v>5.5</v>
      </c>
      <c r="J9" s="3379">
        <v>10.029999999999999</v>
      </c>
      <c r="K9" s="3379">
        <v>98018.04</v>
      </c>
      <c r="L9" s="3398" t="s">
        <v>3441</v>
      </c>
      <c r="M9" s="3379" t="s">
        <v>3442</v>
      </c>
      <c r="N9" s="3381" t="s">
        <v>3422</v>
      </c>
      <c r="O9" s="3382">
        <v>50.75</v>
      </c>
      <c r="P9" s="3379">
        <v>368438.01</v>
      </c>
      <c r="Q9" s="3379">
        <f t="shared" si="0"/>
        <v>7259.8622660098526</v>
      </c>
      <c r="R9" s="3379">
        <v>285664.32</v>
      </c>
      <c r="S9" s="3379">
        <f t="shared" si="1"/>
        <v>5628.8535960591134</v>
      </c>
      <c r="T9" s="3383" t="s">
        <v>3415</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3570</v>
      </c>
      <c r="O11" s="3447">
        <v>54.943399999999997</v>
      </c>
      <c r="U11" s="3447">
        <v>148296.41099999999</v>
      </c>
      <c r="Z11" s="3448"/>
      <c r="AA11" s="3449"/>
      <c r="AB11" s="3447">
        <f>U11/O11</f>
        <v>2699.0759763684082</v>
      </c>
      <c r="AC11" s="3450" t="s">
        <v>3522</v>
      </c>
      <c r="AD11" s="3447">
        <f>(AD3+AD5+AD9)/3</f>
        <v>5858.0466666666662</v>
      </c>
    </row>
    <row r="12" spans="1:32" s="3447" customFormat="1" ht="38.25" customHeight="1">
      <c r="C12" s="3379" t="s">
        <v>3523</v>
      </c>
      <c r="O12" s="3447">
        <v>63.74803</v>
      </c>
      <c r="U12" s="3447">
        <v>271577.27</v>
      </c>
      <c r="AB12" s="3447">
        <f t="shared" ref="AB12:AB13" si="6">U12/O12</f>
        <v>4260.1672553645976</v>
      </c>
      <c r="AD12" s="3447">
        <f>AD11*666.67/10000</f>
        <v>390.53839712666661</v>
      </c>
    </row>
    <row r="13" spans="1:32" s="3447" customFormat="1" ht="51.75" customHeight="1">
      <c r="C13" s="3379" t="s">
        <v>3571</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91" t="s">
        <v>3573</v>
      </c>
      <c r="E26" s="3491" t="s">
        <v>3572</v>
      </c>
      <c r="F26" s="3490" t="s">
        <v>3524</v>
      </c>
      <c r="G26" s="3492" t="s">
        <v>3577</v>
      </c>
    </row>
    <row r="27" spans="4:32" ht="72">
      <c r="D27" s="3491" t="s">
        <v>3574</v>
      </c>
      <c r="E27" s="3489" t="s">
        <v>3570</v>
      </c>
      <c r="F27" s="3491">
        <v>54.943399999999997</v>
      </c>
      <c r="G27" s="3491">
        <v>2699.0759763684082</v>
      </c>
    </row>
    <row r="28" spans="4:32" ht="72">
      <c r="D28" s="3491" t="s">
        <v>3575</v>
      </c>
      <c r="E28" s="3489" t="s">
        <v>3523</v>
      </c>
      <c r="F28" s="3491">
        <v>63.74803</v>
      </c>
      <c r="G28" s="3491">
        <v>4260.1672553645976</v>
      </c>
    </row>
    <row r="29" spans="4:32" ht="48">
      <c r="D29" s="3491" t="s">
        <v>3576</v>
      </c>
      <c r="E29" s="3489" t="s">
        <v>3571</v>
      </c>
      <c r="F29" s="3491">
        <v>15.28</v>
      </c>
      <c r="G29" s="3491">
        <v>10901.078534031414</v>
      </c>
    </row>
  </sheetData>
  <mergeCells count="19">
    <mergeCell ref="AB1:AB2"/>
    <mergeCell ref="V1:V2"/>
    <mergeCell ref="W1:W2"/>
    <mergeCell ref="X1:X2"/>
    <mergeCell ref="Y1:Y2"/>
    <mergeCell ref="Z1:Z2"/>
    <mergeCell ref="AA1:AA2"/>
    <mergeCell ref="U1:U2"/>
    <mergeCell ref="B1:B2"/>
    <mergeCell ref="C1:C2"/>
    <mergeCell ref="D1:D2"/>
    <mergeCell ref="E1:E2"/>
    <mergeCell ref="F1:F2"/>
    <mergeCell ref="G1:G2"/>
    <mergeCell ref="H1:I1"/>
    <mergeCell ref="J1:J2"/>
    <mergeCell ref="K1:K2"/>
    <mergeCell ref="L1:L2"/>
    <mergeCell ref="M1:T1"/>
  </mergeCells>
  <phoneticPr fontId="281"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V35" sqref="V3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844" t="s">
        <v>2579</v>
      </c>
      <c r="C1" s="3844"/>
      <c r="D1" s="3844"/>
      <c r="E1" s="3844"/>
      <c r="F1" s="3844"/>
      <c r="G1" s="3843" t="s">
        <v>2580</v>
      </c>
      <c r="H1" s="3843"/>
      <c r="I1" s="3843"/>
      <c r="J1" s="3843"/>
      <c r="K1" s="3843"/>
      <c r="L1" s="3843"/>
      <c r="N1" s="3843" t="s">
        <v>2581</v>
      </c>
      <c r="O1" s="3843"/>
      <c r="P1" s="3843"/>
      <c r="Q1" s="3843"/>
      <c r="R1" s="2679"/>
      <c r="S1" s="3843" t="s">
        <v>2582</v>
      </c>
      <c r="T1" s="3843"/>
      <c r="U1" s="3843"/>
      <c r="V1" s="3843"/>
      <c r="X1" s="3842" t="s">
        <v>2642</v>
      </c>
      <c r="Y1" s="3843"/>
      <c r="Z1" s="3843"/>
      <c r="AA1" s="3843"/>
      <c r="AB1" s="3843"/>
      <c r="AD1" s="3842" t="s">
        <v>2646</v>
      </c>
      <c r="AE1" s="3843"/>
      <c r="AF1" s="3843"/>
      <c r="AG1" s="3843"/>
      <c r="AH1" s="3843"/>
    </row>
    <row r="2" spans="1:34" s="2781" customFormat="1" ht="14.25" thickBot="1">
      <c r="B2" s="2789" t="s">
        <v>2583</v>
      </c>
      <c r="C2" s="2789" t="s">
        <v>2644</v>
      </c>
      <c r="D2" s="2782" t="s">
        <v>1644</v>
      </c>
      <c r="E2" s="2782" t="s">
        <v>1951</v>
      </c>
      <c r="F2" s="2789" t="s">
        <v>2645</v>
      </c>
      <c r="G2" s="2785"/>
      <c r="H2" s="2784"/>
      <c r="I2" s="2789" t="s">
        <v>2958</v>
      </c>
      <c r="J2" s="2782" t="s">
        <v>2960</v>
      </c>
      <c r="K2" s="2782" t="s">
        <v>2961</v>
      </c>
      <c r="L2" s="2789" t="s">
        <v>2962</v>
      </c>
      <c r="N2" s="2789" t="s">
        <v>2583</v>
      </c>
      <c r="O2" s="2782" t="s">
        <v>2959</v>
      </c>
      <c r="P2" s="2782" t="s">
        <v>1951</v>
      </c>
      <c r="Q2" s="2789" t="s">
        <v>2645</v>
      </c>
      <c r="R2" s="2783"/>
      <c r="S2" s="2789" t="s">
        <v>2583</v>
      </c>
      <c r="T2" s="2782" t="s">
        <v>2959</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25">
      <c r="A3" s="3174" t="s">
        <v>2971</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2972</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6" customFormat="1" ht="13.5" thickBot="1">
      <c r="A6" s="2680" t="s">
        <v>2979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2969</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851">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846"/>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846"/>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847"/>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845">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846"/>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846"/>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847"/>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845">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846"/>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846"/>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847"/>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848">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849"/>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849"/>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850"/>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845">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846"/>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846"/>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847"/>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845">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846">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846">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847">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845">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846">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846">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847">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845">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846">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846">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847">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845">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846">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846">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847">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845">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846">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846">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847">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845">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846">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846">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847">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845">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846">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846">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847">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845">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846">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846">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847">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845">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846">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846">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847">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845">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846">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846">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847">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7"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workbookViewId="0">
      <selection activeCell="G53" sqref="G53"/>
    </sheetView>
  </sheetViews>
  <sheetFormatPr defaultColWidth="11.25" defaultRowHeight="24.95" customHeight="1"/>
  <cols>
    <col min="1" max="1" width="7.25" style="3187" customWidth="1"/>
    <col min="2" max="2" width="13.5" style="3187" customWidth="1"/>
    <col min="3" max="3" width="12.75" style="3445" customWidth="1"/>
    <col min="4" max="4" width="12.5" style="3445" customWidth="1"/>
    <col min="5" max="5" width="11.25" style="3445"/>
    <col min="6" max="6" width="15.125" style="3445" customWidth="1"/>
    <col min="7" max="7" width="11.25" style="3187"/>
    <col min="8" max="16384" width="11.25" style="3189"/>
  </cols>
  <sheetData>
    <row r="1" spans="1:6" ht="24.95" customHeight="1">
      <c r="A1" s="3186" t="s">
        <v>3027</v>
      </c>
      <c r="B1" s="3186" t="s">
        <v>3028</v>
      </c>
      <c r="C1" s="3443" t="s">
        <v>3029</v>
      </c>
      <c r="D1" s="3443" t="s">
        <v>3030</v>
      </c>
      <c r="E1" s="3446" t="s">
        <v>3031</v>
      </c>
      <c r="F1" s="3443" t="s">
        <v>3032</v>
      </c>
    </row>
    <row r="2" spans="1:6" ht="24.95" customHeight="1">
      <c r="A2" s="3188">
        <v>1</v>
      </c>
      <c r="B2" s="3225" t="s">
        <v>3112</v>
      </c>
      <c r="C2" s="3444" t="s">
        <v>3033</v>
      </c>
      <c r="D2" s="3444">
        <f>(12+20)/2*(5+20)/2</f>
        <v>200</v>
      </c>
      <c r="E2" s="3444">
        <v>2</v>
      </c>
      <c r="F2" s="3444">
        <f>D2*E2</f>
        <v>400</v>
      </c>
    </row>
    <row r="3" spans="1:6" ht="24.95" customHeight="1">
      <c r="A3" s="3852">
        <v>2</v>
      </c>
      <c r="B3" s="3852" t="s">
        <v>3034</v>
      </c>
      <c r="C3" s="3444" t="s">
        <v>3033</v>
      </c>
      <c r="D3" s="3444">
        <f>(12+20)/2*(5+20)/2</f>
        <v>200</v>
      </c>
      <c r="E3" s="3444">
        <v>229</v>
      </c>
      <c r="F3" s="3444">
        <f t="shared" ref="F3:F43" si="0">D3*E3</f>
        <v>45800</v>
      </c>
    </row>
    <row r="4" spans="1:6" ht="24.95" customHeight="1">
      <c r="A4" s="3852"/>
      <c r="B4" s="3852"/>
      <c r="C4" s="3444" t="s">
        <v>3035</v>
      </c>
      <c r="D4" s="3444">
        <f>(32+48+100)/3*(25+35+45)/3</f>
        <v>2100</v>
      </c>
      <c r="E4" s="3444">
        <v>132</v>
      </c>
      <c r="F4" s="3444">
        <f t="shared" si="0"/>
        <v>277200</v>
      </c>
    </row>
    <row r="5" spans="1:6" ht="24.95" customHeight="1">
      <c r="A5" s="3852">
        <v>3</v>
      </c>
      <c r="B5" s="3852" t="s">
        <v>3036</v>
      </c>
      <c r="C5" s="3444" t="s">
        <v>3033</v>
      </c>
      <c r="D5" s="3444">
        <f>(28+52)/2*(5+20)/2</f>
        <v>500</v>
      </c>
      <c r="E5" s="3444">
        <v>11</v>
      </c>
      <c r="F5" s="3444">
        <f t="shared" si="0"/>
        <v>5500</v>
      </c>
    </row>
    <row r="6" spans="1:6" ht="24.95" customHeight="1">
      <c r="A6" s="3852"/>
      <c r="B6" s="3852"/>
      <c r="C6" s="3444" t="s">
        <v>3035</v>
      </c>
      <c r="D6" s="3444">
        <f>(76+104+150)/3*(25+35+45)/3</f>
        <v>3850</v>
      </c>
      <c r="E6" s="3444">
        <v>6</v>
      </c>
      <c r="F6" s="3444">
        <f t="shared" si="0"/>
        <v>23100</v>
      </c>
    </row>
    <row r="7" spans="1:6" ht="24.95" customHeight="1">
      <c r="A7" s="3852"/>
      <c r="B7" s="3852"/>
      <c r="C7" s="3444" t="s">
        <v>3037</v>
      </c>
      <c r="D7" s="3444">
        <f>150*50</f>
        <v>7500</v>
      </c>
      <c r="E7" s="3444">
        <v>1</v>
      </c>
      <c r="F7" s="3444">
        <f t="shared" si="0"/>
        <v>7500</v>
      </c>
    </row>
    <row r="8" spans="1:6" ht="24.95" customHeight="1">
      <c r="A8" s="3188">
        <v>4</v>
      </c>
      <c r="B8" s="3188" t="s">
        <v>3038</v>
      </c>
      <c r="C8" s="3444" t="s">
        <v>3033</v>
      </c>
      <c r="D8" s="3444">
        <f>(28+52)/2*(5+20)/2</f>
        <v>500</v>
      </c>
      <c r="E8" s="3444">
        <v>3</v>
      </c>
      <c r="F8" s="3444">
        <f t="shared" si="0"/>
        <v>1500</v>
      </c>
    </row>
    <row r="9" spans="1:6" ht="24.95" customHeight="1">
      <c r="A9" s="3852">
        <v>5</v>
      </c>
      <c r="B9" s="3852" t="s">
        <v>3039</v>
      </c>
      <c r="C9" s="3444" t="s">
        <v>3033</v>
      </c>
      <c r="D9" s="3444">
        <f>(12+20)/2*(5+20)/2</f>
        <v>200</v>
      </c>
      <c r="E9" s="3444">
        <v>22</v>
      </c>
      <c r="F9" s="3444">
        <f t="shared" si="0"/>
        <v>4400</v>
      </c>
    </row>
    <row r="10" spans="1:6" ht="24.95" customHeight="1">
      <c r="A10" s="3852"/>
      <c r="B10" s="3852"/>
      <c r="C10" s="3444" t="s">
        <v>3035</v>
      </c>
      <c r="D10" s="3444">
        <f>(32+48+100)/3*(25+35+45)/3</f>
        <v>2100</v>
      </c>
      <c r="E10" s="3444">
        <v>170</v>
      </c>
      <c r="F10" s="3444">
        <f t="shared" si="0"/>
        <v>357000</v>
      </c>
    </row>
    <row r="11" spans="1:6" ht="24.95" customHeight="1">
      <c r="A11" s="3852"/>
      <c r="B11" s="3852"/>
      <c r="C11" s="3444" t="s">
        <v>3037</v>
      </c>
      <c r="D11" s="3444">
        <f>100*50</f>
        <v>5000</v>
      </c>
      <c r="E11" s="3444">
        <v>4</v>
      </c>
      <c r="F11" s="3444">
        <f t="shared" si="0"/>
        <v>20000</v>
      </c>
    </row>
    <row r="12" spans="1:6" ht="24.95" customHeight="1">
      <c r="A12" s="3852">
        <v>6</v>
      </c>
      <c r="B12" s="3852" t="s">
        <v>3040</v>
      </c>
      <c r="C12" s="3444" t="s">
        <v>3033</v>
      </c>
      <c r="D12" s="3444">
        <f>ROUND((6+12)/2*(5+20)/2,0)</f>
        <v>113</v>
      </c>
      <c r="E12" s="3444">
        <v>1</v>
      </c>
      <c r="F12" s="3444">
        <f t="shared" si="0"/>
        <v>113</v>
      </c>
    </row>
    <row r="13" spans="1:6" ht="24.95" customHeight="1">
      <c r="A13" s="3852"/>
      <c r="B13" s="3852"/>
      <c r="C13" s="3444" t="s">
        <v>3035</v>
      </c>
      <c r="D13" s="3444">
        <f>(20+32+56)/3*(25+35+45)/3</f>
        <v>1260</v>
      </c>
      <c r="E13" s="3444">
        <v>78</v>
      </c>
      <c r="F13" s="3444">
        <f t="shared" si="0"/>
        <v>98280</v>
      </c>
    </row>
    <row r="14" spans="1:6" ht="24.95" customHeight="1">
      <c r="A14" s="3852"/>
      <c r="B14" s="3852"/>
      <c r="C14" s="3444" t="s">
        <v>3037</v>
      </c>
      <c r="D14" s="3444">
        <f>56*50</f>
        <v>2800</v>
      </c>
      <c r="E14" s="3444">
        <v>38</v>
      </c>
      <c r="F14" s="3444">
        <f t="shared" si="0"/>
        <v>106400</v>
      </c>
    </row>
    <row r="15" spans="1:6" ht="24.95" customHeight="1">
      <c r="A15" s="3188">
        <v>7</v>
      </c>
      <c r="B15" s="3188" t="s">
        <v>3041</v>
      </c>
      <c r="C15" s="3444" t="s">
        <v>3033</v>
      </c>
      <c r="D15" s="3444">
        <f>(12+20)/2*(5+20)/2</f>
        <v>200</v>
      </c>
      <c r="E15" s="3444">
        <v>94</v>
      </c>
      <c r="F15" s="3444">
        <f t="shared" si="0"/>
        <v>18800</v>
      </c>
    </row>
    <row r="16" spans="1:6" ht="24.95" customHeight="1">
      <c r="A16" s="3852">
        <v>8</v>
      </c>
      <c r="B16" s="3852" t="s">
        <v>3042</v>
      </c>
      <c r="C16" s="3444" t="s">
        <v>3033</v>
      </c>
      <c r="D16" s="3444">
        <f>(12+20)/2*(5+20)/2</f>
        <v>200</v>
      </c>
      <c r="E16" s="3444">
        <v>6</v>
      </c>
      <c r="F16" s="3444">
        <f t="shared" si="0"/>
        <v>1200</v>
      </c>
    </row>
    <row r="17" spans="1:6" ht="24.95" customHeight="1">
      <c r="A17" s="3852"/>
      <c r="B17" s="3852"/>
      <c r="C17" s="3444" t="s">
        <v>3035</v>
      </c>
      <c r="D17" s="3444">
        <f>(32+48+100)/3*(25+35+45)/3</f>
        <v>2100</v>
      </c>
      <c r="E17" s="3444">
        <v>1</v>
      </c>
      <c r="F17" s="3444">
        <f t="shared" si="0"/>
        <v>2100</v>
      </c>
    </row>
    <row r="18" spans="1:6" ht="24.95" customHeight="1">
      <c r="A18" s="3852"/>
      <c r="B18" s="3852"/>
      <c r="C18" s="3444" t="s">
        <v>3037</v>
      </c>
      <c r="D18" s="3444">
        <f>100*50</f>
        <v>5000</v>
      </c>
      <c r="E18" s="3444">
        <v>1</v>
      </c>
      <c r="F18" s="3444">
        <f t="shared" si="0"/>
        <v>5000</v>
      </c>
    </row>
    <row r="19" spans="1:6" ht="24.95" customHeight="1">
      <c r="A19" s="3188">
        <v>9</v>
      </c>
      <c r="B19" s="3188" t="s">
        <v>3043</v>
      </c>
      <c r="C19" s="3444" t="s">
        <v>3033</v>
      </c>
      <c r="D19" s="3444">
        <f>(28+52)/2*(5+20)/2</f>
        <v>500</v>
      </c>
      <c r="E19" s="3444">
        <v>15</v>
      </c>
      <c r="F19" s="3444">
        <f t="shared" si="0"/>
        <v>7500</v>
      </c>
    </row>
    <row r="20" spans="1:6" ht="24.95" customHeight="1">
      <c r="A20" s="3852">
        <v>10</v>
      </c>
      <c r="B20" s="3852" t="s">
        <v>3044</v>
      </c>
      <c r="C20" s="3444" t="s">
        <v>3033</v>
      </c>
      <c r="D20" s="3444">
        <f>(28+52)/2*(5+20)/2</f>
        <v>500</v>
      </c>
      <c r="E20" s="3444">
        <v>11</v>
      </c>
      <c r="F20" s="3444">
        <f t="shared" si="0"/>
        <v>5500</v>
      </c>
    </row>
    <row r="21" spans="1:6" ht="24.95" customHeight="1">
      <c r="A21" s="3852"/>
      <c r="B21" s="3852"/>
      <c r="C21" s="3444" t="s">
        <v>3035</v>
      </c>
      <c r="D21" s="3444">
        <f>(76+104+150)/3*(25+35+45)/3</f>
        <v>3850</v>
      </c>
      <c r="E21" s="3444">
        <v>2</v>
      </c>
      <c r="F21" s="3444">
        <f t="shared" si="0"/>
        <v>7700</v>
      </c>
    </row>
    <row r="22" spans="1:6" ht="24.95" customHeight="1">
      <c r="A22" s="3852">
        <v>11</v>
      </c>
      <c r="B22" s="3852" t="s">
        <v>3045</v>
      </c>
      <c r="C22" s="3444" t="s">
        <v>3033</v>
      </c>
      <c r="D22" s="3444">
        <f>(12+20)/2*(5+20)/2</f>
        <v>200</v>
      </c>
      <c r="E22" s="3444">
        <v>66</v>
      </c>
      <c r="F22" s="3444">
        <f t="shared" si="0"/>
        <v>13200</v>
      </c>
    </row>
    <row r="23" spans="1:6" ht="24.95" customHeight="1">
      <c r="A23" s="3852"/>
      <c r="B23" s="3852"/>
      <c r="C23" s="3444" t="s">
        <v>3035</v>
      </c>
      <c r="D23" s="3444">
        <f>(32+48+100)/3*(25+35+45)/3</f>
        <v>2100</v>
      </c>
      <c r="E23" s="3444">
        <v>13</v>
      </c>
      <c r="F23" s="3444">
        <f t="shared" si="0"/>
        <v>27300</v>
      </c>
    </row>
    <row r="24" spans="1:6" ht="24.95" customHeight="1">
      <c r="A24" s="3852">
        <v>12</v>
      </c>
      <c r="B24" s="3852" t="s">
        <v>3046</v>
      </c>
      <c r="C24" s="3444" t="s">
        <v>3033</v>
      </c>
      <c r="D24" s="3444">
        <f>(28+52)/2*(5+20)/2</f>
        <v>500</v>
      </c>
      <c r="E24" s="3444">
        <v>3</v>
      </c>
      <c r="F24" s="3444">
        <f t="shared" si="0"/>
        <v>1500</v>
      </c>
    </row>
    <row r="25" spans="1:6" ht="24.95" customHeight="1">
      <c r="A25" s="3852"/>
      <c r="B25" s="3852"/>
      <c r="C25" s="3444" t="s">
        <v>3035</v>
      </c>
      <c r="D25" s="3444">
        <f>(76+104+150)/3*(25+35+45)/3</f>
        <v>3850</v>
      </c>
      <c r="E25" s="3444">
        <v>1</v>
      </c>
      <c r="F25" s="3444">
        <f t="shared" si="0"/>
        <v>3850</v>
      </c>
    </row>
    <row r="26" spans="1:6" ht="24.95" customHeight="1">
      <c r="A26" s="3852">
        <v>13</v>
      </c>
      <c r="B26" s="3852" t="s">
        <v>3047</v>
      </c>
      <c r="C26" s="3444" t="s">
        <v>3033</v>
      </c>
      <c r="D26" s="3444">
        <f>(12+20)/2*(5+20)/2</f>
        <v>200</v>
      </c>
      <c r="E26" s="3444">
        <v>2</v>
      </c>
      <c r="F26" s="3444">
        <f t="shared" si="0"/>
        <v>400</v>
      </c>
    </row>
    <row r="27" spans="1:6" ht="24.95" customHeight="1">
      <c r="A27" s="3852"/>
      <c r="B27" s="3852"/>
      <c r="C27" s="3444" t="s">
        <v>3035</v>
      </c>
      <c r="D27" s="3444">
        <f>(32+48+100)/3*(25+35+45)/3</f>
        <v>2100</v>
      </c>
      <c r="E27" s="3444">
        <v>49</v>
      </c>
      <c r="F27" s="3444">
        <f t="shared" si="0"/>
        <v>102900</v>
      </c>
    </row>
    <row r="28" spans="1:6" ht="24.95" customHeight="1">
      <c r="A28" s="3852"/>
      <c r="B28" s="3852"/>
      <c r="C28" s="3444" t="s">
        <v>3037</v>
      </c>
      <c r="D28" s="3444">
        <f>100*50</f>
        <v>5000</v>
      </c>
      <c r="E28" s="3444">
        <v>35</v>
      </c>
      <c r="F28" s="3444">
        <f t="shared" si="0"/>
        <v>175000</v>
      </c>
    </row>
    <row r="29" spans="1:6" ht="24.95" customHeight="1">
      <c r="A29" s="3188">
        <v>14</v>
      </c>
      <c r="B29" s="3188" t="s">
        <v>3048</v>
      </c>
      <c r="C29" s="3444" t="s">
        <v>3035</v>
      </c>
      <c r="D29" s="3444">
        <f>(84+144+240)/2*(5+20)/2</f>
        <v>2925</v>
      </c>
      <c r="E29" s="3444">
        <v>8</v>
      </c>
      <c r="F29" s="3444">
        <f t="shared" si="0"/>
        <v>23400</v>
      </c>
    </row>
    <row r="30" spans="1:6" ht="24.95" customHeight="1">
      <c r="A30" s="3188">
        <v>15</v>
      </c>
      <c r="B30" s="3188" t="s">
        <v>3049</v>
      </c>
      <c r="C30" s="3444" t="s">
        <v>3050</v>
      </c>
      <c r="D30" s="3444">
        <v>0</v>
      </c>
      <c r="E30" s="3444">
        <v>4</v>
      </c>
      <c r="F30" s="3444">
        <f t="shared" si="0"/>
        <v>0</v>
      </c>
    </row>
    <row r="31" spans="1:6" ht="24.95" customHeight="1">
      <c r="A31" s="3852">
        <v>16</v>
      </c>
      <c r="B31" s="3852" t="s">
        <v>3051</v>
      </c>
      <c r="C31" s="3444" t="s">
        <v>3052</v>
      </c>
      <c r="D31" s="3444">
        <v>150</v>
      </c>
      <c r="E31" s="3444">
        <v>11</v>
      </c>
      <c r="F31" s="3444">
        <f t="shared" si="0"/>
        <v>1650</v>
      </c>
    </row>
    <row r="32" spans="1:6" ht="24.95" customHeight="1">
      <c r="A32" s="3852"/>
      <c r="B32" s="3852"/>
      <c r="C32" s="3444" t="s">
        <v>3053</v>
      </c>
      <c r="D32" s="3444">
        <v>150</v>
      </c>
      <c r="E32" s="3444">
        <v>100</v>
      </c>
      <c r="F32" s="3444">
        <f t="shared" si="0"/>
        <v>15000</v>
      </c>
    </row>
    <row r="33" spans="1:6" ht="24.95" customHeight="1">
      <c r="A33" s="3852">
        <v>17</v>
      </c>
      <c r="B33" s="3852" t="s">
        <v>3054</v>
      </c>
      <c r="C33" s="3444" t="s">
        <v>3033</v>
      </c>
      <c r="D33" s="3444">
        <f>ROUND((6+12)/2*(5+20)/2,0)</f>
        <v>113</v>
      </c>
      <c r="E33" s="3444">
        <v>3</v>
      </c>
      <c r="F33" s="3444">
        <f t="shared" si="0"/>
        <v>339</v>
      </c>
    </row>
    <row r="34" spans="1:6" ht="24.95" customHeight="1">
      <c r="A34" s="3852"/>
      <c r="B34" s="3852"/>
      <c r="C34" s="3444" t="s">
        <v>3035</v>
      </c>
      <c r="D34" s="3444">
        <f>(20+32+56)/3*(25+35+45)/3</f>
        <v>1260</v>
      </c>
      <c r="E34" s="3444">
        <v>185</v>
      </c>
      <c r="F34" s="3444">
        <f t="shared" si="0"/>
        <v>233100</v>
      </c>
    </row>
    <row r="35" spans="1:6" ht="24.95" customHeight="1">
      <c r="A35" s="3852"/>
      <c r="B35" s="3852"/>
      <c r="C35" s="3444" t="s">
        <v>3037</v>
      </c>
      <c r="D35" s="3444">
        <f>56*50</f>
        <v>2800</v>
      </c>
      <c r="E35" s="3444">
        <v>62</v>
      </c>
      <c r="F35" s="3444">
        <f t="shared" si="0"/>
        <v>173600</v>
      </c>
    </row>
    <row r="36" spans="1:6" ht="24.95" customHeight="1">
      <c r="A36" s="3852">
        <v>18</v>
      </c>
      <c r="B36" s="3852" t="s">
        <v>3055</v>
      </c>
      <c r="C36" s="3444" t="s">
        <v>3033</v>
      </c>
      <c r="D36" s="3444">
        <f>(28+52)/2*(5+20)/2</f>
        <v>500</v>
      </c>
      <c r="E36" s="3444">
        <v>52</v>
      </c>
      <c r="F36" s="3444">
        <f t="shared" si="0"/>
        <v>26000</v>
      </c>
    </row>
    <row r="37" spans="1:6" ht="24.95" customHeight="1">
      <c r="A37" s="3852"/>
      <c r="B37" s="3852"/>
      <c r="C37" s="3444" t="s">
        <v>3035</v>
      </c>
      <c r="D37" s="3444">
        <f>(76+104+150)/3*(25+35+45)/3</f>
        <v>3850</v>
      </c>
      <c r="E37" s="3444">
        <v>10</v>
      </c>
      <c r="F37" s="3444">
        <f t="shared" si="0"/>
        <v>38500</v>
      </c>
    </row>
    <row r="38" spans="1:6" ht="24.95" customHeight="1">
      <c r="A38" s="3852">
        <v>19</v>
      </c>
      <c r="B38" s="3852" t="s">
        <v>3056</v>
      </c>
      <c r="C38" s="3444" t="s">
        <v>3033</v>
      </c>
      <c r="D38" s="3444">
        <f>(12+20)/2*(5+20)/2</f>
        <v>200</v>
      </c>
      <c r="E38" s="3444">
        <v>90</v>
      </c>
      <c r="F38" s="3444">
        <f t="shared" si="0"/>
        <v>18000</v>
      </c>
    </row>
    <row r="39" spans="1:6" ht="24.95" customHeight="1">
      <c r="A39" s="3852"/>
      <c r="B39" s="3852"/>
      <c r="C39" s="3444" t="s">
        <v>3035</v>
      </c>
      <c r="D39" s="3444">
        <f>(32+48+100)/3*(25+35+45)/3</f>
        <v>2100</v>
      </c>
      <c r="E39" s="3444">
        <v>79</v>
      </c>
      <c r="F39" s="3444">
        <f t="shared" si="0"/>
        <v>165900</v>
      </c>
    </row>
    <row r="40" spans="1:6" ht="24.95" customHeight="1">
      <c r="A40" s="3852"/>
      <c r="B40" s="3852"/>
      <c r="C40" s="3444" t="s">
        <v>3037</v>
      </c>
      <c r="D40" s="3444">
        <f>100*50</f>
        <v>5000</v>
      </c>
      <c r="E40" s="3444">
        <v>18</v>
      </c>
      <c r="F40" s="3444">
        <f t="shared" si="0"/>
        <v>90000</v>
      </c>
    </row>
    <row r="41" spans="1:6" ht="24.95" customHeight="1">
      <c r="A41" s="3852">
        <v>20</v>
      </c>
      <c r="B41" s="3852" t="s">
        <v>3057</v>
      </c>
      <c r="C41" s="3444" t="s">
        <v>3033</v>
      </c>
      <c r="D41" s="3444">
        <f>(20+44)/2*(5+20)/2</f>
        <v>400</v>
      </c>
      <c r="E41" s="3444">
        <v>8</v>
      </c>
      <c r="F41" s="3444">
        <f t="shared" si="0"/>
        <v>3200</v>
      </c>
    </row>
    <row r="42" spans="1:6" ht="24.95" customHeight="1">
      <c r="A42" s="3852"/>
      <c r="B42" s="3852"/>
      <c r="C42" s="3444" t="s">
        <v>3035</v>
      </c>
      <c r="D42" s="3444">
        <f>D29</f>
        <v>2925</v>
      </c>
      <c r="E42" s="3444">
        <v>3</v>
      </c>
      <c r="F42" s="3444">
        <f t="shared" si="0"/>
        <v>8775</v>
      </c>
    </row>
    <row r="43" spans="1:6" ht="24.95" customHeight="1">
      <c r="A43" s="3188">
        <v>21</v>
      </c>
      <c r="B43" s="3188" t="s">
        <v>3058</v>
      </c>
      <c r="C43" s="3444" t="s">
        <v>3035</v>
      </c>
      <c r="D43" s="3444">
        <f>D29</f>
        <v>2925</v>
      </c>
      <c r="E43" s="3444">
        <v>2</v>
      </c>
      <c r="F43" s="3444">
        <f t="shared" si="0"/>
        <v>5850</v>
      </c>
    </row>
    <row r="44" spans="1:6" ht="24.95" customHeight="1">
      <c r="A44" s="3462" t="s">
        <v>3111</v>
      </c>
      <c r="B44" s="3463"/>
      <c r="C44" s="3463"/>
      <c r="D44" s="3463"/>
      <c r="E44" s="3464">
        <f>SUM(E2:E43)</f>
        <v>1631</v>
      </c>
      <c r="F44" s="3444">
        <f>ROUND(SUM(F2:F43)/10000,2)</f>
        <v>212.25</v>
      </c>
    </row>
  </sheetData>
  <autoFilter ref="A1:G43"/>
  <mergeCells count="28">
    <mergeCell ref="A38:A40"/>
    <mergeCell ref="B38:B40"/>
    <mergeCell ref="A41:A42"/>
    <mergeCell ref="B41:B42"/>
    <mergeCell ref="A31:A32"/>
    <mergeCell ref="B31:B32"/>
    <mergeCell ref="A33:A35"/>
    <mergeCell ref="B33:B35"/>
    <mergeCell ref="A36:A37"/>
    <mergeCell ref="B36:B37"/>
    <mergeCell ref="A22:A23"/>
    <mergeCell ref="B22:B23"/>
    <mergeCell ref="A24:A25"/>
    <mergeCell ref="B24:B25"/>
    <mergeCell ref="A26:A28"/>
    <mergeCell ref="B26:B28"/>
    <mergeCell ref="A12:A14"/>
    <mergeCell ref="B12:B14"/>
    <mergeCell ref="A16:A18"/>
    <mergeCell ref="B16:B18"/>
    <mergeCell ref="A20:A21"/>
    <mergeCell ref="B20:B21"/>
    <mergeCell ref="A3:A4"/>
    <mergeCell ref="B3:B4"/>
    <mergeCell ref="A5:A7"/>
    <mergeCell ref="B5:B7"/>
    <mergeCell ref="A9:A11"/>
    <mergeCell ref="B9:B11"/>
  </mergeCells>
  <phoneticPr fontId="237"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4"/>
  <sheetViews>
    <sheetView zoomScale="115" zoomScaleNormal="115" workbookViewId="0">
      <selection activeCell="E3" sqref="E3:E8"/>
    </sheetView>
  </sheetViews>
  <sheetFormatPr defaultRowHeight="13.5"/>
  <cols>
    <col min="1" max="1" width="9" style="1794"/>
    <col min="2" max="2" width="18.375" style="1794" customWidth="1"/>
    <col min="3" max="3" width="9" style="1794"/>
    <col min="4" max="4" width="11.5" style="1794" customWidth="1"/>
    <col min="5" max="6" width="9" style="1794"/>
    <col min="7" max="7" width="13.25" style="1794" customWidth="1"/>
  </cols>
  <sheetData>
    <row r="1" spans="1:19" s="3190" customFormat="1" ht="22.5" customHeight="1">
      <c r="A1" s="3357" t="s">
        <v>3241</v>
      </c>
      <c r="B1" s="3357" t="s">
        <v>3240</v>
      </c>
      <c r="C1" s="3357" t="s">
        <v>3243</v>
      </c>
      <c r="D1" s="3357" t="s">
        <v>3547</v>
      </c>
      <c r="E1" s="3357" t="s">
        <v>3356</v>
      </c>
      <c r="F1" s="3357" t="s">
        <v>3354</v>
      </c>
      <c r="G1" s="3357" t="s">
        <v>3359</v>
      </c>
      <c r="H1"/>
      <c r="I1"/>
      <c r="J1"/>
      <c r="K1"/>
      <c r="L1"/>
      <c r="M1"/>
      <c r="N1"/>
      <c r="O1"/>
      <c r="P1"/>
      <c r="Q1"/>
      <c r="S1" s="3192"/>
    </row>
    <row r="2" spans="1:19">
      <c r="A2" s="3355">
        <v>1</v>
      </c>
      <c r="B2" s="3355" t="s">
        <v>3545</v>
      </c>
      <c r="C2" s="3355" t="s">
        <v>3546</v>
      </c>
      <c r="D2" s="3356">
        <f>'附属物-树木'!E44</f>
        <v>1631</v>
      </c>
      <c r="E2" s="3440"/>
      <c r="F2" s="3356"/>
      <c r="G2" s="3356"/>
    </row>
    <row r="3" spans="1:19" s="3433" customFormat="1">
      <c r="A3" s="3441">
        <v>2</v>
      </c>
      <c r="B3" s="3442" t="s">
        <v>3539</v>
      </c>
      <c r="C3" s="3442" t="s">
        <v>3540</v>
      </c>
      <c r="D3" s="3441">
        <v>133</v>
      </c>
      <c r="E3" s="3441">
        <v>5</v>
      </c>
      <c r="F3" s="3441">
        <v>0.6</v>
      </c>
      <c r="G3" s="3356">
        <f>ROUND(D3*E3*F3*$B$12/10000,2)</f>
        <v>11.77</v>
      </c>
    </row>
    <row r="4" spans="1:19">
      <c r="A4" s="3355">
        <v>3</v>
      </c>
      <c r="B4" s="3355" t="s">
        <v>3242</v>
      </c>
      <c r="C4" s="3355" t="s">
        <v>3244</v>
      </c>
      <c r="D4" s="3356">
        <f>附属物列表!E25+附属物列表!E28+附属物列表!E32+附属物列表!E35</f>
        <v>2571</v>
      </c>
      <c r="E4" s="3440">
        <v>1.0900000000000001</v>
      </c>
      <c r="F4" s="3356">
        <v>0.6</v>
      </c>
      <c r="G4" s="3356">
        <f t="shared" ref="G4:G8" si="0">ROUND(D4*E4*F4*$B$12/10000,2)</f>
        <v>49.6</v>
      </c>
    </row>
    <row r="5" spans="1:19" s="3433" customFormat="1">
      <c r="A5" s="3441">
        <v>4</v>
      </c>
      <c r="B5" s="3442" t="s">
        <v>3541</v>
      </c>
      <c r="C5" s="3442" t="s">
        <v>3542</v>
      </c>
      <c r="D5" s="3441">
        <f>附属物列表!E24+附属物列表!E27</f>
        <v>459</v>
      </c>
      <c r="E5" s="3441">
        <v>0.4</v>
      </c>
      <c r="F5" s="3441">
        <v>0.6</v>
      </c>
      <c r="G5" s="3356">
        <f t="shared" si="0"/>
        <v>3.25</v>
      </c>
    </row>
    <row r="6" spans="1:19">
      <c r="A6" s="3355">
        <v>5</v>
      </c>
      <c r="B6" s="3355" t="s">
        <v>3357</v>
      </c>
      <c r="C6" s="3355" t="s">
        <v>3245</v>
      </c>
      <c r="D6" s="3356">
        <f>附属物列表!G23</f>
        <v>15971.3</v>
      </c>
      <c r="E6" s="3440">
        <v>0.05</v>
      </c>
      <c r="F6" s="3356">
        <v>0.6</v>
      </c>
      <c r="G6" s="3356">
        <f t="shared" si="0"/>
        <v>14.13</v>
      </c>
    </row>
    <row r="7" spans="1:19" s="3433" customFormat="1">
      <c r="A7" s="3441">
        <v>6</v>
      </c>
      <c r="B7" s="3442" t="s">
        <v>3543</v>
      </c>
      <c r="C7" s="3442" t="s">
        <v>3544</v>
      </c>
      <c r="D7" s="3441">
        <f>附属物列表!G22</f>
        <v>588.4</v>
      </c>
      <c r="E7" s="3441">
        <v>0.37</v>
      </c>
      <c r="F7" s="3441">
        <v>0.6</v>
      </c>
      <c r="G7" s="3356">
        <f t="shared" si="0"/>
        <v>3.85</v>
      </c>
    </row>
    <row r="8" spans="1:19">
      <c r="A8" s="3355">
        <v>7</v>
      </c>
      <c r="B8" s="3355" t="s">
        <v>3507</v>
      </c>
      <c r="C8" s="3355" t="s">
        <v>3508</v>
      </c>
      <c r="D8" s="3356">
        <f>附属物列表!G30</f>
        <v>44419</v>
      </c>
      <c r="E8" s="3440">
        <v>0.05</v>
      </c>
      <c r="F8" s="3356">
        <v>0.6</v>
      </c>
      <c r="G8" s="3356">
        <f t="shared" si="0"/>
        <v>39.31</v>
      </c>
    </row>
    <row r="9" spans="1:19">
      <c r="A9" s="3355" t="s">
        <v>3358</v>
      </c>
      <c r="B9" s="3356"/>
      <c r="C9" s="3356"/>
      <c r="D9" s="3356"/>
      <c r="E9" s="3356"/>
      <c r="F9" s="3356"/>
      <c r="G9" s="3356">
        <f>SUM(G3:G7)</f>
        <v>82.6</v>
      </c>
    </row>
    <row r="12" spans="1:19">
      <c r="A12" s="3354" t="s">
        <v>3355</v>
      </c>
      <c r="B12" s="1794">
        <v>295</v>
      </c>
    </row>
    <row r="13" spans="1:19">
      <c r="J13" s="1794"/>
      <c r="K13" s="1794"/>
      <c r="L13" s="1794"/>
    </row>
    <row r="14" spans="1:19">
      <c r="J14" s="3354"/>
      <c r="K14" s="3354"/>
      <c r="L14" s="3354"/>
    </row>
  </sheetData>
  <phoneticPr fontId="23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L42" sqref="L42"/>
    </sheetView>
  </sheetViews>
  <sheetFormatPr defaultRowHeight="12.75" outlineLevelCol="1"/>
  <cols>
    <col min="1" max="1" width="4.5" style="3300" customWidth="1"/>
    <col min="2" max="2" width="26.5" style="3300" customWidth="1"/>
    <col min="3" max="3" width="8" style="3300" customWidth="1" outlineLevel="1"/>
    <col min="4" max="4" width="11.5" style="3300" customWidth="1" outlineLevel="1"/>
    <col min="5" max="5" width="6.5" style="3300" customWidth="1"/>
    <col min="6" max="6" width="4.75" style="3300" customWidth="1"/>
    <col min="7" max="7" width="22.875" style="3300" customWidth="1"/>
    <col min="8" max="8" width="20.625" style="3300" customWidth="1"/>
    <col min="9" max="9" width="4.875" style="3252" customWidth="1"/>
    <col min="10" max="10" width="11" style="3252" customWidth="1"/>
    <col min="11" max="12" width="11" style="3252" customWidth="1" outlineLevel="1"/>
    <col min="13" max="15" width="11" style="3252" customWidth="1"/>
    <col min="16" max="16" width="6.625" style="3252" customWidth="1"/>
    <col min="17" max="17" width="11" style="3252" customWidth="1"/>
    <col min="18" max="18" width="6.125" style="3252" customWidth="1"/>
    <col min="19" max="19" width="5.75" style="3252" customWidth="1"/>
    <col min="20" max="257" width="9" style="3252"/>
    <col min="258" max="258" width="4.5" style="3252" customWidth="1"/>
    <col min="259" max="259" width="26.5" style="3252" customWidth="1"/>
    <col min="260" max="260" width="8" style="3252" customWidth="1"/>
    <col min="261" max="261" width="6.5" style="3252" customWidth="1"/>
    <col min="262" max="262" width="4.75" style="3252" customWidth="1"/>
    <col min="263" max="263" width="22.875" style="3252" customWidth="1"/>
    <col min="264" max="264" width="20.625" style="3252" customWidth="1"/>
    <col min="265" max="265" width="4.875" style="3252" customWidth="1"/>
    <col min="266" max="271" width="11" style="3252" customWidth="1"/>
    <col min="272" max="272" width="6.625" style="3252" customWidth="1"/>
    <col min="273" max="273" width="11" style="3252" customWidth="1"/>
    <col min="274" max="274" width="6.125" style="3252" customWidth="1"/>
    <col min="275" max="275" width="5.75" style="3252" customWidth="1"/>
    <col min="276" max="513" width="9" style="3252"/>
    <col min="514" max="514" width="4.5" style="3252" customWidth="1"/>
    <col min="515" max="515" width="26.5" style="3252" customWidth="1"/>
    <col min="516" max="516" width="8" style="3252" customWidth="1"/>
    <col min="517" max="517" width="6.5" style="3252" customWidth="1"/>
    <col min="518" max="518" width="4.75" style="3252" customWidth="1"/>
    <col min="519" max="519" width="22.875" style="3252" customWidth="1"/>
    <col min="520" max="520" width="20.625" style="3252" customWidth="1"/>
    <col min="521" max="521" width="4.875" style="3252" customWidth="1"/>
    <col min="522" max="527" width="11" style="3252" customWidth="1"/>
    <col min="528" max="528" width="6.625" style="3252" customWidth="1"/>
    <col min="529" max="529" width="11" style="3252" customWidth="1"/>
    <col min="530" max="530" width="6.125" style="3252" customWidth="1"/>
    <col min="531" max="531" width="5.75" style="3252" customWidth="1"/>
    <col min="532" max="769" width="9" style="3252"/>
    <col min="770" max="770" width="4.5" style="3252" customWidth="1"/>
    <col min="771" max="771" width="26.5" style="3252" customWidth="1"/>
    <col min="772" max="772" width="8" style="3252" customWidth="1"/>
    <col min="773" max="773" width="6.5" style="3252" customWidth="1"/>
    <col min="774" max="774" width="4.75" style="3252" customWidth="1"/>
    <col min="775" max="775" width="22.875" style="3252" customWidth="1"/>
    <col min="776" max="776" width="20.625" style="3252" customWidth="1"/>
    <col min="777" max="777" width="4.875" style="3252" customWidth="1"/>
    <col min="778" max="783" width="11" style="3252" customWidth="1"/>
    <col min="784" max="784" width="6.625" style="3252" customWidth="1"/>
    <col min="785" max="785" width="11" style="3252" customWidth="1"/>
    <col min="786" max="786" width="6.125" style="3252" customWidth="1"/>
    <col min="787" max="787" width="5.75" style="3252" customWidth="1"/>
    <col min="788" max="1025" width="9" style="3252"/>
    <col min="1026" max="1026" width="4.5" style="3252" customWidth="1"/>
    <col min="1027" max="1027" width="26.5" style="3252" customWidth="1"/>
    <col min="1028" max="1028" width="8" style="3252" customWidth="1"/>
    <col min="1029" max="1029" width="6.5" style="3252" customWidth="1"/>
    <col min="1030" max="1030" width="4.75" style="3252" customWidth="1"/>
    <col min="1031" max="1031" width="22.875" style="3252" customWidth="1"/>
    <col min="1032" max="1032" width="20.625" style="3252" customWidth="1"/>
    <col min="1033" max="1033" width="4.875" style="3252" customWidth="1"/>
    <col min="1034" max="1039" width="11" style="3252" customWidth="1"/>
    <col min="1040" max="1040" width="6.625" style="3252" customWidth="1"/>
    <col min="1041" max="1041" width="11" style="3252" customWidth="1"/>
    <col min="1042" max="1042" width="6.125" style="3252" customWidth="1"/>
    <col min="1043" max="1043" width="5.75" style="3252" customWidth="1"/>
    <col min="1044" max="1281" width="9" style="3252"/>
    <col min="1282" max="1282" width="4.5" style="3252" customWidth="1"/>
    <col min="1283" max="1283" width="26.5" style="3252" customWidth="1"/>
    <col min="1284" max="1284" width="8" style="3252" customWidth="1"/>
    <col min="1285" max="1285" width="6.5" style="3252" customWidth="1"/>
    <col min="1286" max="1286" width="4.75" style="3252" customWidth="1"/>
    <col min="1287" max="1287" width="22.875" style="3252" customWidth="1"/>
    <col min="1288" max="1288" width="20.625" style="3252" customWidth="1"/>
    <col min="1289" max="1289" width="4.875" style="3252" customWidth="1"/>
    <col min="1290" max="1295" width="11" style="3252" customWidth="1"/>
    <col min="1296" max="1296" width="6.625" style="3252" customWidth="1"/>
    <col min="1297" max="1297" width="11" style="3252" customWidth="1"/>
    <col min="1298" max="1298" width="6.125" style="3252" customWidth="1"/>
    <col min="1299" max="1299" width="5.75" style="3252" customWidth="1"/>
    <col min="1300" max="1537" width="9" style="3252"/>
    <col min="1538" max="1538" width="4.5" style="3252" customWidth="1"/>
    <col min="1539" max="1539" width="26.5" style="3252" customWidth="1"/>
    <col min="1540" max="1540" width="8" style="3252" customWidth="1"/>
    <col min="1541" max="1541" width="6.5" style="3252" customWidth="1"/>
    <col min="1542" max="1542" width="4.75" style="3252" customWidth="1"/>
    <col min="1543" max="1543" width="22.875" style="3252" customWidth="1"/>
    <col min="1544" max="1544" width="20.625" style="3252" customWidth="1"/>
    <col min="1545" max="1545" width="4.875" style="3252" customWidth="1"/>
    <col min="1546" max="1551" width="11" style="3252" customWidth="1"/>
    <col min="1552" max="1552" width="6.625" style="3252" customWidth="1"/>
    <col min="1553" max="1553" width="11" style="3252" customWidth="1"/>
    <col min="1554" max="1554" width="6.125" style="3252" customWidth="1"/>
    <col min="1555" max="1555" width="5.75" style="3252" customWidth="1"/>
    <col min="1556" max="1793" width="9" style="3252"/>
    <col min="1794" max="1794" width="4.5" style="3252" customWidth="1"/>
    <col min="1795" max="1795" width="26.5" style="3252" customWidth="1"/>
    <col min="1796" max="1796" width="8" style="3252" customWidth="1"/>
    <col min="1797" max="1797" width="6.5" style="3252" customWidth="1"/>
    <col min="1798" max="1798" width="4.75" style="3252" customWidth="1"/>
    <col min="1799" max="1799" width="22.875" style="3252" customWidth="1"/>
    <col min="1800" max="1800" width="20.625" style="3252" customWidth="1"/>
    <col min="1801" max="1801" width="4.875" style="3252" customWidth="1"/>
    <col min="1802" max="1807" width="11" style="3252" customWidth="1"/>
    <col min="1808" max="1808" width="6.625" style="3252" customWidth="1"/>
    <col min="1809" max="1809" width="11" style="3252" customWidth="1"/>
    <col min="1810" max="1810" width="6.125" style="3252" customWidth="1"/>
    <col min="1811" max="1811" width="5.75" style="3252" customWidth="1"/>
    <col min="1812" max="2049" width="9" style="3252"/>
    <col min="2050" max="2050" width="4.5" style="3252" customWidth="1"/>
    <col min="2051" max="2051" width="26.5" style="3252" customWidth="1"/>
    <col min="2052" max="2052" width="8" style="3252" customWidth="1"/>
    <col min="2053" max="2053" width="6.5" style="3252" customWidth="1"/>
    <col min="2054" max="2054" width="4.75" style="3252" customWidth="1"/>
    <col min="2055" max="2055" width="22.875" style="3252" customWidth="1"/>
    <col min="2056" max="2056" width="20.625" style="3252" customWidth="1"/>
    <col min="2057" max="2057" width="4.875" style="3252" customWidth="1"/>
    <col min="2058" max="2063" width="11" style="3252" customWidth="1"/>
    <col min="2064" max="2064" width="6.625" style="3252" customWidth="1"/>
    <col min="2065" max="2065" width="11" style="3252" customWidth="1"/>
    <col min="2066" max="2066" width="6.125" style="3252" customWidth="1"/>
    <col min="2067" max="2067" width="5.75" style="3252" customWidth="1"/>
    <col min="2068" max="2305" width="9" style="3252"/>
    <col min="2306" max="2306" width="4.5" style="3252" customWidth="1"/>
    <col min="2307" max="2307" width="26.5" style="3252" customWidth="1"/>
    <col min="2308" max="2308" width="8" style="3252" customWidth="1"/>
    <col min="2309" max="2309" width="6.5" style="3252" customWidth="1"/>
    <col min="2310" max="2310" width="4.75" style="3252" customWidth="1"/>
    <col min="2311" max="2311" width="22.875" style="3252" customWidth="1"/>
    <col min="2312" max="2312" width="20.625" style="3252" customWidth="1"/>
    <col min="2313" max="2313" width="4.875" style="3252" customWidth="1"/>
    <col min="2314" max="2319" width="11" style="3252" customWidth="1"/>
    <col min="2320" max="2320" width="6.625" style="3252" customWidth="1"/>
    <col min="2321" max="2321" width="11" style="3252" customWidth="1"/>
    <col min="2322" max="2322" width="6.125" style="3252" customWidth="1"/>
    <col min="2323" max="2323" width="5.75" style="3252" customWidth="1"/>
    <col min="2324" max="2561" width="9" style="3252"/>
    <col min="2562" max="2562" width="4.5" style="3252" customWidth="1"/>
    <col min="2563" max="2563" width="26.5" style="3252" customWidth="1"/>
    <col min="2564" max="2564" width="8" style="3252" customWidth="1"/>
    <col min="2565" max="2565" width="6.5" style="3252" customWidth="1"/>
    <col min="2566" max="2566" width="4.75" style="3252" customWidth="1"/>
    <col min="2567" max="2567" width="22.875" style="3252" customWidth="1"/>
    <col min="2568" max="2568" width="20.625" style="3252" customWidth="1"/>
    <col min="2569" max="2569" width="4.875" style="3252" customWidth="1"/>
    <col min="2570" max="2575" width="11" style="3252" customWidth="1"/>
    <col min="2576" max="2576" width="6.625" style="3252" customWidth="1"/>
    <col min="2577" max="2577" width="11" style="3252" customWidth="1"/>
    <col min="2578" max="2578" width="6.125" style="3252" customWidth="1"/>
    <col min="2579" max="2579" width="5.75" style="3252" customWidth="1"/>
    <col min="2580" max="2817" width="9" style="3252"/>
    <col min="2818" max="2818" width="4.5" style="3252" customWidth="1"/>
    <col min="2819" max="2819" width="26.5" style="3252" customWidth="1"/>
    <col min="2820" max="2820" width="8" style="3252" customWidth="1"/>
    <col min="2821" max="2821" width="6.5" style="3252" customWidth="1"/>
    <col min="2822" max="2822" width="4.75" style="3252" customWidth="1"/>
    <col min="2823" max="2823" width="22.875" style="3252" customWidth="1"/>
    <col min="2824" max="2824" width="20.625" style="3252" customWidth="1"/>
    <col min="2825" max="2825" width="4.875" style="3252" customWidth="1"/>
    <col min="2826" max="2831" width="11" style="3252" customWidth="1"/>
    <col min="2832" max="2832" width="6.625" style="3252" customWidth="1"/>
    <col min="2833" max="2833" width="11" style="3252" customWidth="1"/>
    <col min="2834" max="2834" width="6.125" style="3252" customWidth="1"/>
    <col min="2835" max="2835" width="5.75" style="3252" customWidth="1"/>
    <col min="2836" max="3073" width="9" style="3252"/>
    <col min="3074" max="3074" width="4.5" style="3252" customWidth="1"/>
    <col min="3075" max="3075" width="26.5" style="3252" customWidth="1"/>
    <col min="3076" max="3076" width="8" style="3252" customWidth="1"/>
    <col min="3077" max="3077" width="6.5" style="3252" customWidth="1"/>
    <col min="3078" max="3078" width="4.75" style="3252" customWidth="1"/>
    <col min="3079" max="3079" width="22.875" style="3252" customWidth="1"/>
    <col min="3080" max="3080" width="20.625" style="3252" customWidth="1"/>
    <col min="3081" max="3081" width="4.875" style="3252" customWidth="1"/>
    <col min="3082" max="3087" width="11" style="3252" customWidth="1"/>
    <col min="3088" max="3088" width="6.625" style="3252" customWidth="1"/>
    <col min="3089" max="3089" width="11" style="3252" customWidth="1"/>
    <col min="3090" max="3090" width="6.125" style="3252" customWidth="1"/>
    <col min="3091" max="3091" width="5.75" style="3252" customWidth="1"/>
    <col min="3092" max="3329" width="9" style="3252"/>
    <col min="3330" max="3330" width="4.5" style="3252" customWidth="1"/>
    <col min="3331" max="3331" width="26.5" style="3252" customWidth="1"/>
    <col min="3332" max="3332" width="8" style="3252" customWidth="1"/>
    <col min="3333" max="3333" width="6.5" style="3252" customWidth="1"/>
    <col min="3334" max="3334" width="4.75" style="3252" customWidth="1"/>
    <col min="3335" max="3335" width="22.875" style="3252" customWidth="1"/>
    <col min="3336" max="3336" width="20.625" style="3252" customWidth="1"/>
    <col min="3337" max="3337" width="4.875" style="3252" customWidth="1"/>
    <col min="3338" max="3343" width="11" style="3252" customWidth="1"/>
    <col min="3344" max="3344" width="6.625" style="3252" customWidth="1"/>
    <col min="3345" max="3345" width="11" style="3252" customWidth="1"/>
    <col min="3346" max="3346" width="6.125" style="3252" customWidth="1"/>
    <col min="3347" max="3347" width="5.75" style="3252" customWidth="1"/>
    <col min="3348" max="3585" width="9" style="3252"/>
    <col min="3586" max="3586" width="4.5" style="3252" customWidth="1"/>
    <col min="3587" max="3587" width="26.5" style="3252" customWidth="1"/>
    <col min="3588" max="3588" width="8" style="3252" customWidth="1"/>
    <col min="3589" max="3589" width="6.5" style="3252" customWidth="1"/>
    <col min="3590" max="3590" width="4.75" style="3252" customWidth="1"/>
    <col min="3591" max="3591" width="22.875" style="3252" customWidth="1"/>
    <col min="3592" max="3592" width="20.625" style="3252" customWidth="1"/>
    <col min="3593" max="3593" width="4.875" style="3252" customWidth="1"/>
    <col min="3594" max="3599" width="11" style="3252" customWidth="1"/>
    <col min="3600" max="3600" width="6.625" style="3252" customWidth="1"/>
    <col min="3601" max="3601" width="11" style="3252" customWidth="1"/>
    <col min="3602" max="3602" width="6.125" style="3252" customWidth="1"/>
    <col min="3603" max="3603" width="5.75" style="3252" customWidth="1"/>
    <col min="3604" max="3841" width="9" style="3252"/>
    <col min="3842" max="3842" width="4.5" style="3252" customWidth="1"/>
    <col min="3843" max="3843" width="26.5" style="3252" customWidth="1"/>
    <col min="3844" max="3844" width="8" style="3252" customWidth="1"/>
    <col min="3845" max="3845" width="6.5" style="3252" customWidth="1"/>
    <col min="3846" max="3846" width="4.75" style="3252" customWidth="1"/>
    <col min="3847" max="3847" width="22.875" style="3252" customWidth="1"/>
    <col min="3848" max="3848" width="20.625" style="3252" customWidth="1"/>
    <col min="3849" max="3849" width="4.875" style="3252" customWidth="1"/>
    <col min="3850" max="3855" width="11" style="3252" customWidth="1"/>
    <col min="3856" max="3856" width="6.625" style="3252" customWidth="1"/>
    <col min="3857" max="3857" width="11" style="3252" customWidth="1"/>
    <col min="3858" max="3858" width="6.125" style="3252" customWidth="1"/>
    <col min="3859" max="3859" width="5.75" style="3252" customWidth="1"/>
    <col min="3860" max="4097" width="9" style="3252"/>
    <col min="4098" max="4098" width="4.5" style="3252" customWidth="1"/>
    <col min="4099" max="4099" width="26.5" style="3252" customWidth="1"/>
    <col min="4100" max="4100" width="8" style="3252" customWidth="1"/>
    <col min="4101" max="4101" width="6.5" style="3252" customWidth="1"/>
    <col min="4102" max="4102" width="4.75" style="3252" customWidth="1"/>
    <col min="4103" max="4103" width="22.875" style="3252" customWidth="1"/>
    <col min="4104" max="4104" width="20.625" style="3252" customWidth="1"/>
    <col min="4105" max="4105" width="4.875" style="3252" customWidth="1"/>
    <col min="4106" max="4111" width="11" style="3252" customWidth="1"/>
    <col min="4112" max="4112" width="6.625" style="3252" customWidth="1"/>
    <col min="4113" max="4113" width="11" style="3252" customWidth="1"/>
    <col min="4114" max="4114" width="6.125" style="3252" customWidth="1"/>
    <col min="4115" max="4115" width="5.75" style="3252" customWidth="1"/>
    <col min="4116" max="4353" width="9" style="3252"/>
    <col min="4354" max="4354" width="4.5" style="3252" customWidth="1"/>
    <col min="4355" max="4355" width="26.5" style="3252" customWidth="1"/>
    <col min="4356" max="4356" width="8" style="3252" customWidth="1"/>
    <col min="4357" max="4357" width="6.5" style="3252" customWidth="1"/>
    <col min="4358" max="4358" width="4.75" style="3252" customWidth="1"/>
    <col min="4359" max="4359" width="22.875" style="3252" customWidth="1"/>
    <col min="4360" max="4360" width="20.625" style="3252" customWidth="1"/>
    <col min="4361" max="4361" width="4.875" style="3252" customWidth="1"/>
    <col min="4362" max="4367" width="11" style="3252" customWidth="1"/>
    <col min="4368" max="4368" width="6.625" style="3252" customWidth="1"/>
    <col min="4369" max="4369" width="11" style="3252" customWidth="1"/>
    <col min="4370" max="4370" width="6.125" style="3252" customWidth="1"/>
    <col min="4371" max="4371" width="5.75" style="3252" customWidth="1"/>
    <col min="4372" max="4609" width="9" style="3252"/>
    <col min="4610" max="4610" width="4.5" style="3252" customWidth="1"/>
    <col min="4611" max="4611" width="26.5" style="3252" customWidth="1"/>
    <col min="4612" max="4612" width="8" style="3252" customWidth="1"/>
    <col min="4613" max="4613" width="6.5" style="3252" customWidth="1"/>
    <col min="4614" max="4614" width="4.75" style="3252" customWidth="1"/>
    <col min="4615" max="4615" width="22.875" style="3252" customWidth="1"/>
    <col min="4616" max="4616" width="20.625" style="3252" customWidth="1"/>
    <col min="4617" max="4617" width="4.875" style="3252" customWidth="1"/>
    <col min="4618" max="4623" width="11" style="3252" customWidth="1"/>
    <col min="4624" max="4624" width="6.625" style="3252" customWidth="1"/>
    <col min="4625" max="4625" width="11" style="3252" customWidth="1"/>
    <col min="4626" max="4626" width="6.125" style="3252" customWidth="1"/>
    <col min="4627" max="4627" width="5.75" style="3252" customWidth="1"/>
    <col min="4628" max="4865" width="9" style="3252"/>
    <col min="4866" max="4866" width="4.5" style="3252" customWidth="1"/>
    <col min="4867" max="4867" width="26.5" style="3252" customWidth="1"/>
    <col min="4868" max="4868" width="8" style="3252" customWidth="1"/>
    <col min="4869" max="4869" width="6.5" style="3252" customWidth="1"/>
    <col min="4870" max="4870" width="4.75" style="3252" customWidth="1"/>
    <col min="4871" max="4871" width="22.875" style="3252" customWidth="1"/>
    <col min="4872" max="4872" width="20.625" style="3252" customWidth="1"/>
    <col min="4873" max="4873" width="4.875" style="3252" customWidth="1"/>
    <col min="4874" max="4879" width="11" style="3252" customWidth="1"/>
    <col min="4880" max="4880" width="6.625" style="3252" customWidth="1"/>
    <col min="4881" max="4881" width="11" style="3252" customWidth="1"/>
    <col min="4882" max="4882" width="6.125" style="3252" customWidth="1"/>
    <col min="4883" max="4883" width="5.75" style="3252" customWidth="1"/>
    <col min="4884" max="5121" width="9" style="3252"/>
    <col min="5122" max="5122" width="4.5" style="3252" customWidth="1"/>
    <col min="5123" max="5123" width="26.5" style="3252" customWidth="1"/>
    <col min="5124" max="5124" width="8" style="3252" customWidth="1"/>
    <col min="5125" max="5125" width="6.5" style="3252" customWidth="1"/>
    <col min="5126" max="5126" width="4.75" style="3252" customWidth="1"/>
    <col min="5127" max="5127" width="22.875" style="3252" customWidth="1"/>
    <col min="5128" max="5128" width="20.625" style="3252" customWidth="1"/>
    <col min="5129" max="5129" width="4.875" style="3252" customWidth="1"/>
    <col min="5130" max="5135" width="11" style="3252" customWidth="1"/>
    <col min="5136" max="5136" width="6.625" style="3252" customWidth="1"/>
    <col min="5137" max="5137" width="11" style="3252" customWidth="1"/>
    <col min="5138" max="5138" width="6.125" style="3252" customWidth="1"/>
    <col min="5139" max="5139" width="5.75" style="3252" customWidth="1"/>
    <col min="5140" max="5377" width="9" style="3252"/>
    <col min="5378" max="5378" width="4.5" style="3252" customWidth="1"/>
    <col min="5379" max="5379" width="26.5" style="3252" customWidth="1"/>
    <col min="5380" max="5380" width="8" style="3252" customWidth="1"/>
    <col min="5381" max="5381" width="6.5" style="3252" customWidth="1"/>
    <col min="5382" max="5382" width="4.75" style="3252" customWidth="1"/>
    <col min="5383" max="5383" width="22.875" style="3252" customWidth="1"/>
    <col min="5384" max="5384" width="20.625" style="3252" customWidth="1"/>
    <col min="5385" max="5385" width="4.875" style="3252" customWidth="1"/>
    <col min="5386" max="5391" width="11" style="3252" customWidth="1"/>
    <col min="5392" max="5392" width="6.625" style="3252" customWidth="1"/>
    <col min="5393" max="5393" width="11" style="3252" customWidth="1"/>
    <col min="5394" max="5394" width="6.125" style="3252" customWidth="1"/>
    <col min="5395" max="5395" width="5.75" style="3252" customWidth="1"/>
    <col min="5396" max="5633" width="9" style="3252"/>
    <col min="5634" max="5634" width="4.5" style="3252" customWidth="1"/>
    <col min="5635" max="5635" width="26.5" style="3252" customWidth="1"/>
    <col min="5636" max="5636" width="8" style="3252" customWidth="1"/>
    <col min="5637" max="5637" width="6.5" style="3252" customWidth="1"/>
    <col min="5638" max="5638" width="4.75" style="3252" customWidth="1"/>
    <col min="5639" max="5639" width="22.875" style="3252" customWidth="1"/>
    <col min="5640" max="5640" width="20.625" style="3252" customWidth="1"/>
    <col min="5641" max="5641" width="4.875" style="3252" customWidth="1"/>
    <col min="5642" max="5647" width="11" style="3252" customWidth="1"/>
    <col min="5648" max="5648" width="6.625" style="3252" customWidth="1"/>
    <col min="5649" max="5649" width="11" style="3252" customWidth="1"/>
    <col min="5650" max="5650" width="6.125" style="3252" customWidth="1"/>
    <col min="5651" max="5651" width="5.75" style="3252" customWidth="1"/>
    <col min="5652" max="5889" width="9" style="3252"/>
    <col min="5890" max="5890" width="4.5" style="3252" customWidth="1"/>
    <col min="5891" max="5891" width="26.5" style="3252" customWidth="1"/>
    <col min="5892" max="5892" width="8" style="3252" customWidth="1"/>
    <col min="5893" max="5893" width="6.5" style="3252" customWidth="1"/>
    <col min="5894" max="5894" width="4.75" style="3252" customWidth="1"/>
    <col min="5895" max="5895" width="22.875" style="3252" customWidth="1"/>
    <col min="5896" max="5896" width="20.625" style="3252" customWidth="1"/>
    <col min="5897" max="5897" width="4.875" style="3252" customWidth="1"/>
    <col min="5898" max="5903" width="11" style="3252" customWidth="1"/>
    <col min="5904" max="5904" width="6.625" style="3252" customWidth="1"/>
    <col min="5905" max="5905" width="11" style="3252" customWidth="1"/>
    <col min="5906" max="5906" width="6.125" style="3252" customWidth="1"/>
    <col min="5907" max="5907" width="5.75" style="3252" customWidth="1"/>
    <col min="5908" max="6145" width="9" style="3252"/>
    <col min="6146" max="6146" width="4.5" style="3252" customWidth="1"/>
    <col min="6147" max="6147" width="26.5" style="3252" customWidth="1"/>
    <col min="6148" max="6148" width="8" style="3252" customWidth="1"/>
    <col min="6149" max="6149" width="6.5" style="3252" customWidth="1"/>
    <col min="6150" max="6150" width="4.75" style="3252" customWidth="1"/>
    <col min="6151" max="6151" width="22.875" style="3252" customWidth="1"/>
    <col min="6152" max="6152" width="20.625" style="3252" customWidth="1"/>
    <col min="6153" max="6153" width="4.875" style="3252" customWidth="1"/>
    <col min="6154" max="6159" width="11" style="3252" customWidth="1"/>
    <col min="6160" max="6160" width="6.625" style="3252" customWidth="1"/>
    <col min="6161" max="6161" width="11" style="3252" customWidth="1"/>
    <col min="6162" max="6162" width="6.125" style="3252" customWidth="1"/>
    <col min="6163" max="6163" width="5.75" style="3252" customWidth="1"/>
    <col min="6164" max="6401" width="9" style="3252"/>
    <col min="6402" max="6402" width="4.5" style="3252" customWidth="1"/>
    <col min="6403" max="6403" width="26.5" style="3252" customWidth="1"/>
    <col min="6404" max="6404" width="8" style="3252" customWidth="1"/>
    <col min="6405" max="6405" width="6.5" style="3252" customWidth="1"/>
    <col min="6406" max="6406" width="4.75" style="3252" customWidth="1"/>
    <col min="6407" max="6407" width="22.875" style="3252" customWidth="1"/>
    <col min="6408" max="6408" width="20.625" style="3252" customWidth="1"/>
    <col min="6409" max="6409" width="4.875" style="3252" customWidth="1"/>
    <col min="6410" max="6415" width="11" style="3252" customWidth="1"/>
    <col min="6416" max="6416" width="6.625" style="3252" customWidth="1"/>
    <col min="6417" max="6417" width="11" style="3252" customWidth="1"/>
    <col min="6418" max="6418" width="6.125" style="3252" customWidth="1"/>
    <col min="6419" max="6419" width="5.75" style="3252" customWidth="1"/>
    <col min="6420" max="6657" width="9" style="3252"/>
    <col min="6658" max="6658" width="4.5" style="3252" customWidth="1"/>
    <col min="6659" max="6659" width="26.5" style="3252" customWidth="1"/>
    <col min="6660" max="6660" width="8" style="3252" customWidth="1"/>
    <col min="6661" max="6661" width="6.5" style="3252" customWidth="1"/>
    <col min="6662" max="6662" width="4.75" style="3252" customWidth="1"/>
    <col min="6663" max="6663" width="22.875" style="3252" customWidth="1"/>
    <col min="6664" max="6664" width="20.625" style="3252" customWidth="1"/>
    <col min="6665" max="6665" width="4.875" style="3252" customWidth="1"/>
    <col min="6666" max="6671" width="11" style="3252" customWidth="1"/>
    <col min="6672" max="6672" width="6.625" style="3252" customWidth="1"/>
    <col min="6673" max="6673" width="11" style="3252" customWidth="1"/>
    <col min="6674" max="6674" width="6.125" style="3252" customWidth="1"/>
    <col min="6675" max="6675" width="5.75" style="3252" customWidth="1"/>
    <col min="6676" max="6913" width="9" style="3252"/>
    <col min="6914" max="6914" width="4.5" style="3252" customWidth="1"/>
    <col min="6915" max="6915" width="26.5" style="3252" customWidth="1"/>
    <col min="6916" max="6916" width="8" style="3252" customWidth="1"/>
    <col min="6917" max="6917" width="6.5" style="3252" customWidth="1"/>
    <col min="6918" max="6918" width="4.75" style="3252" customWidth="1"/>
    <col min="6919" max="6919" width="22.875" style="3252" customWidth="1"/>
    <col min="6920" max="6920" width="20.625" style="3252" customWidth="1"/>
    <col min="6921" max="6921" width="4.875" style="3252" customWidth="1"/>
    <col min="6922" max="6927" width="11" style="3252" customWidth="1"/>
    <col min="6928" max="6928" width="6.625" style="3252" customWidth="1"/>
    <col min="6929" max="6929" width="11" style="3252" customWidth="1"/>
    <col min="6930" max="6930" width="6.125" style="3252" customWidth="1"/>
    <col min="6931" max="6931" width="5.75" style="3252" customWidth="1"/>
    <col min="6932" max="7169" width="9" style="3252"/>
    <col min="7170" max="7170" width="4.5" style="3252" customWidth="1"/>
    <col min="7171" max="7171" width="26.5" style="3252" customWidth="1"/>
    <col min="7172" max="7172" width="8" style="3252" customWidth="1"/>
    <col min="7173" max="7173" width="6.5" style="3252" customWidth="1"/>
    <col min="7174" max="7174" width="4.75" style="3252" customWidth="1"/>
    <col min="7175" max="7175" width="22.875" style="3252" customWidth="1"/>
    <col min="7176" max="7176" width="20.625" style="3252" customWidth="1"/>
    <col min="7177" max="7177" width="4.875" style="3252" customWidth="1"/>
    <col min="7178" max="7183" width="11" style="3252" customWidth="1"/>
    <col min="7184" max="7184" width="6.625" style="3252" customWidth="1"/>
    <col min="7185" max="7185" width="11" style="3252" customWidth="1"/>
    <col min="7186" max="7186" width="6.125" style="3252" customWidth="1"/>
    <col min="7187" max="7187" width="5.75" style="3252" customWidth="1"/>
    <col min="7188" max="7425" width="9" style="3252"/>
    <col min="7426" max="7426" width="4.5" style="3252" customWidth="1"/>
    <col min="7427" max="7427" width="26.5" style="3252" customWidth="1"/>
    <col min="7428" max="7428" width="8" style="3252" customWidth="1"/>
    <col min="7429" max="7429" width="6.5" style="3252" customWidth="1"/>
    <col min="7430" max="7430" width="4.75" style="3252" customWidth="1"/>
    <col min="7431" max="7431" width="22.875" style="3252" customWidth="1"/>
    <col min="7432" max="7432" width="20.625" style="3252" customWidth="1"/>
    <col min="7433" max="7433" width="4.875" style="3252" customWidth="1"/>
    <col min="7434" max="7439" width="11" style="3252" customWidth="1"/>
    <col min="7440" max="7440" width="6.625" style="3252" customWidth="1"/>
    <col min="7441" max="7441" width="11" style="3252" customWidth="1"/>
    <col min="7442" max="7442" width="6.125" style="3252" customWidth="1"/>
    <col min="7443" max="7443" width="5.75" style="3252" customWidth="1"/>
    <col min="7444" max="7681" width="9" style="3252"/>
    <col min="7682" max="7682" width="4.5" style="3252" customWidth="1"/>
    <col min="7683" max="7683" width="26.5" style="3252" customWidth="1"/>
    <col min="7684" max="7684" width="8" style="3252" customWidth="1"/>
    <col min="7685" max="7685" width="6.5" style="3252" customWidth="1"/>
    <col min="7686" max="7686" width="4.75" style="3252" customWidth="1"/>
    <col min="7687" max="7687" width="22.875" style="3252" customWidth="1"/>
    <col min="7688" max="7688" width="20.625" style="3252" customWidth="1"/>
    <col min="7689" max="7689" width="4.875" style="3252" customWidth="1"/>
    <col min="7690" max="7695" width="11" style="3252" customWidth="1"/>
    <col min="7696" max="7696" width="6.625" style="3252" customWidth="1"/>
    <col min="7697" max="7697" width="11" style="3252" customWidth="1"/>
    <col min="7698" max="7698" width="6.125" style="3252" customWidth="1"/>
    <col min="7699" max="7699" width="5.75" style="3252" customWidth="1"/>
    <col min="7700" max="7937" width="9" style="3252"/>
    <col min="7938" max="7938" width="4.5" style="3252" customWidth="1"/>
    <col min="7939" max="7939" width="26.5" style="3252" customWidth="1"/>
    <col min="7940" max="7940" width="8" style="3252" customWidth="1"/>
    <col min="7941" max="7941" width="6.5" style="3252" customWidth="1"/>
    <col min="7942" max="7942" width="4.75" style="3252" customWidth="1"/>
    <col min="7943" max="7943" width="22.875" style="3252" customWidth="1"/>
    <col min="7944" max="7944" width="20.625" style="3252" customWidth="1"/>
    <col min="7945" max="7945" width="4.875" style="3252" customWidth="1"/>
    <col min="7946" max="7951" width="11" style="3252" customWidth="1"/>
    <col min="7952" max="7952" width="6.625" style="3252" customWidth="1"/>
    <col min="7953" max="7953" width="11" style="3252" customWidth="1"/>
    <col min="7954" max="7954" width="6.125" style="3252" customWidth="1"/>
    <col min="7955" max="7955" width="5.75" style="3252" customWidth="1"/>
    <col min="7956" max="8193" width="9" style="3252"/>
    <col min="8194" max="8194" width="4.5" style="3252" customWidth="1"/>
    <col min="8195" max="8195" width="26.5" style="3252" customWidth="1"/>
    <col min="8196" max="8196" width="8" style="3252" customWidth="1"/>
    <col min="8197" max="8197" width="6.5" style="3252" customWidth="1"/>
    <col min="8198" max="8198" width="4.75" style="3252" customWidth="1"/>
    <col min="8199" max="8199" width="22.875" style="3252" customWidth="1"/>
    <col min="8200" max="8200" width="20.625" style="3252" customWidth="1"/>
    <col min="8201" max="8201" width="4.875" style="3252" customWidth="1"/>
    <col min="8202" max="8207" width="11" style="3252" customWidth="1"/>
    <col min="8208" max="8208" width="6.625" style="3252" customWidth="1"/>
    <col min="8209" max="8209" width="11" style="3252" customWidth="1"/>
    <col min="8210" max="8210" width="6.125" style="3252" customWidth="1"/>
    <col min="8211" max="8211" width="5.75" style="3252" customWidth="1"/>
    <col min="8212" max="8449" width="9" style="3252"/>
    <col min="8450" max="8450" width="4.5" style="3252" customWidth="1"/>
    <col min="8451" max="8451" width="26.5" style="3252" customWidth="1"/>
    <col min="8452" max="8452" width="8" style="3252" customWidth="1"/>
    <col min="8453" max="8453" width="6.5" style="3252" customWidth="1"/>
    <col min="8454" max="8454" width="4.75" style="3252" customWidth="1"/>
    <col min="8455" max="8455" width="22.875" style="3252" customWidth="1"/>
    <col min="8456" max="8456" width="20.625" style="3252" customWidth="1"/>
    <col min="8457" max="8457" width="4.875" style="3252" customWidth="1"/>
    <col min="8458" max="8463" width="11" style="3252" customWidth="1"/>
    <col min="8464" max="8464" width="6.625" style="3252" customWidth="1"/>
    <col min="8465" max="8465" width="11" style="3252" customWidth="1"/>
    <col min="8466" max="8466" width="6.125" style="3252" customWidth="1"/>
    <col min="8467" max="8467" width="5.75" style="3252" customWidth="1"/>
    <col min="8468" max="8705" width="9" style="3252"/>
    <col min="8706" max="8706" width="4.5" style="3252" customWidth="1"/>
    <col min="8707" max="8707" width="26.5" style="3252" customWidth="1"/>
    <col min="8708" max="8708" width="8" style="3252" customWidth="1"/>
    <col min="8709" max="8709" width="6.5" style="3252" customWidth="1"/>
    <col min="8710" max="8710" width="4.75" style="3252" customWidth="1"/>
    <col min="8711" max="8711" width="22.875" style="3252" customWidth="1"/>
    <col min="8712" max="8712" width="20.625" style="3252" customWidth="1"/>
    <col min="8713" max="8713" width="4.875" style="3252" customWidth="1"/>
    <col min="8714" max="8719" width="11" style="3252" customWidth="1"/>
    <col min="8720" max="8720" width="6.625" style="3252" customWidth="1"/>
    <col min="8721" max="8721" width="11" style="3252" customWidth="1"/>
    <col min="8722" max="8722" width="6.125" style="3252" customWidth="1"/>
    <col min="8723" max="8723" width="5.75" style="3252" customWidth="1"/>
    <col min="8724" max="8961" width="9" style="3252"/>
    <col min="8962" max="8962" width="4.5" style="3252" customWidth="1"/>
    <col min="8963" max="8963" width="26.5" style="3252" customWidth="1"/>
    <col min="8964" max="8964" width="8" style="3252" customWidth="1"/>
    <col min="8965" max="8965" width="6.5" style="3252" customWidth="1"/>
    <col min="8966" max="8966" width="4.75" style="3252" customWidth="1"/>
    <col min="8967" max="8967" width="22.875" style="3252" customWidth="1"/>
    <col min="8968" max="8968" width="20.625" style="3252" customWidth="1"/>
    <col min="8969" max="8969" width="4.875" style="3252" customWidth="1"/>
    <col min="8970" max="8975" width="11" style="3252" customWidth="1"/>
    <col min="8976" max="8976" width="6.625" style="3252" customWidth="1"/>
    <col min="8977" max="8977" width="11" style="3252" customWidth="1"/>
    <col min="8978" max="8978" width="6.125" style="3252" customWidth="1"/>
    <col min="8979" max="8979" width="5.75" style="3252" customWidth="1"/>
    <col min="8980" max="9217" width="9" style="3252"/>
    <col min="9218" max="9218" width="4.5" style="3252" customWidth="1"/>
    <col min="9219" max="9219" width="26.5" style="3252" customWidth="1"/>
    <col min="9220" max="9220" width="8" style="3252" customWidth="1"/>
    <col min="9221" max="9221" width="6.5" style="3252" customWidth="1"/>
    <col min="9222" max="9222" width="4.75" style="3252" customWidth="1"/>
    <col min="9223" max="9223" width="22.875" style="3252" customWidth="1"/>
    <col min="9224" max="9224" width="20.625" style="3252" customWidth="1"/>
    <col min="9225" max="9225" width="4.875" style="3252" customWidth="1"/>
    <col min="9226" max="9231" width="11" style="3252" customWidth="1"/>
    <col min="9232" max="9232" width="6.625" style="3252" customWidth="1"/>
    <col min="9233" max="9233" width="11" style="3252" customWidth="1"/>
    <col min="9234" max="9234" width="6.125" style="3252" customWidth="1"/>
    <col min="9235" max="9235" width="5.75" style="3252" customWidth="1"/>
    <col min="9236" max="9473" width="9" style="3252"/>
    <col min="9474" max="9474" width="4.5" style="3252" customWidth="1"/>
    <col min="9475" max="9475" width="26.5" style="3252" customWidth="1"/>
    <col min="9476" max="9476" width="8" style="3252" customWidth="1"/>
    <col min="9477" max="9477" width="6.5" style="3252" customWidth="1"/>
    <col min="9478" max="9478" width="4.75" style="3252" customWidth="1"/>
    <col min="9479" max="9479" width="22.875" style="3252" customWidth="1"/>
    <col min="9480" max="9480" width="20.625" style="3252" customWidth="1"/>
    <col min="9481" max="9481" width="4.875" style="3252" customWidth="1"/>
    <col min="9482" max="9487" width="11" style="3252" customWidth="1"/>
    <col min="9488" max="9488" width="6.625" style="3252" customWidth="1"/>
    <col min="9489" max="9489" width="11" style="3252" customWidth="1"/>
    <col min="9490" max="9490" width="6.125" style="3252" customWidth="1"/>
    <col min="9491" max="9491" width="5.75" style="3252" customWidth="1"/>
    <col min="9492" max="9729" width="9" style="3252"/>
    <col min="9730" max="9730" width="4.5" style="3252" customWidth="1"/>
    <col min="9731" max="9731" width="26.5" style="3252" customWidth="1"/>
    <col min="9732" max="9732" width="8" style="3252" customWidth="1"/>
    <col min="9733" max="9733" width="6.5" style="3252" customWidth="1"/>
    <col min="9734" max="9734" width="4.75" style="3252" customWidth="1"/>
    <col min="9735" max="9735" width="22.875" style="3252" customWidth="1"/>
    <col min="9736" max="9736" width="20.625" style="3252" customWidth="1"/>
    <col min="9737" max="9737" width="4.875" style="3252" customWidth="1"/>
    <col min="9738" max="9743" width="11" style="3252" customWidth="1"/>
    <col min="9744" max="9744" width="6.625" style="3252" customWidth="1"/>
    <col min="9745" max="9745" width="11" style="3252" customWidth="1"/>
    <col min="9746" max="9746" width="6.125" style="3252" customWidth="1"/>
    <col min="9747" max="9747" width="5.75" style="3252" customWidth="1"/>
    <col min="9748" max="9985" width="9" style="3252"/>
    <col min="9986" max="9986" width="4.5" style="3252" customWidth="1"/>
    <col min="9987" max="9987" width="26.5" style="3252" customWidth="1"/>
    <col min="9988" max="9988" width="8" style="3252" customWidth="1"/>
    <col min="9989" max="9989" width="6.5" style="3252" customWidth="1"/>
    <col min="9990" max="9990" width="4.75" style="3252" customWidth="1"/>
    <col min="9991" max="9991" width="22.875" style="3252" customWidth="1"/>
    <col min="9992" max="9992" width="20.625" style="3252" customWidth="1"/>
    <col min="9993" max="9993" width="4.875" style="3252" customWidth="1"/>
    <col min="9994" max="9999" width="11" style="3252" customWidth="1"/>
    <col min="10000" max="10000" width="6.625" style="3252" customWidth="1"/>
    <col min="10001" max="10001" width="11" style="3252" customWidth="1"/>
    <col min="10002" max="10002" width="6.125" style="3252" customWidth="1"/>
    <col min="10003" max="10003" width="5.75" style="3252" customWidth="1"/>
    <col min="10004" max="10241" width="9" style="3252"/>
    <col min="10242" max="10242" width="4.5" style="3252" customWidth="1"/>
    <col min="10243" max="10243" width="26.5" style="3252" customWidth="1"/>
    <col min="10244" max="10244" width="8" style="3252" customWidth="1"/>
    <col min="10245" max="10245" width="6.5" style="3252" customWidth="1"/>
    <col min="10246" max="10246" width="4.75" style="3252" customWidth="1"/>
    <col min="10247" max="10247" width="22.875" style="3252" customWidth="1"/>
    <col min="10248" max="10248" width="20.625" style="3252" customWidth="1"/>
    <col min="10249" max="10249" width="4.875" style="3252" customWidth="1"/>
    <col min="10250" max="10255" width="11" style="3252" customWidth="1"/>
    <col min="10256" max="10256" width="6.625" style="3252" customWidth="1"/>
    <col min="10257" max="10257" width="11" style="3252" customWidth="1"/>
    <col min="10258" max="10258" width="6.125" style="3252" customWidth="1"/>
    <col min="10259" max="10259" width="5.75" style="3252" customWidth="1"/>
    <col min="10260" max="10497" width="9" style="3252"/>
    <col min="10498" max="10498" width="4.5" style="3252" customWidth="1"/>
    <col min="10499" max="10499" width="26.5" style="3252" customWidth="1"/>
    <col min="10500" max="10500" width="8" style="3252" customWidth="1"/>
    <col min="10501" max="10501" width="6.5" style="3252" customWidth="1"/>
    <col min="10502" max="10502" width="4.75" style="3252" customWidth="1"/>
    <col min="10503" max="10503" width="22.875" style="3252" customWidth="1"/>
    <col min="10504" max="10504" width="20.625" style="3252" customWidth="1"/>
    <col min="10505" max="10505" width="4.875" style="3252" customWidth="1"/>
    <col min="10506" max="10511" width="11" style="3252" customWidth="1"/>
    <col min="10512" max="10512" width="6.625" style="3252" customWidth="1"/>
    <col min="10513" max="10513" width="11" style="3252" customWidth="1"/>
    <col min="10514" max="10514" width="6.125" style="3252" customWidth="1"/>
    <col min="10515" max="10515" width="5.75" style="3252" customWidth="1"/>
    <col min="10516" max="10753" width="9" style="3252"/>
    <col min="10754" max="10754" width="4.5" style="3252" customWidth="1"/>
    <col min="10755" max="10755" width="26.5" style="3252" customWidth="1"/>
    <col min="10756" max="10756" width="8" style="3252" customWidth="1"/>
    <col min="10757" max="10757" width="6.5" style="3252" customWidth="1"/>
    <col min="10758" max="10758" width="4.75" style="3252" customWidth="1"/>
    <col min="10759" max="10759" width="22.875" style="3252" customWidth="1"/>
    <col min="10760" max="10760" width="20.625" style="3252" customWidth="1"/>
    <col min="10761" max="10761" width="4.875" style="3252" customWidth="1"/>
    <col min="10762" max="10767" width="11" style="3252" customWidth="1"/>
    <col min="10768" max="10768" width="6.625" style="3252" customWidth="1"/>
    <col min="10769" max="10769" width="11" style="3252" customWidth="1"/>
    <col min="10770" max="10770" width="6.125" style="3252" customWidth="1"/>
    <col min="10771" max="10771" width="5.75" style="3252" customWidth="1"/>
    <col min="10772" max="11009" width="9" style="3252"/>
    <col min="11010" max="11010" width="4.5" style="3252" customWidth="1"/>
    <col min="11011" max="11011" width="26.5" style="3252" customWidth="1"/>
    <col min="11012" max="11012" width="8" style="3252" customWidth="1"/>
    <col min="11013" max="11013" width="6.5" style="3252" customWidth="1"/>
    <col min="11014" max="11014" width="4.75" style="3252" customWidth="1"/>
    <col min="11015" max="11015" width="22.875" style="3252" customWidth="1"/>
    <col min="11016" max="11016" width="20.625" style="3252" customWidth="1"/>
    <col min="11017" max="11017" width="4.875" style="3252" customWidth="1"/>
    <col min="11018" max="11023" width="11" style="3252" customWidth="1"/>
    <col min="11024" max="11024" width="6.625" style="3252" customWidth="1"/>
    <col min="11025" max="11025" width="11" style="3252" customWidth="1"/>
    <col min="11026" max="11026" width="6.125" style="3252" customWidth="1"/>
    <col min="11027" max="11027" width="5.75" style="3252" customWidth="1"/>
    <col min="11028" max="11265" width="9" style="3252"/>
    <col min="11266" max="11266" width="4.5" style="3252" customWidth="1"/>
    <col min="11267" max="11267" width="26.5" style="3252" customWidth="1"/>
    <col min="11268" max="11268" width="8" style="3252" customWidth="1"/>
    <col min="11269" max="11269" width="6.5" style="3252" customWidth="1"/>
    <col min="11270" max="11270" width="4.75" style="3252" customWidth="1"/>
    <col min="11271" max="11271" width="22.875" style="3252" customWidth="1"/>
    <col min="11272" max="11272" width="20.625" style="3252" customWidth="1"/>
    <col min="11273" max="11273" width="4.875" style="3252" customWidth="1"/>
    <col min="11274" max="11279" width="11" style="3252" customWidth="1"/>
    <col min="11280" max="11280" width="6.625" style="3252" customWidth="1"/>
    <col min="11281" max="11281" width="11" style="3252" customWidth="1"/>
    <col min="11282" max="11282" width="6.125" style="3252" customWidth="1"/>
    <col min="11283" max="11283" width="5.75" style="3252" customWidth="1"/>
    <col min="11284" max="11521" width="9" style="3252"/>
    <col min="11522" max="11522" width="4.5" style="3252" customWidth="1"/>
    <col min="11523" max="11523" width="26.5" style="3252" customWidth="1"/>
    <col min="11524" max="11524" width="8" style="3252" customWidth="1"/>
    <col min="11525" max="11525" width="6.5" style="3252" customWidth="1"/>
    <col min="11526" max="11526" width="4.75" style="3252" customWidth="1"/>
    <col min="11527" max="11527" width="22.875" style="3252" customWidth="1"/>
    <col min="11528" max="11528" width="20.625" style="3252" customWidth="1"/>
    <col min="11529" max="11529" width="4.875" style="3252" customWidth="1"/>
    <col min="11530" max="11535" width="11" style="3252" customWidth="1"/>
    <col min="11536" max="11536" width="6.625" style="3252" customWidth="1"/>
    <col min="11537" max="11537" width="11" style="3252" customWidth="1"/>
    <col min="11538" max="11538" width="6.125" style="3252" customWidth="1"/>
    <col min="11539" max="11539" width="5.75" style="3252" customWidth="1"/>
    <col min="11540" max="11777" width="9" style="3252"/>
    <col min="11778" max="11778" width="4.5" style="3252" customWidth="1"/>
    <col min="11779" max="11779" width="26.5" style="3252" customWidth="1"/>
    <col min="11780" max="11780" width="8" style="3252" customWidth="1"/>
    <col min="11781" max="11781" width="6.5" style="3252" customWidth="1"/>
    <col min="11782" max="11782" width="4.75" style="3252" customWidth="1"/>
    <col min="11783" max="11783" width="22.875" style="3252" customWidth="1"/>
    <col min="11784" max="11784" width="20.625" style="3252" customWidth="1"/>
    <col min="11785" max="11785" width="4.875" style="3252" customWidth="1"/>
    <col min="11786" max="11791" width="11" style="3252" customWidth="1"/>
    <col min="11792" max="11792" width="6.625" style="3252" customWidth="1"/>
    <col min="11793" max="11793" width="11" style="3252" customWidth="1"/>
    <col min="11794" max="11794" width="6.125" style="3252" customWidth="1"/>
    <col min="11795" max="11795" width="5.75" style="3252" customWidth="1"/>
    <col min="11796" max="12033" width="9" style="3252"/>
    <col min="12034" max="12034" width="4.5" style="3252" customWidth="1"/>
    <col min="12035" max="12035" width="26.5" style="3252" customWidth="1"/>
    <col min="12036" max="12036" width="8" style="3252" customWidth="1"/>
    <col min="12037" max="12037" width="6.5" style="3252" customWidth="1"/>
    <col min="12038" max="12038" width="4.75" style="3252" customWidth="1"/>
    <col min="12039" max="12039" width="22.875" style="3252" customWidth="1"/>
    <col min="12040" max="12040" width="20.625" style="3252" customWidth="1"/>
    <col min="12041" max="12041" width="4.875" style="3252" customWidth="1"/>
    <col min="12042" max="12047" width="11" style="3252" customWidth="1"/>
    <col min="12048" max="12048" width="6.625" style="3252" customWidth="1"/>
    <col min="12049" max="12049" width="11" style="3252" customWidth="1"/>
    <col min="12050" max="12050" width="6.125" style="3252" customWidth="1"/>
    <col min="12051" max="12051" width="5.75" style="3252" customWidth="1"/>
    <col min="12052" max="12289" width="9" style="3252"/>
    <col min="12290" max="12290" width="4.5" style="3252" customWidth="1"/>
    <col min="12291" max="12291" width="26.5" style="3252" customWidth="1"/>
    <col min="12292" max="12292" width="8" style="3252" customWidth="1"/>
    <col min="12293" max="12293" width="6.5" style="3252" customWidth="1"/>
    <col min="12294" max="12294" width="4.75" style="3252" customWidth="1"/>
    <col min="12295" max="12295" width="22.875" style="3252" customWidth="1"/>
    <col min="12296" max="12296" width="20.625" style="3252" customWidth="1"/>
    <col min="12297" max="12297" width="4.875" style="3252" customWidth="1"/>
    <col min="12298" max="12303" width="11" style="3252" customWidth="1"/>
    <col min="12304" max="12304" width="6.625" style="3252" customWidth="1"/>
    <col min="12305" max="12305" width="11" style="3252" customWidth="1"/>
    <col min="12306" max="12306" width="6.125" style="3252" customWidth="1"/>
    <col min="12307" max="12307" width="5.75" style="3252" customWidth="1"/>
    <col min="12308" max="12545" width="9" style="3252"/>
    <col min="12546" max="12546" width="4.5" style="3252" customWidth="1"/>
    <col min="12547" max="12547" width="26.5" style="3252" customWidth="1"/>
    <col min="12548" max="12548" width="8" style="3252" customWidth="1"/>
    <col min="12549" max="12549" width="6.5" style="3252" customWidth="1"/>
    <col min="12550" max="12550" width="4.75" style="3252" customWidth="1"/>
    <col min="12551" max="12551" width="22.875" style="3252" customWidth="1"/>
    <col min="12552" max="12552" width="20.625" style="3252" customWidth="1"/>
    <col min="12553" max="12553" width="4.875" style="3252" customWidth="1"/>
    <col min="12554" max="12559" width="11" style="3252" customWidth="1"/>
    <col min="12560" max="12560" width="6.625" style="3252" customWidth="1"/>
    <col min="12561" max="12561" width="11" style="3252" customWidth="1"/>
    <col min="12562" max="12562" width="6.125" style="3252" customWidth="1"/>
    <col min="12563" max="12563" width="5.75" style="3252" customWidth="1"/>
    <col min="12564" max="12801" width="9" style="3252"/>
    <col min="12802" max="12802" width="4.5" style="3252" customWidth="1"/>
    <col min="12803" max="12803" width="26.5" style="3252" customWidth="1"/>
    <col min="12804" max="12804" width="8" style="3252" customWidth="1"/>
    <col min="12805" max="12805" width="6.5" style="3252" customWidth="1"/>
    <col min="12806" max="12806" width="4.75" style="3252" customWidth="1"/>
    <col min="12807" max="12807" width="22.875" style="3252" customWidth="1"/>
    <col min="12808" max="12808" width="20.625" style="3252" customWidth="1"/>
    <col min="12809" max="12809" width="4.875" style="3252" customWidth="1"/>
    <col min="12810" max="12815" width="11" style="3252" customWidth="1"/>
    <col min="12816" max="12816" width="6.625" style="3252" customWidth="1"/>
    <col min="12817" max="12817" width="11" style="3252" customWidth="1"/>
    <col min="12818" max="12818" width="6.125" style="3252" customWidth="1"/>
    <col min="12819" max="12819" width="5.75" style="3252" customWidth="1"/>
    <col min="12820" max="13057" width="9" style="3252"/>
    <col min="13058" max="13058" width="4.5" style="3252" customWidth="1"/>
    <col min="13059" max="13059" width="26.5" style="3252" customWidth="1"/>
    <col min="13060" max="13060" width="8" style="3252" customWidth="1"/>
    <col min="13061" max="13061" width="6.5" style="3252" customWidth="1"/>
    <col min="13062" max="13062" width="4.75" style="3252" customWidth="1"/>
    <col min="13063" max="13063" width="22.875" style="3252" customWidth="1"/>
    <col min="13064" max="13064" width="20.625" style="3252" customWidth="1"/>
    <col min="13065" max="13065" width="4.875" style="3252" customWidth="1"/>
    <col min="13066" max="13071" width="11" style="3252" customWidth="1"/>
    <col min="13072" max="13072" width="6.625" style="3252" customWidth="1"/>
    <col min="13073" max="13073" width="11" style="3252" customWidth="1"/>
    <col min="13074" max="13074" width="6.125" style="3252" customWidth="1"/>
    <col min="13075" max="13075" width="5.75" style="3252" customWidth="1"/>
    <col min="13076" max="13313" width="9" style="3252"/>
    <col min="13314" max="13314" width="4.5" style="3252" customWidth="1"/>
    <col min="13315" max="13315" width="26.5" style="3252" customWidth="1"/>
    <col min="13316" max="13316" width="8" style="3252" customWidth="1"/>
    <col min="13317" max="13317" width="6.5" style="3252" customWidth="1"/>
    <col min="13318" max="13318" width="4.75" style="3252" customWidth="1"/>
    <col min="13319" max="13319" width="22.875" style="3252" customWidth="1"/>
    <col min="13320" max="13320" width="20.625" style="3252" customWidth="1"/>
    <col min="13321" max="13321" width="4.875" style="3252" customWidth="1"/>
    <col min="13322" max="13327" width="11" style="3252" customWidth="1"/>
    <col min="13328" max="13328" width="6.625" style="3252" customWidth="1"/>
    <col min="13329" max="13329" width="11" style="3252" customWidth="1"/>
    <col min="13330" max="13330" width="6.125" style="3252" customWidth="1"/>
    <col min="13331" max="13331" width="5.75" style="3252" customWidth="1"/>
    <col min="13332" max="13569" width="9" style="3252"/>
    <col min="13570" max="13570" width="4.5" style="3252" customWidth="1"/>
    <col min="13571" max="13571" width="26.5" style="3252" customWidth="1"/>
    <col min="13572" max="13572" width="8" style="3252" customWidth="1"/>
    <col min="13573" max="13573" width="6.5" style="3252" customWidth="1"/>
    <col min="13574" max="13574" width="4.75" style="3252" customWidth="1"/>
    <col min="13575" max="13575" width="22.875" style="3252" customWidth="1"/>
    <col min="13576" max="13576" width="20.625" style="3252" customWidth="1"/>
    <col min="13577" max="13577" width="4.875" style="3252" customWidth="1"/>
    <col min="13578" max="13583" width="11" style="3252" customWidth="1"/>
    <col min="13584" max="13584" width="6.625" style="3252" customWidth="1"/>
    <col min="13585" max="13585" width="11" style="3252" customWidth="1"/>
    <col min="13586" max="13586" width="6.125" style="3252" customWidth="1"/>
    <col min="13587" max="13587" width="5.75" style="3252" customWidth="1"/>
    <col min="13588" max="13825" width="9" style="3252"/>
    <col min="13826" max="13826" width="4.5" style="3252" customWidth="1"/>
    <col min="13827" max="13827" width="26.5" style="3252" customWidth="1"/>
    <col min="13828" max="13828" width="8" style="3252" customWidth="1"/>
    <col min="13829" max="13829" width="6.5" style="3252" customWidth="1"/>
    <col min="13830" max="13830" width="4.75" style="3252" customWidth="1"/>
    <col min="13831" max="13831" width="22.875" style="3252" customWidth="1"/>
    <col min="13832" max="13832" width="20.625" style="3252" customWidth="1"/>
    <col min="13833" max="13833" width="4.875" style="3252" customWidth="1"/>
    <col min="13834" max="13839" width="11" style="3252" customWidth="1"/>
    <col min="13840" max="13840" width="6.625" style="3252" customWidth="1"/>
    <col min="13841" max="13841" width="11" style="3252" customWidth="1"/>
    <col min="13842" max="13842" width="6.125" style="3252" customWidth="1"/>
    <col min="13843" max="13843" width="5.75" style="3252" customWidth="1"/>
    <col min="13844" max="14081" width="9" style="3252"/>
    <col min="14082" max="14082" width="4.5" style="3252" customWidth="1"/>
    <col min="14083" max="14083" width="26.5" style="3252" customWidth="1"/>
    <col min="14084" max="14084" width="8" style="3252" customWidth="1"/>
    <col min="14085" max="14085" width="6.5" style="3252" customWidth="1"/>
    <col min="14086" max="14086" width="4.75" style="3252" customWidth="1"/>
    <col min="14087" max="14087" width="22.875" style="3252" customWidth="1"/>
    <col min="14088" max="14088" width="20.625" style="3252" customWidth="1"/>
    <col min="14089" max="14089" width="4.875" style="3252" customWidth="1"/>
    <col min="14090" max="14095" width="11" style="3252" customWidth="1"/>
    <col min="14096" max="14096" width="6.625" style="3252" customWidth="1"/>
    <col min="14097" max="14097" width="11" style="3252" customWidth="1"/>
    <col min="14098" max="14098" width="6.125" style="3252" customWidth="1"/>
    <col min="14099" max="14099" width="5.75" style="3252" customWidth="1"/>
    <col min="14100" max="14337" width="9" style="3252"/>
    <col min="14338" max="14338" width="4.5" style="3252" customWidth="1"/>
    <col min="14339" max="14339" width="26.5" style="3252" customWidth="1"/>
    <col min="14340" max="14340" width="8" style="3252" customWidth="1"/>
    <col min="14341" max="14341" width="6.5" style="3252" customWidth="1"/>
    <col min="14342" max="14342" width="4.75" style="3252" customWidth="1"/>
    <col min="14343" max="14343" width="22.875" style="3252" customWidth="1"/>
    <col min="14344" max="14344" width="20.625" style="3252" customWidth="1"/>
    <col min="14345" max="14345" width="4.875" style="3252" customWidth="1"/>
    <col min="14346" max="14351" width="11" style="3252" customWidth="1"/>
    <col min="14352" max="14352" width="6.625" style="3252" customWidth="1"/>
    <col min="14353" max="14353" width="11" style="3252" customWidth="1"/>
    <col min="14354" max="14354" width="6.125" style="3252" customWidth="1"/>
    <col min="14355" max="14355" width="5.75" style="3252" customWidth="1"/>
    <col min="14356" max="14593" width="9" style="3252"/>
    <col min="14594" max="14594" width="4.5" style="3252" customWidth="1"/>
    <col min="14595" max="14595" width="26.5" style="3252" customWidth="1"/>
    <col min="14596" max="14596" width="8" style="3252" customWidth="1"/>
    <col min="14597" max="14597" width="6.5" style="3252" customWidth="1"/>
    <col min="14598" max="14598" width="4.75" style="3252" customWidth="1"/>
    <col min="14599" max="14599" width="22.875" style="3252" customWidth="1"/>
    <col min="14600" max="14600" width="20.625" style="3252" customWidth="1"/>
    <col min="14601" max="14601" width="4.875" style="3252" customWidth="1"/>
    <col min="14602" max="14607" width="11" style="3252" customWidth="1"/>
    <col min="14608" max="14608" width="6.625" style="3252" customWidth="1"/>
    <col min="14609" max="14609" width="11" style="3252" customWidth="1"/>
    <col min="14610" max="14610" width="6.125" style="3252" customWidth="1"/>
    <col min="14611" max="14611" width="5.75" style="3252" customWidth="1"/>
    <col min="14612" max="14849" width="9" style="3252"/>
    <col min="14850" max="14850" width="4.5" style="3252" customWidth="1"/>
    <col min="14851" max="14851" width="26.5" style="3252" customWidth="1"/>
    <col min="14852" max="14852" width="8" style="3252" customWidth="1"/>
    <col min="14853" max="14853" width="6.5" style="3252" customWidth="1"/>
    <col min="14854" max="14854" width="4.75" style="3252" customWidth="1"/>
    <col min="14855" max="14855" width="22.875" style="3252" customWidth="1"/>
    <col min="14856" max="14856" width="20.625" style="3252" customWidth="1"/>
    <col min="14857" max="14857" width="4.875" style="3252" customWidth="1"/>
    <col min="14858" max="14863" width="11" style="3252" customWidth="1"/>
    <col min="14864" max="14864" width="6.625" style="3252" customWidth="1"/>
    <col min="14865" max="14865" width="11" style="3252" customWidth="1"/>
    <col min="14866" max="14866" width="6.125" style="3252" customWidth="1"/>
    <col min="14867" max="14867" width="5.75" style="3252" customWidth="1"/>
    <col min="14868" max="15105" width="9" style="3252"/>
    <col min="15106" max="15106" width="4.5" style="3252" customWidth="1"/>
    <col min="15107" max="15107" width="26.5" style="3252" customWidth="1"/>
    <col min="15108" max="15108" width="8" style="3252" customWidth="1"/>
    <col min="15109" max="15109" width="6.5" style="3252" customWidth="1"/>
    <col min="15110" max="15110" width="4.75" style="3252" customWidth="1"/>
    <col min="15111" max="15111" width="22.875" style="3252" customWidth="1"/>
    <col min="15112" max="15112" width="20.625" style="3252" customWidth="1"/>
    <col min="15113" max="15113" width="4.875" style="3252" customWidth="1"/>
    <col min="15114" max="15119" width="11" style="3252" customWidth="1"/>
    <col min="15120" max="15120" width="6.625" style="3252" customWidth="1"/>
    <col min="15121" max="15121" width="11" style="3252" customWidth="1"/>
    <col min="15122" max="15122" width="6.125" style="3252" customWidth="1"/>
    <col min="15123" max="15123" width="5.75" style="3252" customWidth="1"/>
    <col min="15124" max="15361" width="9" style="3252"/>
    <col min="15362" max="15362" width="4.5" style="3252" customWidth="1"/>
    <col min="15363" max="15363" width="26.5" style="3252" customWidth="1"/>
    <col min="15364" max="15364" width="8" style="3252" customWidth="1"/>
    <col min="15365" max="15365" width="6.5" style="3252" customWidth="1"/>
    <col min="15366" max="15366" width="4.75" style="3252" customWidth="1"/>
    <col min="15367" max="15367" width="22.875" style="3252" customWidth="1"/>
    <col min="15368" max="15368" width="20.625" style="3252" customWidth="1"/>
    <col min="15369" max="15369" width="4.875" style="3252" customWidth="1"/>
    <col min="15370" max="15375" width="11" style="3252" customWidth="1"/>
    <col min="15376" max="15376" width="6.625" style="3252" customWidth="1"/>
    <col min="15377" max="15377" width="11" style="3252" customWidth="1"/>
    <col min="15378" max="15378" width="6.125" style="3252" customWidth="1"/>
    <col min="15379" max="15379" width="5.75" style="3252" customWidth="1"/>
    <col min="15380" max="15617" width="9" style="3252"/>
    <col min="15618" max="15618" width="4.5" style="3252" customWidth="1"/>
    <col min="15619" max="15619" width="26.5" style="3252" customWidth="1"/>
    <col min="15620" max="15620" width="8" style="3252" customWidth="1"/>
    <col min="15621" max="15621" width="6.5" style="3252" customWidth="1"/>
    <col min="15622" max="15622" width="4.75" style="3252" customWidth="1"/>
    <col min="15623" max="15623" width="22.875" style="3252" customWidth="1"/>
    <col min="15624" max="15624" width="20.625" style="3252" customWidth="1"/>
    <col min="15625" max="15625" width="4.875" style="3252" customWidth="1"/>
    <col min="15626" max="15631" width="11" style="3252" customWidth="1"/>
    <col min="15632" max="15632" width="6.625" style="3252" customWidth="1"/>
    <col min="15633" max="15633" width="11" style="3252" customWidth="1"/>
    <col min="15634" max="15634" width="6.125" style="3252" customWidth="1"/>
    <col min="15635" max="15635" width="5.75" style="3252" customWidth="1"/>
    <col min="15636" max="15873" width="9" style="3252"/>
    <col min="15874" max="15874" width="4.5" style="3252" customWidth="1"/>
    <col min="15875" max="15875" width="26.5" style="3252" customWidth="1"/>
    <col min="15876" max="15876" width="8" style="3252" customWidth="1"/>
    <col min="15877" max="15877" width="6.5" style="3252" customWidth="1"/>
    <col min="15878" max="15878" width="4.75" style="3252" customWidth="1"/>
    <col min="15879" max="15879" width="22.875" style="3252" customWidth="1"/>
    <col min="15880" max="15880" width="20.625" style="3252" customWidth="1"/>
    <col min="15881" max="15881" width="4.875" style="3252" customWidth="1"/>
    <col min="15882" max="15887" width="11" style="3252" customWidth="1"/>
    <col min="15888" max="15888" width="6.625" style="3252" customWidth="1"/>
    <col min="15889" max="15889" width="11" style="3252" customWidth="1"/>
    <col min="15890" max="15890" width="6.125" style="3252" customWidth="1"/>
    <col min="15891" max="15891" width="5.75" style="3252" customWidth="1"/>
    <col min="15892" max="16129" width="9" style="3252"/>
    <col min="16130" max="16130" width="4.5" style="3252" customWidth="1"/>
    <col min="16131" max="16131" width="26.5" style="3252" customWidth="1"/>
    <col min="16132" max="16132" width="8" style="3252" customWidth="1"/>
    <col min="16133" max="16133" width="6.5" style="3252" customWidth="1"/>
    <col min="16134" max="16134" width="4.75" style="3252" customWidth="1"/>
    <col min="16135" max="16135" width="22.875" style="3252" customWidth="1"/>
    <col min="16136" max="16136" width="20.625" style="3252" customWidth="1"/>
    <col min="16137" max="16137" width="4.875" style="3252" customWidth="1"/>
    <col min="16138" max="16143" width="11" style="3252" customWidth="1"/>
    <col min="16144" max="16144" width="6.625" style="3252" customWidth="1"/>
    <col min="16145" max="16145" width="11" style="3252" customWidth="1"/>
    <col min="16146" max="16146" width="6.125" style="3252" customWidth="1"/>
    <col min="16147" max="16147" width="5.75" style="3252" customWidth="1"/>
    <col min="16148" max="16384" width="9" style="3252"/>
  </cols>
  <sheetData>
    <row r="1" spans="1:19">
      <c r="A1" s="3295" t="s">
        <v>3246</v>
      </c>
      <c r="B1" s="3296" t="s">
        <v>3247</v>
      </c>
      <c r="C1" s="3297"/>
      <c r="D1" s="3297"/>
      <c r="E1" s="3297"/>
      <c r="F1" s="3297"/>
      <c r="G1" s="3297"/>
      <c r="H1" s="3297"/>
      <c r="I1" s="3251"/>
      <c r="J1" s="3251"/>
      <c r="K1" s="3251"/>
      <c r="L1" s="3251"/>
      <c r="M1" s="3251"/>
      <c r="N1" s="3251"/>
      <c r="O1" s="3251"/>
      <c r="P1" s="3251"/>
      <c r="Q1" s="3251"/>
      <c r="R1" s="3251"/>
      <c r="S1" s="3251"/>
    </row>
    <row r="2" spans="1:19" s="3253" customFormat="1" ht="23.25">
      <c r="A2" s="3853" t="s">
        <v>3248</v>
      </c>
      <c r="B2" s="3854"/>
      <c r="C2" s="3854"/>
      <c r="D2" s="3854"/>
      <c r="E2" s="3854"/>
      <c r="F2" s="3854"/>
      <c r="G2" s="3854"/>
      <c r="H2" s="3854"/>
      <c r="I2" s="3854"/>
      <c r="J2" s="3854"/>
      <c r="K2" s="3854"/>
      <c r="L2" s="3854"/>
      <c r="M2" s="3854"/>
      <c r="N2" s="3854"/>
      <c r="O2" s="3854"/>
      <c r="P2" s="3854"/>
      <c r="Q2" s="3854"/>
      <c r="R2" s="3854"/>
      <c r="S2" s="3854"/>
    </row>
    <row r="3" spans="1:19">
      <c r="A3" s="3855" t="str">
        <f>CONCATENATE([4]封面!D9,[4]封面!F9,[4]封面!G9,[4]封面!H9,[4]封面!I9,[4]封面!J9,[4]封面!K9)</f>
        <v>评估基准日：年月日</v>
      </c>
      <c r="B3" s="3855"/>
      <c r="C3" s="3855"/>
      <c r="D3" s="3855"/>
      <c r="E3" s="3855"/>
      <c r="F3" s="3855"/>
      <c r="G3" s="3855"/>
      <c r="H3" s="3855"/>
      <c r="I3" s="3855"/>
      <c r="J3" s="3856"/>
      <c r="K3" s="3856"/>
      <c r="L3" s="3856"/>
      <c r="M3" s="3856"/>
      <c r="N3" s="3856"/>
      <c r="O3" s="3856"/>
      <c r="P3" s="3856"/>
      <c r="Q3" s="3856"/>
      <c r="R3" s="3856"/>
      <c r="S3" s="3856"/>
    </row>
    <row r="4" spans="1:19">
      <c r="A4" s="3298"/>
      <c r="B4" s="3298"/>
      <c r="C4" s="3298"/>
      <c r="D4" s="3298"/>
      <c r="E4" s="3298"/>
      <c r="F4" s="3298"/>
      <c r="G4" s="3298"/>
      <c r="H4" s="3298"/>
      <c r="I4" s="3254"/>
      <c r="J4" s="3255"/>
      <c r="K4" s="3255"/>
      <c r="L4" s="3255"/>
      <c r="M4" s="3255"/>
      <c r="N4" s="3255"/>
      <c r="O4" s="3255"/>
      <c r="P4" s="3255"/>
      <c r="Q4" s="3255"/>
      <c r="R4" s="3255"/>
      <c r="S4" s="3256" t="s">
        <v>3249</v>
      </c>
    </row>
    <row r="5" spans="1:19">
      <c r="A5" s="3299" t="str">
        <f>[4]封面!D7&amp;[4]封面!E7</f>
        <v>被评估单位（或者产权持有单位）：</v>
      </c>
      <c r="H5" s="3301"/>
      <c r="I5" s="3257"/>
      <c r="J5" s="3257"/>
      <c r="S5" s="3258" t="s">
        <v>3250</v>
      </c>
    </row>
    <row r="6" spans="1:19" s="3259" customFormat="1">
      <c r="A6" s="3857" t="s">
        <v>3251</v>
      </c>
      <c r="B6" s="3858" t="s">
        <v>3252</v>
      </c>
      <c r="C6" s="3859" t="s">
        <v>3253</v>
      </c>
      <c r="D6" s="3861" t="s">
        <v>3254</v>
      </c>
      <c r="E6" s="3863" t="s">
        <v>3255</v>
      </c>
      <c r="F6" s="3863" t="s">
        <v>3256</v>
      </c>
      <c r="G6" s="3863" t="s">
        <v>3257</v>
      </c>
      <c r="H6" s="3863" t="s">
        <v>3258</v>
      </c>
      <c r="I6" s="3864" t="s">
        <v>3259</v>
      </c>
      <c r="J6" s="3864" t="s">
        <v>3260</v>
      </c>
      <c r="K6" s="3866" t="s">
        <v>3261</v>
      </c>
      <c r="L6" s="3867"/>
      <c r="M6" s="3868" t="s">
        <v>3262</v>
      </c>
      <c r="N6" s="3869"/>
      <c r="O6" s="3866" t="s">
        <v>3263</v>
      </c>
      <c r="P6" s="3865"/>
      <c r="Q6" s="3865"/>
      <c r="R6" s="3864" t="s">
        <v>3264</v>
      </c>
      <c r="S6" s="3864" t="s">
        <v>3265</v>
      </c>
    </row>
    <row r="7" spans="1:19" s="3259" customFormat="1">
      <c r="A7" s="3858"/>
      <c r="B7" s="3858"/>
      <c r="C7" s="3860"/>
      <c r="D7" s="3862"/>
      <c r="E7" s="3858"/>
      <c r="F7" s="3858"/>
      <c r="G7" s="3858"/>
      <c r="H7" s="3858"/>
      <c r="I7" s="3865"/>
      <c r="J7" s="3865"/>
      <c r="K7" s="3260" t="s">
        <v>3266</v>
      </c>
      <c r="L7" s="3261" t="s">
        <v>3267</v>
      </c>
      <c r="M7" s="3262" t="s">
        <v>3266</v>
      </c>
      <c r="N7" s="3260" t="s">
        <v>3267</v>
      </c>
      <c r="O7" s="3260" t="s">
        <v>3266</v>
      </c>
      <c r="P7" s="3260" t="s">
        <v>3268</v>
      </c>
      <c r="Q7" s="3260" t="s">
        <v>3267</v>
      </c>
      <c r="R7" s="3865"/>
      <c r="S7" s="3865"/>
    </row>
    <row r="8" spans="1:19" s="3259" customFormat="1">
      <c r="A8" s="3266">
        <v>1</v>
      </c>
      <c r="B8" s="3267" t="s">
        <v>3269</v>
      </c>
      <c r="C8" s="3302" t="s">
        <v>3270</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3271</v>
      </c>
      <c r="C9" s="3302" t="s">
        <v>3270</v>
      </c>
      <c r="D9" s="3302">
        <v>17</v>
      </c>
      <c r="E9" s="3266"/>
      <c r="F9" s="3266"/>
      <c r="G9" s="3267">
        <v>311.43</v>
      </c>
      <c r="H9" s="3267" t="s">
        <v>3272</v>
      </c>
      <c r="I9" s="3263"/>
      <c r="J9" s="3264">
        <v>38108</v>
      </c>
      <c r="K9" s="3265">
        <v>32003</v>
      </c>
      <c r="L9" s="3265">
        <v>19616.72</v>
      </c>
      <c r="M9" s="3265">
        <v>32003</v>
      </c>
      <c r="N9" s="3265">
        <v>19616.72</v>
      </c>
      <c r="O9" s="3260"/>
      <c r="P9" s="3260"/>
      <c r="Q9" s="3260"/>
      <c r="R9" s="3263"/>
      <c r="S9" s="3263"/>
    </row>
    <row r="10" spans="1:19" s="3270" customFormat="1">
      <c r="A10" s="3266">
        <v>3</v>
      </c>
      <c r="B10" s="3267" t="s">
        <v>3273</v>
      </c>
      <c r="C10" s="3302" t="s">
        <v>3270</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3274</v>
      </c>
      <c r="C11" s="3302" t="s">
        <v>3270</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c r="A12" s="3266">
        <v>5</v>
      </c>
      <c r="B12" s="3267" t="s">
        <v>3275</v>
      </c>
      <c r="C12" s="3302" t="s">
        <v>3270</v>
      </c>
      <c r="D12" s="3302">
        <v>17</v>
      </c>
      <c r="E12" s="3266"/>
      <c r="F12" s="3266"/>
      <c r="G12" s="3267">
        <v>311.43</v>
      </c>
      <c r="H12" s="3267" t="s">
        <v>3272</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3276</v>
      </c>
      <c r="C13" s="3302" t="s">
        <v>3270</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3277</v>
      </c>
      <c r="C14" s="3302" t="s">
        <v>3278</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3279</v>
      </c>
      <c r="C15" s="3302" t="s">
        <v>3278</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3280</v>
      </c>
      <c r="C16" s="3302" t="s">
        <v>3281</v>
      </c>
      <c r="D16" s="3302"/>
      <c r="E16" s="3266">
        <v>3210</v>
      </c>
      <c r="F16" s="3266"/>
      <c r="G16" s="3267"/>
      <c r="H16" s="3267" t="s">
        <v>3282</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3283</v>
      </c>
      <c r="C17" s="3302" t="s">
        <v>3281</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3284</v>
      </c>
      <c r="C18" s="3302" t="s">
        <v>3281</v>
      </c>
      <c r="D18" s="3302"/>
      <c r="E18" s="3266">
        <v>10778</v>
      </c>
      <c r="F18" s="3266"/>
      <c r="G18" s="3267"/>
      <c r="H18" s="3267" t="s">
        <v>3285</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3286</v>
      </c>
      <c r="C19" s="3302" t="s">
        <v>3281</v>
      </c>
      <c r="D19" s="3302"/>
      <c r="E19" s="3266">
        <v>2917</v>
      </c>
      <c r="F19" s="3266"/>
      <c r="G19" s="3267"/>
      <c r="H19" s="3267" t="s">
        <v>3285</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3287</v>
      </c>
      <c r="C20" s="3302" t="s">
        <v>3281</v>
      </c>
      <c r="D20" s="3302"/>
      <c r="E20" s="3266">
        <v>880</v>
      </c>
      <c r="F20" s="3266"/>
      <c r="G20" s="3267"/>
      <c r="H20" s="3267" t="s">
        <v>3285</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3288</v>
      </c>
      <c r="C21" s="3302" t="s">
        <v>3289</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3290</v>
      </c>
      <c r="C22" s="3335" t="s">
        <v>3291</v>
      </c>
      <c r="D22" s="3335"/>
      <c r="E22" s="3333"/>
      <c r="F22" s="3333"/>
      <c r="G22" s="3334">
        <v>588.4</v>
      </c>
      <c r="H22" s="3334" t="s">
        <v>3292</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3293</v>
      </c>
      <c r="C23" s="3312" t="s">
        <v>3291</v>
      </c>
      <c r="D23" s="3312"/>
      <c r="E23" s="3310"/>
      <c r="F23" s="3310"/>
      <c r="G23" s="3311">
        <v>15971.3</v>
      </c>
      <c r="H23" s="3311" t="s">
        <v>3294</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3295</v>
      </c>
      <c r="C24" s="3327" t="s">
        <v>3291</v>
      </c>
      <c r="D24" s="3327"/>
      <c r="E24" s="3325">
        <v>204</v>
      </c>
      <c r="F24" s="3325"/>
      <c r="G24" s="3326"/>
      <c r="H24" s="3326" t="s">
        <v>3296</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3297</v>
      </c>
      <c r="C25" s="3319" t="s">
        <v>3291</v>
      </c>
      <c r="D25" s="3319"/>
      <c r="E25" s="3317">
        <v>93</v>
      </c>
      <c r="F25" s="3317"/>
      <c r="G25" s="3318"/>
      <c r="H25" s="3318" t="s">
        <v>3298</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3299</v>
      </c>
      <c r="C26" s="3302" t="s">
        <v>3291</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3300</v>
      </c>
      <c r="C27" s="3327" t="s">
        <v>3291</v>
      </c>
      <c r="D27" s="3327"/>
      <c r="E27" s="3325">
        <v>255</v>
      </c>
      <c r="F27" s="3325"/>
      <c r="G27" s="3326">
        <v>255</v>
      </c>
      <c r="H27" s="3326" t="s">
        <v>3301</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3302</v>
      </c>
      <c r="C28" s="3319" t="s">
        <v>3291</v>
      </c>
      <c r="D28" s="3319"/>
      <c r="E28" s="3317">
        <v>140</v>
      </c>
      <c r="F28" s="3317"/>
      <c r="G28" s="3318"/>
      <c r="H28" s="3318" t="s">
        <v>3303</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3304</v>
      </c>
      <c r="C29" s="3302" t="s">
        <v>3281</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3305</v>
      </c>
      <c r="C30" s="3302" t="s">
        <v>3281</v>
      </c>
      <c r="D30" s="3302"/>
      <c r="E30" s="3266"/>
      <c r="F30" s="3266"/>
      <c r="G30" s="3267">
        <v>44419</v>
      </c>
      <c r="H30" s="3267" t="s">
        <v>3306</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3307</v>
      </c>
      <c r="C31" s="3319" t="s">
        <v>3281</v>
      </c>
      <c r="D31" s="3319"/>
      <c r="E31" s="3317">
        <v>2020</v>
      </c>
      <c r="F31" s="3317"/>
      <c r="G31" s="3318"/>
      <c r="H31" s="3318" t="s">
        <v>3303</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3308</v>
      </c>
      <c r="C32" s="3302" t="s">
        <v>3281</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3309</v>
      </c>
      <c r="C33" s="3302" t="s">
        <v>3281</v>
      </c>
      <c r="D33" s="3302"/>
      <c r="E33" s="3266">
        <v>12</v>
      </c>
      <c r="F33" s="3266"/>
      <c r="G33" s="3267"/>
      <c r="H33" s="3267" t="s">
        <v>3310</v>
      </c>
      <c r="I33" s="3263"/>
      <c r="J33" s="3264">
        <v>35660</v>
      </c>
      <c r="K33" s="3265">
        <v>5752</v>
      </c>
      <c r="L33" s="3265">
        <v>2736.74</v>
      </c>
      <c r="M33" s="3265">
        <v>5752</v>
      </c>
      <c r="N33" s="3265">
        <v>2736.74</v>
      </c>
      <c r="O33" s="3260"/>
      <c r="P33" s="3260"/>
      <c r="Q33" s="3260"/>
      <c r="R33" s="3263"/>
      <c r="S33" s="3263"/>
    </row>
    <row r="34" spans="1:19" s="3346" customFormat="1">
      <c r="A34" s="3340">
        <v>27</v>
      </c>
      <c r="B34" s="3341" t="s">
        <v>3311</v>
      </c>
      <c r="C34" s="3342" t="s">
        <v>3281</v>
      </c>
      <c r="D34" s="3342"/>
      <c r="E34" s="3340"/>
      <c r="F34" s="3340"/>
      <c r="G34" s="3341">
        <v>133</v>
      </c>
      <c r="H34" s="3341" t="s">
        <v>3312</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3313</v>
      </c>
      <c r="C35" s="3319" t="s">
        <v>3281</v>
      </c>
      <c r="D35" s="3319"/>
      <c r="E35" s="3317">
        <v>44</v>
      </c>
      <c r="F35" s="3317"/>
      <c r="G35" s="3318"/>
      <c r="H35" s="3318" t="s">
        <v>3303</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3314</v>
      </c>
      <c r="C36" s="3302" t="s">
        <v>3281</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3315</v>
      </c>
      <c r="C37" s="3302" t="s">
        <v>3316</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3317</v>
      </c>
      <c r="C38" s="3302" t="s">
        <v>3316</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3318</v>
      </c>
      <c r="C39" s="3302" t="s">
        <v>3316</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3319</v>
      </c>
      <c r="C40" s="3302" t="s">
        <v>3320</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3321</v>
      </c>
      <c r="C41" s="3349" t="s">
        <v>3320</v>
      </c>
      <c r="D41" s="3349"/>
      <c r="E41" s="3347"/>
      <c r="F41" s="3347"/>
      <c r="G41" s="3348" t="s">
        <v>3322</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3323</v>
      </c>
      <c r="C42" s="3349" t="s">
        <v>3324</v>
      </c>
      <c r="D42" s="3349"/>
      <c r="E42" s="3347"/>
      <c r="F42" s="3347"/>
      <c r="G42" s="3348" t="s">
        <v>3325</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3326</v>
      </c>
      <c r="C43" s="3349" t="s">
        <v>3324</v>
      </c>
      <c r="D43" s="3349"/>
      <c r="E43" s="3347"/>
      <c r="F43" s="3347"/>
      <c r="G43" s="3348" t="s">
        <v>3327</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3328</v>
      </c>
      <c r="C44" s="3349" t="s">
        <v>3324</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3329</v>
      </c>
      <c r="C45" s="3349" t="s">
        <v>3324</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3330</v>
      </c>
      <c r="C46" s="3302" t="s">
        <v>3320</v>
      </c>
      <c r="D46" s="3305"/>
      <c r="E46" s="3303"/>
      <c r="F46" s="3303"/>
      <c r="G46" s="3304" t="s">
        <v>3331</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3332</v>
      </c>
      <c r="C47" s="3302" t="s">
        <v>3333</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3334</v>
      </c>
      <c r="C48" s="3302" t="s">
        <v>3335</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3336</v>
      </c>
      <c r="C49" s="3302" t="s">
        <v>3337</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3338</v>
      </c>
      <c r="C50" s="3302" t="s">
        <v>3337</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3339</v>
      </c>
      <c r="C51" s="3302" t="s">
        <v>3337</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3340</v>
      </c>
      <c r="C52" s="3302" t="s">
        <v>3341</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3342</v>
      </c>
      <c r="C53" s="3302" t="s">
        <v>3343</v>
      </c>
      <c r="D53" s="3302" t="s">
        <v>3344</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3345</v>
      </c>
      <c r="C54" s="3302" t="s">
        <v>3335</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3346</v>
      </c>
      <c r="C55" s="3302" t="s">
        <v>3347</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3348</v>
      </c>
      <c r="C56" s="3302" t="s">
        <v>3335</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3349</v>
      </c>
      <c r="C57" s="3302" t="s">
        <v>3343</v>
      </c>
      <c r="D57" s="3302" t="s">
        <v>3350</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3858" t="s">
        <v>3351</v>
      </c>
      <c r="B58" s="3858"/>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3857" t="s">
        <v>3352</v>
      </c>
      <c r="B59" s="3858"/>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3870" t="s">
        <v>3353</v>
      </c>
      <c r="B60" s="3871"/>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[4]封面!D11&amp;[4]封面!F11</f>
        <v>被评估单位（或者产权持有单位）填表人：</v>
      </c>
      <c r="M61" s="3252" t="str">
        <f>"评估人员："&amp;[4]封面!E26</f>
        <v>评估人员：</v>
      </c>
    </row>
    <row r="62" spans="1:19">
      <c r="A62" s="3308" t="str">
        <f>CONCATENATE([4]封面!D13,[4]封面!F13,[4]封面!G13,[4]封面!H13,[4]封面!I13,[4]封面!J13,[4]封面!K13)</f>
        <v>填表日期：年月日</v>
      </c>
    </row>
    <row r="66" spans="8:11">
      <c r="H66" s="3309"/>
      <c r="K66" s="3294"/>
    </row>
  </sheetData>
  <mergeCells count="20">
    <mergeCell ref="A58:B58"/>
    <mergeCell ref="A59:B59"/>
    <mergeCell ref="A60:B60"/>
    <mergeCell ref="I6:I7"/>
    <mergeCell ref="J6:J7"/>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s>
  <phoneticPr fontId="237"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H34" sqref="H34"/>
    </sheetView>
  </sheetViews>
  <sheetFormatPr defaultRowHeight="13.5"/>
  <cols>
    <col min="3" max="3" width="13.375" customWidth="1"/>
  </cols>
  <sheetData>
    <row r="2" spans="2:5" ht="27" customHeight="1">
      <c r="B2" s="3875" t="s">
        <v>3135</v>
      </c>
      <c r="C2" s="3875"/>
      <c r="D2" s="3875"/>
      <c r="E2" s="3875"/>
    </row>
    <row r="3" spans="2:5">
      <c r="B3" s="3733" t="s">
        <v>3136</v>
      </c>
      <c r="C3" s="3733"/>
      <c r="D3" s="3734">
        <f>'数据-汇总表'!E3</f>
        <v>60473.499999999985</v>
      </c>
      <c r="E3" s="3734"/>
    </row>
    <row r="4" spans="2:5">
      <c r="B4" s="3733" t="s">
        <v>3137</v>
      </c>
      <c r="C4" s="3733"/>
      <c r="D4" s="3734">
        <v>50</v>
      </c>
      <c r="E4" s="3734"/>
    </row>
    <row r="5" spans="2:5">
      <c r="B5" s="3873" t="s">
        <v>3138</v>
      </c>
      <c r="C5" s="3874"/>
      <c r="D5" s="3872">
        <f>ROUND(D3*D4/10000,2)</f>
        <v>302.37</v>
      </c>
      <c r="E5" s="3872"/>
    </row>
  </sheetData>
  <mergeCells count="7">
    <mergeCell ref="D5:E5"/>
    <mergeCell ref="B5:C5"/>
    <mergeCell ref="B2:E2"/>
    <mergeCell ref="B3:C3"/>
    <mergeCell ref="B4:C4"/>
    <mergeCell ref="D3:E3"/>
    <mergeCell ref="D4:E4"/>
  </mergeCells>
  <phoneticPr fontId="23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80" zoomScale="110" zoomScaleNormal="110" workbookViewId="0">
      <selection activeCell="F93" sqref="F93"/>
    </sheetView>
  </sheetViews>
  <sheetFormatPr defaultRowHeight="22.5" customHeight="1"/>
  <cols>
    <col min="1" max="1" width="14.875" style="3190" customWidth="1"/>
    <col min="2" max="3" width="9" style="3190"/>
    <col min="4" max="4" width="9" style="3191"/>
    <col min="5" max="5" width="9" style="3190"/>
    <col min="6" max="6" width="9.5" style="3190" bestFit="1" customWidth="1"/>
    <col min="7" max="16384" width="9" style="3190"/>
  </cols>
  <sheetData>
    <row r="1" spans="1:19" ht="22.5" customHeight="1">
      <c r="A1" s="3876" t="s">
        <v>3065</v>
      </c>
      <c r="B1" s="3876" t="s">
        <v>3066</v>
      </c>
      <c r="C1" s="3876" t="s">
        <v>3064</v>
      </c>
      <c r="D1" s="3883" t="s">
        <v>3067</v>
      </c>
      <c r="E1" s="3876" t="s">
        <v>3075</v>
      </c>
      <c r="F1" s="3876" t="s">
        <v>3068</v>
      </c>
      <c r="G1" s="3876" t="s">
        <v>3076</v>
      </c>
      <c r="H1" s="3876" t="s">
        <v>3077</v>
      </c>
      <c r="I1" s="3876" t="s">
        <v>3078</v>
      </c>
      <c r="J1" s="3876" t="s">
        <v>3600</v>
      </c>
      <c r="K1" s="3876" t="s">
        <v>3080</v>
      </c>
      <c r="L1" s="3876" t="s">
        <v>3081</v>
      </c>
      <c r="M1" s="3876" t="s">
        <v>3082</v>
      </c>
      <c r="N1" s="3876" t="s">
        <v>3083</v>
      </c>
      <c r="O1" s="3876" t="s">
        <v>3084</v>
      </c>
      <c r="P1" s="3878" t="s">
        <v>3110</v>
      </c>
      <c r="Q1" s="3876" t="s">
        <v>3069</v>
      </c>
    </row>
    <row r="2" spans="1:19" ht="22.5" customHeight="1" thickBot="1">
      <c r="A2" s="3877"/>
      <c r="B2" s="3877"/>
      <c r="C2" s="3877"/>
      <c r="D2" s="3884"/>
      <c r="E2" s="3877"/>
      <c r="F2" s="3877"/>
      <c r="G2" s="3877"/>
      <c r="H2" s="3877"/>
      <c r="I2" s="3877"/>
      <c r="J2" s="3877"/>
      <c r="K2" s="3877"/>
      <c r="L2" s="3877"/>
      <c r="M2" s="3877"/>
      <c r="N2" s="3877"/>
      <c r="O2" s="3877"/>
      <c r="P2" s="3877"/>
      <c r="Q2" s="3877"/>
      <c r="S2" s="3192" t="s">
        <v>3085</v>
      </c>
    </row>
    <row r="3" spans="1:19" ht="22.5" customHeight="1" thickTop="1">
      <c r="A3" s="3218" t="s">
        <v>3086</v>
      </c>
      <c r="B3" s="3219">
        <v>1</v>
      </c>
      <c r="C3" s="3219" t="s">
        <v>3070</v>
      </c>
      <c r="D3" s="3220" t="s">
        <v>3059</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3087</v>
      </c>
      <c r="B4" s="3197">
        <v>2</v>
      </c>
      <c r="C4" s="3197" t="s">
        <v>3070</v>
      </c>
      <c r="D4" s="3198" t="s">
        <v>3060</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3088</v>
      </c>
      <c r="B5" s="3193">
        <v>3</v>
      </c>
      <c r="C5" s="3193" t="s">
        <v>3070</v>
      </c>
      <c r="D5" s="3194" t="s">
        <v>3060</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3089</v>
      </c>
      <c r="B6" s="3197">
        <v>4</v>
      </c>
      <c r="C6" s="3197" t="s">
        <v>3070</v>
      </c>
      <c r="D6" s="3198" t="s">
        <v>3061</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3090</v>
      </c>
      <c r="B7" s="3193">
        <v>5</v>
      </c>
      <c r="C7" s="3193" t="s">
        <v>3070</v>
      </c>
      <c r="D7" s="3194" t="s">
        <v>3071</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3885" t="s">
        <v>3091</v>
      </c>
      <c r="B8" s="3197">
        <v>6</v>
      </c>
      <c r="C8" s="3197" t="s">
        <v>3072</v>
      </c>
      <c r="D8" s="3198" t="s">
        <v>3071</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3885"/>
      <c r="B9" s="3193">
        <v>7</v>
      </c>
      <c r="C9" s="3193" t="s">
        <v>3072</v>
      </c>
      <c r="D9" s="3194" t="s">
        <v>3071</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3885"/>
      <c r="B10" s="3197">
        <v>8</v>
      </c>
      <c r="C10" s="3197" t="s">
        <v>3072</v>
      </c>
      <c r="D10" s="3198" t="s">
        <v>3071</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3885"/>
      <c r="B11" s="3193">
        <v>9</v>
      </c>
      <c r="C11" s="3193" t="s">
        <v>3072</v>
      </c>
      <c r="D11" s="3194" t="s">
        <v>3071</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3092</v>
      </c>
      <c r="B12" s="3197">
        <v>10</v>
      </c>
      <c r="C12" s="3197" t="s">
        <v>3072</v>
      </c>
      <c r="D12" s="3198" t="s">
        <v>3071</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3093</v>
      </c>
      <c r="B14" s="3193">
        <v>12</v>
      </c>
      <c r="C14" s="3193" t="s">
        <v>3070</v>
      </c>
      <c r="D14" s="3194" t="s">
        <v>3071</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3070</v>
      </c>
      <c r="D15" s="3198" t="s">
        <v>3071</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3095</v>
      </c>
      <c r="B16" s="3193">
        <v>14</v>
      </c>
      <c r="C16" s="3193" t="s">
        <v>3070</v>
      </c>
      <c r="D16" s="3194" t="s">
        <v>3071</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3096</v>
      </c>
      <c r="B17" s="3197">
        <v>15</v>
      </c>
      <c r="C17" s="3197" t="s">
        <v>3070</v>
      </c>
      <c r="D17" s="3198" t="s">
        <v>3071</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3098</v>
      </c>
      <c r="B18" s="3193">
        <v>16</v>
      </c>
      <c r="C18" s="3193" t="s">
        <v>3070</v>
      </c>
      <c r="D18" s="3194" t="s">
        <v>3071</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3094</v>
      </c>
      <c r="B19" s="3197">
        <v>17</v>
      </c>
      <c r="C19" s="3197" t="s">
        <v>3070</v>
      </c>
      <c r="D19" s="3198" t="s">
        <v>3071</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3099</v>
      </c>
      <c r="B20" s="3193">
        <v>18</v>
      </c>
      <c r="C20" s="3193" t="s">
        <v>3070</v>
      </c>
      <c r="D20" s="3194" t="s">
        <v>3071</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3100</v>
      </c>
      <c r="B21" s="3197">
        <v>19</v>
      </c>
      <c r="C21" s="3197" t="s">
        <v>3070</v>
      </c>
      <c r="D21" s="3198" t="s">
        <v>3059</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3101</v>
      </c>
      <c r="B22" s="3193">
        <v>20</v>
      </c>
      <c r="C22" s="3193" t="s">
        <v>3070</v>
      </c>
      <c r="D22" s="3194" t="s">
        <v>3071</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3102</v>
      </c>
      <c r="B23" s="3197">
        <v>21</v>
      </c>
      <c r="C23" s="3197" t="s">
        <v>3070</v>
      </c>
      <c r="D23" s="3198" t="s">
        <v>3060</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3103</v>
      </c>
      <c r="B24" s="3193">
        <v>22</v>
      </c>
      <c r="C24" s="3193" t="s">
        <v>3070</v>
      </c>
      <c r="D24" s="3194" t="s">
        <v>3062</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3070</v>
      </c>
      <c r="D25" s="3198" t="s">
        <v>3063</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3104</v>
      </c>
      <c r="B26" s="3193">
        <v>24</v>
      </c>
      <c r="C26" s="3193" t="s">
        <v>3073</v>
      </c>
      <c r="D26" s="3194" t="s">
        <v>3071</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3105</v>
      </c>
      <c r="B29" s="3197">
        <v>27</v>
      </c>
      <c r="C29" s="3197" t="s">
        <v>3070</v>
      </c>
      <c r="D29" s="3198" t="s">
        <v>3071</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3070</v>
      </c>
      <c r="D30" s="3194" t="s">
        <v>3060</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3070</v>
      </c>
      <c r="D31" s="3198" t="s">
        <v>3071</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3070</v>
      </c>
      <c r="D32" s="3194" t="s">
        <v>3071</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3070</v>
      </c>
      <c r="D33" s="3198" t="s">
        <v>3071</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3074</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3070</v>
      </c>
      <c r="D35" s="3198" t="s">
        <v>3071</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3106</v>
      </c>
      <c r="B36" s="3193">
        <v>33</v>
      </c>
      <c r="C36" s="3193" t="s">
        <v>3070</v>
      </c>
      <c r="D36" s="3194" t="s">
        <v>3071</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3107</v>
      </c>
      <c r="B37" s="3197">
        <v>34</v>
      </c>
      <c r="C37" s="3197" t="s">
        <v>3070</v>
      </c>
      <c r="D37" s="3198" t="s">
        <v>3071</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3108</v>
      </c>
      <c r="B38" s="3193">
        <v>35</v>
      </c>
      <c r="C38" s="3193" t="s">
        <v>3070</v>
      </c>
      <c r="D38" s="3194" t="s">
        <v>3192</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3109</v>
      </c>
      <c r="B39" s="3197">
        <v>36</v>
      </c>
      <c r="C39" s="3197" t="s">
        <v>3070</v>
      </c>
      <c r="D39" s="3198" t="s">
        <v>3060</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3086</v>
      </c>
      <c r="B40" s="3193">
        <v>37</v>
      </c>
      <c r="C40" s="3193" t="s">
        <v>3070</v>
      </c>
      <c r="D40" s="3194" t="s">
        <v>3060</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3074</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3097</v>
      </c>
      <c r="B42" s="3201">
        <v>38</v>
      </c>
      <c r="C42" s="3201" t="s">
        <v>3070</v>
      </c>
      <c r="D42" s="3202" t="s">
        <v>3071</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3111</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3879" t="s">
        <v>3191</v>
      </c>
      <c r="B44" s="3880"/>
      <c r="C44" s="3880"/>
      <c r="D44" s="3880"/>
      <c r="E44" s="3880"/>
      <c r="F44" s="3880"/>
      <c r="G44" s="3880"/>
      <c r="H44" s="3880"/>
      <c r="I44" s="3880"/>
      <c r="J44" s="3880"/>
      <c r="K44" s="3880"/>
      <c r="L44" s="3880"/>
      <c r="M44" s="3880"/>
      <c r="N44" s="3880"/>
      <c r="O44" s="3880"/>
      <c r="P44" s="3880"/>
      <c r="Q44" s="3880"/>
    </row>
    <row r="45" spans="1:19" ht="22.5" customHeight="1">
      <c r="A45" s="3876" t="s">
        <v>3065</v>
      </c>
      <c r="B45" s="3876" t="s">
        <v>3066</v>
      </c>
      <c r="C45" s="3876" t="s">
        <v>3064</v>
      </c>
      <c r="D45" s="3883" t="s">
        <v>3067</v>
      </c>
      <c r="E45" s="3876" t="s">
        <v>3075</v>
      </c>
      <c r="F45" s="3876" t="s">
        <v>3068</v>
      </c>
      <c r="G45" s="3876" t="s">
        <v>3076</v>
      </c>
      <c r="H45" s="3876" t="s">
        <v>3077</v>
      </c>
      <c r="I45" s="3876" t="s">
        <v>3078</v>
      </c>
      <c r="J45" s="3876" t="s">
        <v>3079</v>
      </c>
      <c r="K45" s="3876" t="s">
        <v>3080</v>
      </c>
      <c r="L45" s="3876" t="s">
        <v>3081</v>
      </c>
      <c r="M45" s="3876" t="s">
        <v>3082</v>
      </c>
      <c r="N45" s="3876" t="s">
        <v>3083</v>
      </c>
      <c r="O45" s="3876" t="s">
        <v>3084</v>
      </c>
      <c r="P45" s="3878" t="s">
        <v>3110</v>
      </c>
      <c r="Q45" s="3876" t="s">
        <v>3069</v>
      </c>
    </row>
    <row r="46" spans="1:19" ht="22.5" customHeight="1" thickBot="1">
      <c r="A46" s="3877"/>
      <c r="B46" s="3877"/>
      <c r="C46" s="3877"/>
      <c r="D46" s="3884"/>
      <c r="E46" s="3877"/>
      <c r="F46" s="3877"/>
      <c r="G46" s="3877"/>
      <c r="H46" s="3877"/>
      <c r="I46" s="3877"/>
      <c r="J46" s="3877"/>
      <c r="K46" s="3877"/>
      <c r="L46" s="3877"/>
      <c r="M46" s="3877"/>
      <c r="N46" s="3877"/>
      <c r="O46" s="3877"/>
      <c r="P46" s="3877"/>
      <c r="Q46" s="3877"/>
    </row>
    <row r="47" spans="1:19" ht="22.5" customHeight="1" thickTop="1">
      <c r="A47" s="3218" t="s">
        <v>3164</v>
      </c>
      <c r="B47" s="3219">
        <v>13</v>
      </c>
      <c r="C47" s="3219" t="s">
        <v>3162</v>
      </c>
      <c r="D47" s="3220" t="s">
        <v>3163</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3152</v>
      </c>
      <c r="B48" s="3197">
        <v>26</v>
      </c>
      <c r="C48" s="3428" t="s">
        <v>3156</v>
      </c>
      <c r="D48" s="3198" t="s">
        <v>3155</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3591</v>
      </c>
      <c r="B49" s="3193">
        <v>14</v>
      </c>
      <c r="C49" s="3237" t="s">
        <v>3153</v>
      </c>
      <c r="D49" s="3194" t="s">
        <v>3154</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3157</v>
      </c>
      <c r="B50" s="3197">
        <v>18</v>
      </c>
      <c r="C50" s="3428" t="s">
        <v>3159</v>
      </c>
      <c r="D50" s="3198" t="s">
        <v>3154</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3158</v>
      </c>
      <c r="B51" s="3193">
        <v>12</v>
      </c>
      <c r="C51" s="3237" t="s">
        <v>3153</v>
      </c>
      <c r="D51" s="3194" t="s">
        <v>3154</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3161</v>
      </c>
      <c r="B52" s="3435">
        <v>37</v>
      </c>
      <c r="C52" s="3435" t="s">
        <v>3162</v>
      </c>
      <c r="D52" s="3436" t="s">
        <v>3163</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3160</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Q55" s="3241">
        <f>Q43+Q53</f>
        <v>6233.5700000000006</v>
      </c>
    </row>
    <row r="57" spans="1:19" ht="22.5" customHeight="1" thickBot="1">
      <c r="A57" s="3881" t="s">
        <v>3228</v>
      </c>
      <c r="B57" s="3882"/>
      <c r="C57" s="3882"/>
      <c r="D57" s="3882"/>
      <c r="E57" s="3882"/>
      <c r="F57" s="3882"/>
      <c r="G57" s="3882"/>
      <c r="H57" s="3882"/>
      <c r="I57" s="3882"/>
      <c r="J57" s="3882"/>
      <c r="K57" s="3882"/>
      <c r="L57" s="3882"/>
      <c r="M57" s="3882"/>
      <c r="N57" s="3882"/>
      <c r="O57" s="3882"/>
      <c r="P57" s="3882"/>
      <c r="Q57" s="3882"/>
    </row>
    <row r="58" spans="1:19" ht="22.5" customHeight="1">
      <c r="A58" s="3876" t="s">
        <v>3065</v>
      </c>
      <c r="B58" s="3876" t="s">
        <v>3066</v>
      </c>
      <c r="C58" s="3876" t="s">
        <v>3064</v>
      </c>
      <c r="D58" s="3883" t="s">
        <v>3067</v>
      </c>
      <c r="E58" s="3876" t="s">
        <v>3075</v>
      </c>
      <c r="F58" s="3876" t="s">
        <v>3068</v>
      </c>
      <c r="G58" s="3876" t="s">
        <v>3076</v>
      </c>
      <c r="H58" s="3876" t="s">
        <v>3077</v>
      </c>
      <c r="I58" s="3876" t="s">
        <v>3078</v>
      </c>
      <c r="J58" s="3876" t="s">
        <v>3079</v>
      </c>
      <c r="K58" s="3876" t="s">
        <v>3080</v>
      </c>
      <c r="L58" s="3876" t="s">
        <v>3081</v>
      </c>
      <c r="M58" s="3876" t="s">
        <v>3082</v>
      </c>
      <c r="N58" s="3876" t="s">
        <v>3083</v>
      </c>
      <c r="O58" s="3876" t="s">
        <v>3084</v>
      </c>
      <c r="P58" s="3878" t="s">
        <v>3110</v>
      </c>
      <c r="Q58" s="3876" t="s">
        <v>3069</v>
      </c>
    </row>
    <row r="59" spans="1:19" ht="22.5" customHeight="1" thickBot="1">
      <c r="A59" s="3877"/>
      <c r="B59" s="3877"/>
      <c r="C59" s="3877"/>
      <c r="D59" s="3884"/>
      <c r="E59" s="3877"/>
      <c r="F59" s="3877"/>
      <c r="G59" s="3877"/>
      <c r="H59" s="3877"/>
      <c r="I59" s="3877"/>
      <c r="J59" s="3877"/>
      <c r="K59" s="3877"/>
      <c r="L59" s="3877"/>
      <c r="M59" s="3877"/>
      <c r="N59" s="3877"/>
      <c r="O59" s="3877"/>
      <c r="P59" s="3877"/>
      <c r="Q59" s="3877"/>
    </row>
    <row r="60" spans="1:19" ht="22.5" customHeight="1" thickTop="1">
      <c r="A60" s="3218" t="s">
        <v>3193</v>
      </c>
      <c r="B60" s="3219">
        <v>1</v>
      </c>
      <c r="C60" s="3219" t="s">
        <v>3194</v>
      </c>
      <c r="D60" s="3220" t="s">
        <v>3195</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3196</v>
      </c>
      <c r="B61" s="3197">
        <v>2</v>
      </c>
      <c r="C61" s="3428" t="s">
        <v>3194</v>
      </c>
      <c r="D61" s="3198" t="s">
        <v>3195</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3197</v>
      </c>
      <c r="B62" s="3193">
        <v>3</v>
      </c>
      <c r="C62" s="3237" t="s">
        <v>3198</v>
      </c>
      <c r="D62" s="3194" t="s">
        <v>3199</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3200</v>
      </c>
      <c r="B63" s="3197">
        <v>4</v>
      </c>
      <c r="C63" s="3428" t="s">
        <v>3201</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3202</v>
      </c>
      <c r="B64" s="3193">
        <v>5</v>
      </c>
      <c r="C64" s="3237" t="s">
        <v>3201</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3203</v>
      </c>
      <c r="B65" s="3197">
        <v>6</v>
      </c>
      <c r="C65" s="3428" t="s">
        <v>3201</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3204</v>
      </c>
      <c r="B66" s="3193">
        <v>7</v>
      </c>
      <c r="C66" s="3237" t="s">
        <v>3198</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3205</v>
      </c>
      <c r="B67" s="3197">
        <v>8</v>
      </c>
      <c r="C67" s="3428" t="s">
        <v>3198</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3206</v>
      </c>
      <c r="B68" s="3193">
        <v>9</v>
      </c>
      <c r="C68" s="3237" t="s">
        <v>3207</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3208</v>
      </c>
      <c r="B69" s="3197">
        <v>10</v>
      </c>
      <c r="C69" s="3428" t="s">
        <v>3201</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3209</v>
      </c>
      <c r="B70" s="3193">
        <v>11</v>
      </c>
      <c r="C70" s="3237" t="s">
        <v>3201</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3210</v>
      </c>
      <c r="B71" s="3197">
        <v>12</v>
      </c>
      <c r="C71" s="3428" t="s">
        <v>3207</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3211</v>
      </c>
      <c r="B72" s="3193">
        <v>15</v>
      </c>
      <c r="C72" s="3237" t="s">
        <v>3207</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3212</v>
      </c>
      <c r="B73" s="3197">
        <v>16</v>
      </c>
      <c r="C73" s="3428" t="s">
        <v>3207</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3213</v>
      </c>
      <c r="B74" s="3193">
        <v>17</v>
      </c>
      <c r="C74" s="3237" t="s">
        <v>3207</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3214</v>
      </c>
      <c r="B75" s="3197">
        <v>19</v>
      </c>
      <c r="C75" s="3428" t="s">
        <v>3207</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3215</v>
      </c>
      <c r="B76" s="3193">
        <v>20</v>
      </c>
      <c r="C76" s="3237" t="s">
        <v>3207</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3216</v>
      </c>
      <c r="B77" s="3197">
        <v>21</v>
      </c>
      <c r="C77" s="3428" t="s">
        <v>3207</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3217</v>
      </c>
      <c r="B78" s="3193">
        <v>22</v>
      </c>
      <c r="C78" s="3237" t="s">
        <v>3198</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3218</v>
      </c>
      <c r="B79" s="3197">
        <v>23</v>
      </c>
      <c r="C79" s="3428" t="s">
        <v>3198</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3219</v>
      </c>
      <c r="B80" s="3193">
        <v>24</v>
      </c>
      <c r="C80" s="3237" t="s">
        <v>3207</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3220</v>
      </c>
      <c r="B81" s="3197">
        <v>25</v>
      </c>
      <c r="C81" s="3428" t="s">
        <v>3198</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3221</v>
      </c>
      <c r="B82" s="3193">
        <v>27</v>
      </c>
      <c r="C82" s="3237" t="s">
        <v>3207</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3222</v>
      </c>
      <c r="B83" s="3197">
        <v>28</v>
      </c>
      <c r="C83" s="3428" t="s">
        <v>3207</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3223</v>
      </c>
      <c r="B84" s="3193">
        <v>29</v>
      </c>
      <c r="C84" s="3237" t="s">
        <v>3207</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3224</v>
      </c>
      <c r="B85" s="3197">
        <v>30</v>
      </c>
      <c r="C85" s="3428" t="s">
        <v>3201</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3225</v>
      </c>
      <c r="B86" s="3193">
        <v>31</v>
      </c>
      <c r="C86" s="3237" t="s">
        <v>3201</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3226</v>
      </c>
      <c r="B87" s="3197">
        <v>32</v>
      </c>
      <c r="C87" s="3428" t="s">
        <v>3207</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3227</v>
      </c>
      <c r="B88" s="3193">
        <v>33</v>
      </c>
      <c r="C88" s="3237" t="s">
        <v>3207</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3536</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H45:H46"/>
    <mergeCell ref="I45:I46"/>
    <mergeCell ref="J45:J46"/>
    <mergeCell ref="P45:P46"/>
    <mergeCell ref="Q45:Q46"/>
    <mergeCell ref="K45:K46"/>
    <mergeCell ref="L45:L46"/>
    <mergeCell ref="M45:M46"/>
    <mergeCell ref="N45:N46"/>
    <mergeCell ref="O45:O46"/>
    <mergeCell ref="Q1:Q2"/>
    <mergeCell ref="F1:F2"/>
    <mergeCell ref="G1:G2"/>
    <mergeCell ref="H1:H2"/>
    <mergeCell ref="I1:I2"/>
    <mergeCell ref="J1:J2"/>
    <mergeCell ref="K1:K2"/>
    <mergeCell ref="L1:L2"/>
    <mergeCell ref="M1:M2"/>
    <mergeCell ref="N1:N2"/>
    <mergeCell ref="O1:O2"/>
    <mergeCell ref="P1:P2"/>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s>
  <phoneticPr fontId="23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3.5"/>
  <cols>
    <col min="2" max="2" width="18.875" customWidth="1"/>
    <col min="3" max="3" width="13.125" customWidth="1"/>
    <col min="4" max="4" width="12.75" bestFit="1" customWidth="1"/>
    <col min="5" max="5" width="11.25" customWidth="1"/>
    <col min="6" max="6" width="11.75" customWidth="1"/>
    <col min="8" max="8" width="9.5" bestFit="1" customWidth="1"/>
  </cols>
  <sheetData>
    <row r="2" spans="2:7" ht="27" customHeight="1">
      <c r="B2" s="3875" t="s">
        <v>3115</v>
      </c>
      <c r="C2" s="3875"/>
      <c r="D2" s="3875"/>
      <c r="E2" s="3875"/>
    </row>
    <row r="3" spans="2:7">
      <c r="B3" s="3733" t="s">
        <v>3120</v>
      </c>
      <c r="C3" s="3733"/>
      <c r="D3" s="3734">
        <v>0.8</v>
      </c>
      <c r="E3" s="3734"/>
    </row>
    <row r="4" spans="2:7">
      <c r="B4" s="3733" t="s">
        <v>3118</v>
      </c>
      <c r="C4" s="3733"/>
      <c r="D4" s="3734">
        <v>30</v>
      </c>
      <c r="E4" s="3734"/>
    </row>
    <row r="5" spans="2:7">
      <c r="B5" s="3733" t="s">
        <v>3119</v>
      </c>
      <c r="C5" s="3733"/>
      <c r="D5" s="3734">
        <f>'数据-基础表'!B3</f>
        <v>60473.499999999985</v>
      </c>
      <c r="E5" s="3734"/>
    </row>
    <row r="6" spans="2:7">
      <c r="B6" s="3733" t="s">
        <v>3117</v>
      </c>
      <c r="C6" s="3733"/>
      <c r="D6" s="3734">
        <f>ROUND(D3*D4*D5/10000,2)</f>
        <v>145.13999999999999</v>
      </c>
      <c r="E6" s="3734"/>
    </row>
    <row r="8" spans="2:7" ht="27" customHeight="1">
      <c r="B8" s="3875" t="s">
        <v>3122</v>
      </c>
      <c r="C8" s="3875"/>
      <c r="D8" s="3875"/>
      <c r="E8" s="3875"/>
      <c r="G8" s="3192" t="s">
        <v>3593</v>
      </c>
    </row>
    <row r="9" spans="2:7">
      <c r="B9" s="3228"/>
      <c r="C9" s="3229" t="s">
        <v>3123</v>
      </c>
      <c r="D9" s="3230" t="s">
        <v>3537</v>
      </c>
      <c r="E9" s="3230" t="s">
        <v>3124</v>
      </c>
      <c r="G9" s="3234">
        <f>ROUND((D6+C14+D19)*D24,2)</f>
        <v>4064.17</v>
      </c>
    </row>
    <row r="10" spans="2:7">
      <c r="B10" s="3228" t="s">
        <v>3121</v>
      </c>
      <c r="C10" s="3231">
        <v>24000951.109999999</v>
      </c>
      <c r="D10" s="3230" t="s">
        <v>3125</v>
      </c>
      <c r="E10" s="3232">
        <f>ROUND(C10/12,2)</f>
        <v>2000079.26</v>
      </c>
    </row>
    <row r="11" spans="2:7">
      <c r="B11" s="3228" t="s">
        <v>3538</v>
      </c>
      <c r="C11" s="3229" t="s">
        <v>3125</v>
      </c>
      <c r="D11" s="3231">
        <v>11808028.619999999</v>
      </c>
      <c r="E11" s="3232">
        <f>ROUND(D11/5,2)</f>
        <v>2361605.7200000002</v>
      </c>
    </row>
    <row r="12" spans="2:7">
      <c r="B12" s="3228" t="s">
        <v>3128</v>
      </c>
      <c r="C12" s="3872">
        <f>ROUND((E10*7+E11*5)/12,2)</f>
        <v>2150715.29</v>
      </c>
      <c r="D12" s="3872"/>
      <c r="E12" s="3872"/>
      <c r="G12" s="3192"/>
    </row>
    <row r="13" spans="2:7">
      <c r="B13" s="3228" t="s">
        <v>3126</v>
      </c>
      <c r="C13" s="3734">
        <v>1.2</v>
      </c>
      <c r="D13" s="3734"/>
      <c r="E13" s="3734"/>
    </row>
    <row r="14" spans="2:7">
      <c r="B14" s="3228" t="s">
        <v>3127</v>
      </c>
      <c r="C14" s="3734">
        <f>ROUND(C12*C13/10000,2)</f>
        <v>258.08999999999997</v>
      </c>
      <c r="D14" s="3734"/>
      <c r="E14" s="3734"/>
    </row>
    <row r="16" spans="2:7" ht="27" customHeight="1">
      <c r="B16" s="3875" t="s">
        <v>3129</v>
      </c>
      <c r="C16" s="3875"/>
      <c r="D16" s="3875"/>
      <c r="E16" s="3875"/>
    </row>
    <row r="17" spans="2:8">
      <c r="B17" s="3733" t="s">
        <v>3130</v>
      </c>
      <c r="C17" s="3733"/>
      <c r="D17" s="3734">
        <v>403</v>
      </c>
      <c r="E17" s="3734"/>
    </row>
    <row r="18" spans="2:8">
      <c r="B18" s="3886" t="s">
        <v>3131</v>
      </c>
      <c r="C18" s="3886"/>
      <c r="D18" s="3734">
        <v>2000</v>
      </c>
      <c r="E18" s="3734"/>
    </row>
    <row r="19" spans="2:8">
      <c r="B19" s="3886" t="s">
        <v>3117</v>
      </c>
      <c r="C19" s="3886"/>
      <c r="D19" s="3887">
        <f>ROUND(D17*D18/10000,2)</f>
        <v>80.599999999999994</v>
      </c>
      <c r="E19" s="3887"/>
    </row>
    <row r="21" spans="2:8" ht="27" customHeight="1">
      <c r="B21" s="3875" t="s">
        <v>3132</v>
      </c>
      <c r="C21" s="3875"/>
      <c r="D21" s="3875"/>
      <c r="E21" s="3875"/>
    </row>
    <row r="22" spans="2:8">
      <c r="B22" s="3733" t="s">
        <v>3133</v>
      </c>
      <c r="C22" s="3733"/>
      <c r="D22" s="3734">
        <v>7</v>
      </c>
      <c r="E22" s="3734"/>
    </row>
    <row r="23" spans="2:8">
      <c r="B23" s="3733" t="s">
        <v>3134</v>
      </c>
      <c r="C23" s="3733"/>
      <c r="D23" s="3734">
        <v>1.2</v>
      </c>
      <c r="E23" s="3734"/>
    </row>
    <row r="24" spans="2:8">
      <c r="B24" s="3733" t="s">
        <v>3116</v>
      </c>
      <c r="C24" s="3733"/>
      <c r="D24" s="3734">
        <f>D22*D23</f>
        <v>8.4</v>
      </c>
      <c r="E24" s="3734"/>
    </row>
    <row r="26" spans="2:8" ht="27" customHeight="1">
      <c r="B26" s="3875" t="s">
        <v>3233</v>
      </c>
      <c r="C26" s="3875"/>
      <c r="D26" s="3875"/>
      <c r="E26" s="3875"/>
      <c r="F26" s="3875"/>
    </row>
    <row r="27" spans="2:8" ht="19.5" customHeight="1">
      <c r="B27" s="3246"/>
      <c r="C27" s="3245" t="s">
        <v>3234</v>
      </c>
      <c r="D27" s="3245" t="s">
        <v>3235</v>
      </c>
      <c r="E27" s="3245" t="s">
        <v>3236</v>
      </c>
      <c r="F27" s="3245" t="s">
        <v>3237</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3238</v>
      </c>
      <c r="E30" s="3245" t="s">
        <v>3238</v>
      </c>
      <c r="F30" s="3245" t="s">
        <v>3238</v>
      </c>
      <c r="H30">
        <f>C30+D29+E29+F29</f>
        <v>7668610.2299999995</v>
      </c>
    </row>
    <row r="31" spans="2:8">
      <c r="H31" s="3248"/>
    </row>
    <row r="32" spans="2:8">
      <c r="H32">
        <f>H30/12</f>
        <v>639050.85249999992</v>
      </c>
    </row>
    <row r="33" spans="8:8">
      <c r="H33" s="3247">
        <f>H32/0.25*0.75</f>
        <v>1917152.5574999996</v>
      </c>
    </row>
  </sheetData>
  <mergeCells count="28">
    <mergeCell ref="B5:C5"/>
    <mergeCell ref="B6:C6"/>
    <mergeCell ref="D6:E6"/>
    <mergeCell ref="B8:E8"/>
    <mergeCell ref="B2:E2"/>
    <mergeCell ref="D3:E3"/>
    <mergeCell ref="D4:E4"/>
    <mergeCell ref="D5:E5"/>
    <mergeCell ref="B3:C3"/>
    <mergeCell ref="B4:C4"/>
    <mergeCell ref="C12:E12"/>
    <mergeCell ref="C13:E13"/>
    <mergeCell ref="C14:E14"/>
    <mergeCell ref="B16:E16"/>
    <mergeCell ref="B17:C17"/>
    <mergeCell ref="B19:C19"/>
    <mergeCell ref="D17:E17"/>
    <mergeCell ref="D18:E18"/>
    <mergeCell ref="D19:E19"/>
    <mergeCell ref="B21:E21"/>
    <mergeCell ref="B18:C18"/>
    <mergeCell ref="B26:F26"/>
    <mergeCell ref="B23:C23"/>
    <mergeCell ref="D22:E22"/>
    <mergeCell ref="D23:E23"/>
    <mergeCell ref="B24:C24"/>
    <mergeCell ref="D24:E24"/>
    <mergeCell ref="B22:C22"/>
  </mergeCells>
  <phoneticPr fontId="23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3.5"/>
  <sheetData>
    <row r="2" spans="18:18">
      <c r="R2" s="3226" t="s">
        <v>3113</v>
      </c>
    </row>
    <row r="75" spans="19:19">
      <c r="S75" s="3226" t="s">
        <v>3114</v>
      </c>
    </row>
  </sheetData>
  <phoneticPr fontId="237"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35" t="s">
        <v>2067</v>
      </c>
      <c r="B1" s="3535"/>
      <c r="C1" s="3535"/>
      <c r="D1" s="3535"/>
    </row>
    <row r="2" spans="1:4" ht="47.25" customHeight="1">
      <c r="A2" s="3539" t="str">
        <f>"1.权利限制："&amp;项目基本情况!L24&amp;"未设定租赁等其他他项权利。"</f>
        <v>1.权利限制：根据估价对象《不动产权证书》原件、《国有土地使用权》复印件，截至估价期日，估价对象抵押权未见登记。未设定租赁等其他他项权利。</v>
      </c>
      <c r="B2" s="3539"/>
      <c r="C2" s="3539"/>
      <c r="D2" s="3539"/>
    </row>
    <row r="3" spans="1:4" ht="48" customHeight="1">
      <c r="A3" s="35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5"/>
      <c r="C3" s="3535"/>
      <c r="D3" s="3535"/>
    </row>
    <row r="4" spans="1:4" ht="36.75" customHeight="1">
      <c r="A4" s="3535" t="str">
        <f>"3.估价规划限制条件：详见"&amp;项目基本情况!E21&amp;"。"</f>
        <v>3.估价规划限制条件：详见《建设工程规划许可证》[]、《出让合同》[]。</v>
      </c>
      <c r="B4" s="3535"/>
      <c r="C4" s="3535"/>
      <c r="D4" s="3535"/>
    </row>
    <row r="5" spans="1:4">
      <c r="A5" s="3538" t="s">
        <v>2068</v>
      </c>
      <c r="B5" s="3538"/>
      <c r="C5" s="3538"/>
      <c r="D5" s="3538"/>
    </row>
    <row r="6" spans="1:4">
      <c r="A6" s="3535" t="s">
        <v>2046</v>
      </c>
      <c r="B6" s="3535"/>
      <c r="C6" s="3535"/>
      <c r="D6" s="3535"/>
    </row>
    <row r="7" spans="1:4" ht="33" customHeight="1">
      <c r="A7" s="3535" t="s">
        <v>2578</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5"/>
      <c r="C8" s="3535"/>
      <c r="D8" s="3535"/>
    </row>
    <row r="9" spans="1:4" ht="33.75" customHeight="1">
      <c r="A9" s="3535" t="str">
        <f>IF(项目基本情况!B8="抵押","3.抵押双方在办理抵押登记手续时，应使用本公司出具的正式《土地估价报告》，特提请报告使用者注意。","——")</f>
        <v>——</v>
      </c>
      <c r="B9" s="3535"/>
      <c r="C9" s="3535"/>
      <c r="D9" s="3535"/>
    </row>
    <row r="10" spans="1:4">
      <c r="A10" s="3535" t="str">
        <f>IF(项目基本情况!B8="抵押","4.估价师所知悉的法定优先受偿款情况为：","——")</f>
        <v>——</v>
      </c>
      <c r="B10" s="3535"/>
      <c r="C10" s="3535"/>
      <c r="D10" s="3535"/>
    </row>
    <row r="11" spans="1:4" ht="37.5" customHeight="1">
      <c r="A11" s="3537" t="str">
        <f>IF(项目基本情况!B8="抵押","（1）"&amp;CONCATENATE(项目基本情况!L24,项目基本情况!L25,项目基本情况!L26),"——")</f>
        <v>——</v>
      </c>
      <c r="B11" s="3537"/>
      <c r="C11" s="3537"/>
      <c r="D11" s="3537"/>
    </row>
    <row r="12" spans="1:4" ht="168" customHeight="1">
      <c r="A12" s="3538" t="s">
        <v>2070</v>
      </c>
      <c r="B12" s="3538"/>
      <c r="C12" s="3538"/>
      <c r="D12" s="3538"/>
    </row>
    <row r="13" spans="1:4">
      <c r="A13" s="3536" t="s">
        <v>2749</v>
      </c>
      <c r="B13" s="3536"/>
      <c r="C13" s="3536"/>
      <c r="D13" s="3536"/>
    </row>
    <row r="14" spans="1:4">
      <c r="A14" s="3537" t="str">
        <f>IF(项目基本情况!B8="抵押","综上，"&amp;结果表!K47,"——")</f>
        <v>——</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2705</v>
      </c>
      <c r="B17" s="3535"/>
      <c r="C17" s="3535"/>
      <c r="D17" s="3535"/>
    </row>
    <row r="18" spans="1:4">
      <c r="A18" s="3535" t="s">
        <v>2697</v>
      </c>
      <c r="B18" s="3535"/>
      <c r="C18" s="3535"/>
      <c r="D18" s="3535"/>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土地估价师</v>
      </c>
      <c r="B21" s="2893">
        <f>项目基本情况!E4</f>
        <v>0</v>
      </c>
      <c r="C21" s="2895"/>
      <c r="D21" s="1801" t="s">
        <v>2707</v>
      </c>
    </row>
    <row r="23" spans="1:4">
      <c r="A23" s="3535" t="s">
        <v>2702</v>
      </c>
      <c r="B23" s="3535"/>
      <c r="C23" s="3535"/>
      <c r="D23" s="353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3.5"/>
  <cols>
    <col min="2" max="2" width="11.625" bestFit="1" customWidth="1"/>
    <col min="3" max="4" width="28.875" customWidth="1"/>
    <col min="7" max="7" width="10.5" bestFit="1" customWidth="1"/>
    <col min="8" max="8" width="11.625" bestFit="1" customWidth="1"/>
    <col min="11" max="11" width="12.75" bestFit="1" customWidth="1"/>
    <col min="12" max="12" width="10.5" bestFit="1" customWidth="1"/>
  </cols>
  <sheetData>
    <row r="1" spans="1:12" s="2" customFormat="1" ht="27">
      <c r="A1" s="3238" t="s">
        <v>3165</v>
      </c>
      <c r="B1" s="3238" t="s">
        <v>3166</v>
      </c>
      <c r="C1" s="3238" t="s">
        <v>3172</v>
      </c>
      <c r="D1" s="3238" t="s">
        <v>3149</v>
      </c>
      <c r="E1" s="3238" t="s">
        <v>3150</v>
      </c>
      <c r="F1" s="3238" t="s">
        <v>3151</v>
      </c>
      <c r="G1" s="3238" t="s">
        <v>3167</v>
      </c>
      <c r="H1" s="3238" t="s">
        <v>3168</v>
      </c>
      <c r="I1" s="3238" t="s">
        <v>3170</v>
      </c>
    </row>
    <row r="2" spans="1:12" s="2" customFormat="1" ht="115.5" customHeight="1">
      <c r="A2" s="3239">
        <v>1</v>
      </c>
      <c r="B2" s="3240">
        <v>42052</v>
      </c>
      <c r="C2" s="3238" t="s">
        <v>3169</v>
      </c>
      <c r="D2" s="3238" t="s">
        <v>3173</v>
      </c>
      <c r="E2" s="3238" t="s">
        <v>3179</v>
      </c>
      <c r="F2" s="3238" t="s">
        <v>3171</v>
      </c>
      <c r="G2" s="3239">
        <v>226133.4</v>
      </c>
      <c r="H2" s="3239">
        <v>2564541000</v>
      </c>
      <c r="I2" s="3239">
        <f>ROUND(H2/G2,0)</f>
        <v>11341</v>
      </c>
      <c r="K2" s="2">
        <f>ROUND((I2+I3+I4)/3,0)</f>
        <v>13174</v>
      </c>
      <c r="L2" s="2">
        <f>项目基本情况!C22</f>
        <v>182153.37</v>
      </c>
    </row>
    <row r="3" spans="1:12" s="2" customFormat="1" ht="94.5">
      <c r="A3" s="3239">
        <v>2</v>
      </c>
      <c r="B3" s="3240">
        <v>42354</v>
      </c>
      <c r="C3" s="3238" t="s">
        <v>3176</v>
      </c>
      <c r="D3" s="3238" t="s">
        <v>3174</v>
      </c>
      <c r="E3" s="3238" t="s">
        <v>3178</v>
      </c>
      <c r="F3" s="3238" t="s">
        <v>3171</v>
      </c>
      <c r="G3" s="3239">
        <v>59493.582000000002</v>
      </c>
      <c r="H3" s="3239">
        <v>837522000</v>
      </c>
      <c r="I3" s="3239">
        <f t="shared" ref="I3:I5" si="0">ROUND(H3/G3,0)</f>
        <v>14078</v>
      </c>
      <c r="K3" s="2">
        <f>K2*L2/10000</f>
        <v>239968.84963800001</v>
      </c>
    </row>
    <row r="4" spans="1:12" s="2" customFormat="1" ht="121.5">
      <c r="A4" s="3239">
        <v>3</v>
      </c>
      <c r="B4" s="3240">
        <v>42354</v>
      </c>
      <c r="C4" s="3238" t="s">
        <v>3181</v>
      </c>
      <c r="D4" s="3238" t="s">
        <v>3175</v>
      </c>
      <c r="E4" s="3238" t="s">
        <v>3177</v>
      </c>
      <c r="F4" s="3238" t="s">
        <v>3171</v>
      </c>
      <c r="G4" s="3239">
        <v>76016.952999999994</v>
      </c>
      <c r="H4" s="3239">
        <v>1072001700</v>
      </c>
      <c r="I4" s="3239">
        <f t="shared" si="0"/>
        <v>14102</v>
      </c>
    </row>
    <row r="5" spans="1:12" s="2" customFormat="1" ht="54">
      <c r="A5" s="3239">
        <v>4</v>
      </c>
      <c r="B5" s="3240">
        <v>42102</v>
      </c>
      <c r="C5" s="3238" t="s">
        <v>3182</v>
      </c>
      <c r="D5" s="3238" t="s">
        <v>3180</v>
      </c>
      <c r="E5" s="3238" t="s">
        <v>3183</v>
      </c>
      <c r="F5" s="3238" t="s">
        <v>3171</v>
      </c>
      <c r="G5" s="3239">
        <f>27393.334-200</f>
        <v>27193.333999999999</v>
      </c>
      <c r="H5" s="3239">
        <v>937881151</v>
      </c>
      <c r="I5" s="3239">
        <f t="shared" si="0"/>
        <v>34489</v>
      </c>
    </row>
    <row r="6" spans="1:12" s="2" customFormat="1"/>
  </sheetData>
  <phoneticPr fontId="2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47" t="s">
        <v>53</v>
      </c>
      <c r="B15" s="3548" t="s">
        <v>845</v>
      </c>
      <c r="C15" s="3544"/>
    </row>
    <row r="16" spans="1:7" ht="14.25">
      <c r="A16" s="3547"/>
      <c r="B16" s="3545" t="s">
        <v>54</v>
      </c>
      <c r="C16" s="1172" t="s">
        <v>53</v>
      </c>
    </row>
    <row r="17" spans="1:3" ht="14.25">
      <c r="A17" s="3547"/>
      <c r="B17" s="3545"/>
      <c r="C17" s="1172" t="s">
        <v>55</v>
      </c>
    </row>
    <row r="18" spans="1:3" ht="14.25">
      <c r="A18" s="3547"/>
      <c r="B18" s="3545"/>
      <c r="C18" s="1172" t="s">
        <v>56</v>
      </c>
    </row>
    <row r="19" spans="1:3" ht="14.25">
      <c r="A19" s="3547"/>
      <c r="B19" s="3543" t="s">
        <v>57</v>
      </c>
      <c r="C19" s="3544"/>
    </row>
    <row r="20" spans="1:3" ht="14.25">
      <c r="A20" s="1173" t="s">
        <v>58</v>
      </c>
      <c r="B20" s="1174"/>
      <c r="C20" s="1175"/>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6" t="s">
        <v>836</v>
      </c>
    </row>
    <row r="25" spans="1:3" ht="14.25">
      <c r="A25" s="3546"/>
      <c r="B25" s="3550"/>
      <c r="C25" s="1176" t="s">
        <v>837</v>
      </c>
    </row>
    <row r="26" spans="1:3" ht="14.25">
      <c r="A26" s="3546"/>
      <c r="B26" s="3550"/>
      <c r="C26" s="1176" t="s">
        <v>838</v>
      </c>
    </row>
    <row r="27" spans="1:3" ht="14.25">
      <c r="A27" s="3546"/>
      <c r="B27" s="3550"/>
      <c r="C27" s="1176" t="s">
        <v>839</v>
      </c>
    </row>
    <row r="28" spans="1:3" ht="14.25">
      <c r="A28" s="3546"/>
      <c r="B28" s="3550"/>
      <c r="C28" s="1176" t="s">
        <v>840</v>
      </c>
    </row>
    <row r="29" spans="1:3" ht="14.25">
      <c r="A29" s="3546"/>
      <c r="B29" s="3550"/>
      <c r="C29" s="1176" t="s">
        <v>841</v>
      </c>
    </row>
    <row r="30" spans="1:3" ht="14.25">
      <c r="A30" s="3546"/>
      <c r="B30" s="3550"/>
      <c r="C30" s="1176" t="s">
        <v>842</v>
      </c>
    </row>
    <row r="31" spans="1:3" ht="14.25">
      <c r="A31" s="3546"/>
      <c r="B31" s="3550"/>
      <c r="C31" s="1176" t="s">
        <v>843</v>
      </c>
    </row>
    <row r="32" spans="1:3" ht="14.25">
      <c r="A32" s="3546"/>
      <c r="B32" s="3550"/>
      <c r="C32" s="1176" t="s">
        <v>1646</v>
      </c>
    </row>
    <row r="33" spans="1:3" ht="14.25">
      <c r="A33" s="3546"/>
      <c r="B33" s="3540" t="s">
        <v>1652</v>
      </c>
      <c r="C33" s="1176" t="s">
        <v>1647</v>
      </c>
    </row>
    <row r="34" spans="1:3" ht="14.25">
      <c r="A34" s="3546"/>
      <c r="B34" s="3541"/>
      <c r="C34" s="1181" t="s">
        <v>1648</v>
      </c>
    </row>
    <row r="35" spans="1:3" ht="14.25">
      <c r="A35" s="3546"/>
      <c r="B35" s="3541"/>
      <c r="C35" s="1182" t="s">
        <v>1649</v>
      </c>
    </row>
    <row r="36" spans="1:3" ht="14.25">
      <c r="A36" s="3546"/>
      <c r="B36" s="3541"/>
      <c r="C36" s="1182" t="s">
        <v>1650</v>
      </c>
    </row>
    <row r="37" spans="1:3" ht="14.25">
      <c r="A37" s="3546"/>
      <c r="B37" s="354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43440</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551" t="s">
        <v>1928</v>
      </c>
      <c r="B25" s="3551"/>
      <c r="C25" s="3551"/>
      <c r="D25" s="3551"/>
      <c r="E25" s="3551"/>
      <c r="F25" s="3551"/>
      <c r="G25" s="3551"/>
    </row>
    <row r="26" spans="1:7" ht="20.25" customHeight="1">
      <c r="A26" s="3552" t="s">
        <v>1929</v>
      </c>
      <c r="B26" s="3552"/>
      <c r="C26" s="3552"/>
      <c r="D26" s="3552" t="s">
        <v>1930</v>
      </c>
      <c r="E26" s="3552"/>
      <c r="F26" s="3552"/>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7"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1149" t="s">
        <v>3012</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2957</v>
      </c>
      <c r="C18" s="1554"/>
    </row>
    <row r="19" spans="1:3">
      <c r="A19" s="8" t="s">
        <v>119</v>
      </c>
      <c r="B19" s="3138" t="s">
        <v>2965</v>
      </c>
      <c r="C19" s="1554"/>
    </row>
    <row r="20" spans="1:3">
      <c r="A20" s="8" t="s">
        <v>120</v>
      </c>
      <c r="B20" s="8" t="s">
        <v>3014</v>
      </c>
      <c r="C20" s="1554"/>
    </row>
    <row r="21" spans="1:3">
      <c r="A21" s="8" t="s">
        <v>121</v>
      </c>
      <c r="B21" s="8" t="s">
        <v>3015</v>
      </c>
      <c r="C21" s="1554"/>
    </row>
    <row r="22" spans="1:3">
      <c r="A22" s="8" t="s">
        <v>122</v>
      </c>
      <c r="B22" s="8" t="s">
        <v>3016</v>
      </c>
      <c r="C22" s="1554"/>
    </row>
    <row r="23" spans="1:3">
      <c r="A23" s="8" t="s">
        <v>123</v>
      </c>
      <c r="B23" s="8" t="s">
        <v>3017</v>
      </c>
      <c r="C23" s="1554"/>
    </row>
    <row r="24" spans="1:3">
      <c r="A24" s="8" t="s">
        <v>12</v>
      </c>
      <c r="B24" s="8" t="s">
        <v>3018</v>
      </c>
      <c r="C24" s="1554"/>
    </row>
    <row r="25" spans="1:3">
      <c r="A25" s="8" t="s">
        <v>124</v>
      </c>
      <c r="B25" s="8" t="s">
        <v>1641</v>
      </c>
      <c r="C25" s="1554"/>
    </row>
    <row r="26" spans="1:3">
      <c r="A26" s="8" t="s">
        <v>125</v>
      </c>
      <c r="B26" s="8" t="s">
        <v>1641</v>
      </c>
      <c r="C26" s="1554"/>
    </row>
    <row r="27" spans="1:3">
      <c r="A27" s="3138" t="s">
        <v>2983</v>
      </c>
      <c r="B27" s="8" t="s">
        <v>1641</v>
      </c>
      <c r="C27" s="1554"/>
    </row>
    <row r="28" spans="1:3">
      <c r="A28" s="8" t="s">
        <v>2984</v>
      </c>
      <c r="B28" s="8" t="s">
        <v>1641</v>
      </c>
      <c r="C28" s="1554"/>
    </row>
    <row r="29" spans="1:3">
      <c r="A29" s="8" t="s">
        <v>2985</v>
      </c>
      <c r="B29" s="8" t="s">
        <v>1641</v>
      </c>
      <c r="C29" s="1554"/>
    </row>
    <row r="30" spans="1:3">
      <c r="A30" s="8" t="s">
        <v>2986</v>
      </c>
      <c r="B30" s="8" t="s">
        <v>1641</v>
      </c>
      <c r="C30" s="1554"/>
    </row>
    <row r="31" spans="1:3">
      <c r="A31" s="8" t="s">
        <v>2987</v>
      </c>
      <c r="B31" s="8" t="s">
        <v>1641</v>
      </c>
      <c r="C31" s="1554"/>
    </row>
    <row r="32" spans="1:3">
      <c r="A32" s="8" t="s">
        <v>2988</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53"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553"/>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53"/>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53"/>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53"/>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133</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Sheet2</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地价</vt:lpstr>
      <vt:lpstr>附属物-树木</vt:lpstr>
      <vt:lpstr>存贷款利率</vt:lpstr>
      <vt:lpstr>附属物-墙地泉</vt:lpstr>
      <vt:lpstr>附属物列表</vt:lpstr>
      <vt:lpstr>搬迁费</vt:lpstr>
      <vt:lpstr>建筑物价格</vt:lpstr>
      <vt:lpstr>停产停业损失补偿</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2018-06-15T05:43:31Z</cp:lastPrinted>
  <dcterms:created xsi:type="dcterms:W3CDTF">2015-07-13T07:17:23Z</dcterms:created>
  <dcterms:modified xsi:type="dcterms:W3CDTF">2018-12-06T13:00:35Z</dcterms:modified>
</cp:coreProperties>
</file>