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2465" windowHeight="98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1" i="78" l="1"/>
  <c r="AD19" i="1"/>
  <c r="N24" i="1"/>
  <c r="G16" i="73"/>
  <c r="F16" i="73"/>
  <c r="E16" i="73"/>
  <c r="G15" i="73"/>
  <c r="F15" i="73"/>
  <c r="E15" i="73"/>
  <c r="G13" i="73"/>
  <c r="F13" i="73"/>
  <c r="E13" i="73"/>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70" i="15"/>
  <c r="F62" i="15"/>
  <c r="P61" i="15"/>
  <c r="F61" i="15"/>
  <c r="F60" i="15"/>
  <c r="Q59" i="15"/>
  <c r="K59" i="15"/>
  <c r="F59" i="15"/>
  <c r="Q58" i="15"/>
  <c r="J52" i="15"/>
  <c r="F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G31" i="78"/>
  <c r="F31" i="78"/>
  <c r="G5" i="78"/>
  <c r="D3" i="78"/>
  <c r="B52" i="1"/>
  <c r="B43" i="1"/>
  <c r="C42" i="1"/>
  <c r="B41" i="1"/>
  <c r="B31" i="1"/>
  <c r="B24" i="1"/>
  <c r="B23" i="1"/>
  <c r="B22" i="1"/>
  <c r="N21" i="1"/>
  <c r="Z20" i="1"/>
  <c r="Z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D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S2" i="4"/>
  <c r="S1" i="4"/>
  <c r="B1" i="4"/>
  <c r="C53" i="10"/>
  <c r="C51" i="10"/>
  <c r="B51" i="10"/>
  <c r="H16" i="49"/>
  <c r="D16" i="49"/>
  <c r="D15" i="49"/>
  <c r="B2" i="49"/>
  <c r="F15" i="49" s="1"/>
  <c r="H15" i="49" s="1"/>
  <c r="A21" i="62"/>
  <c r="A20" i="62"/>
  <c r="A19" i="62"/>
  <c r="A18" i="62"/>
  <c r="A15" i="62"/>
  <c r="A14" i="62"/>
  <c r="A13" i="62"/>
  <c r="A12" i="62"/>
  <c r="B5" i="62"/>
  <c r="B73" i="72" s="1"/>
  <c r="A5" i="62"/>
  <c r="A4" i="62"/>
  <c r="D13" i="52"/>
  <c r="D12" i="52"/>
  <c r="A12" i="52"/>
  <c r="D10" i="52"/>
  <c r="A10" i="52"/>
  <c r="A8" i="52"/>
  <c r="D7" i="52"/>
  <c r="D6" i="52"/>
  <c r="A6" i="52"/>
  <c r="C4" i="52"/>
  <c r="B4" i="52"/>
  <c r="A4" i="52"/>
  <c r="H2" i="52"/>
  <c r="F2" i="52"/>
  <c r="D2" i="52"/>
  <c r="A1" i="52"/>
  <c r="D21" i="53"/>
  <c r="B39" i="72" s="1"/>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L48" i="67"/>
  <c r="L47" i="67"/>
  <c r="F41" i="67"/>
  <c r="F38" i="67"/>
  <c r="F37" i="67"/>
  <c r="F36" i="67"/>
  <c r="F35" i="67"/>
  <c r="M29" i="67"/>
  <c r="M27" i="67"/>
  <c r="F7" i="73"/>
  <c r="F6" i="73"/>
  <c r="F5" i="73"/>
  <c r="F4" i="73"/>
  <c r="F3" i="73"/>
  <c r="E13" i="76"/>
  <c r="E12" i="76"/>
  <c r="E11" i="76"/>
  <c r="E10" i="76"/>
  <c r="E9" i="76"/>
  <c r="E8" i="76"/>
  <c r="E7" i="76"/>
  <c r="E6" i="76"/>
  <c r="D2" i="33"/>
  <c r="C76" i="67"/>
  <c r="F43" i="67"/>
  <c r="F42" i="67"/>
  <c r="F40" i="67"/>
  <c r="M28" i="67"/>
  <c r="M26" i="67"/>
  <c r="F26" i="67"/>
  <c r="M23" i="67"/>
  <c r="M21" i="67"/>
  <c r="F16" i="67"/>
  <c r="J15" i="67"/>
  <c r="F13" i="67"/>
  <c r="M9" i="67"/>
  <c r="M8" i="67"/>
  <c r="M6" i="67"/>
  <c r="F6" i="67"/>
  <c r="L48" i="15"/>
  <c r="L47" i="15"/>
  <c r="F43" i="15"/>
  <c r="F42" i="15"/>
  <c r="F40" i="15"/>
  <c r="M28" i="15"/>
  <c r="M24" i="15"/>
  <c r="M22" i="15"/>
  <c r="M24" i="67"/>
  <c r="M22" i="67"/>
  <c r="F9" i="67"/>
  <c r="F8" i="67"/>
  <c r="F7" i="67"/>
  <c r="C76" i="15"/>
  <c r="F41" i="15"/>
  <c r="F38" i="15"/>
  <c r="F37" i="15"/>
  <c r="F36" i="15"/>
  <c r="F35" i="15"/>
  <c r="M29" i="15"/>
  <c r="M26" i="15"/>
  <c r="F26" i="15"/>
  <c r="M23" i="15"/>
  <c r="M21" i="15"/>
  <c r="F16" i="15"/>
  <c r="J15" i="15"/>
  <c r="C14" i="15"/>
  <c r="F13" i="15"/>
  <c r="M9" i="15"/>
  <c r="M8" i="15"/>
  <c r="M6" i="15"/>
  <c r="F6" i="15"/>
  <c r="F8" i="15"/>
  <c r="F27" i="68"/>
  <c r="D9" i="68"/>
  <c r="AO12" i="1"/>
  <c r="AO10" i="1"/>
  <c r="AO8" i="1"/>
  <c r="F9" i="15"/>
  <c r="F7" i="15"/>
  <c r="E2" i="69"/>
  <c r="C36" i="68"/>
  <c r="C34" i="68"/>
  <c r="D10" i="68"/>
  <c r="AO13" i="1"/>
  <c r="AO11" i="1"/>
  <c r="AO9" i="1"/>
  <c r="AO7" i="1"/>
  <c r="C18" i="12" l="1"/>
  <c r="F4" i="49"/>
  <c r="H4" i="49" s="1"/>
  <c r="F5" i="49"/>
  <c r="H5" i="49" s="1"/>
  <c r="F6" i="49"/>
  <c r="H6" i="49" s="1"/>
  <c r="F7" i="49"/>
  <c r="H7" i="49" s="1"/>
  <c r="F8" i="49"/>
  <c r="H8" i="49" s="1"/>
  <c r="F9" i="49"/>
  <c r="H9" i="49" s="1"/>
  <c r="F10" i="49"/>
  <c r="H10" i="49" s="1"/>
  <c r="F11" i="49"/>
  <c r="H11" i="49" s="1"/>
  <c r="F12" i="49"/>
  <c r="H12" i="49" s="1"/>
  <c r="F14" i="49"/>
  <c r="H14" i="49" s="1"/>
  <c r="F13" i="49"/>
  <c r="H13" i="49" s="1"/>
  <c r="R16" i="1"/>
  <c r="B4" i="49"/>
  <c r="D4" i="49" s="1"/>
  <c r="B5" i="49"/>
  <c r="D5" i="49" s="1"/>
  <c r="B6" i="49"/>
  <c r="D6" i="49" s="1"/>
  <c r="B7" i="49"/>
  <c r="D7" i="49" s="1"/>
  <c r="B8" i="49"/>
  <c r="C4" i="4" s="1"/>
  <c r="B9" i="49"/>
  <c r="D9" i="49" s="1"/>
  <c r="B10" i="49"/>
  <c r="D10" i="49" s="1"/>
  <c r="B11" i="49"/>
  <c r="D11" i="49" s="1"/>
  <c r="B12" i="49"/>
  <c r="D12" i="49" s="1"/>
  <c r="B13" i="49"/>
  <c r="D13" i="49" s="1"/>
  <c r="B14" i="49"/>
  <c r="D14" i="49" s="1"/>
  <c r="B7" i="70"/>
  <c r="B9" i="70"/>
  <c r="B11" i="70"/>
  <c r="B13" i="70"/>
  <c r="C10" i="68"/>
  <c r="C38" i="68"/>
  <c r="C35" i="68"/>
  <c r="F50" i="15"/>
  <c r="M7" i="15"/>
  <c r="J6" i="15" s="1"/>
  <c r="B8" i="70"/>
  <c r="B10" i="70"/>
  <c r="B12" i="70"/>
  <c r="D19" i="68"/>
  <c r="D37" i="68" s="1"/>
  <c r="C37" i="68" s="1"/>
  <c r="C9" i="68"/>
  <c r="C29" i="68"/>
  <c r="D27" i="68" s="1"/>
  <c r="C47" i="68"/>
  <c r="D45" i="68" s="1"/>
  <c r="F45" i="68"/>
  <c r="F51" i="15"/>
  <c r="C49" i="15" s="1"/>
  <c r="C6" i="15"/>
  <c r="C18" i="15"/>
  <c r="C15" i="15"/>
  <c r="J20" i="15"/>
  <c r="C27" i="15"/>
  <c r="F63" i="15"/>
  <c r="C62" i="15" s="1"/>
  <c r="C34" i="15"/>
  <c r="F64" i="15"/>
  <c r="F65" i="15"/>
  <c r="F66" i="15"/>
  <c r="F69" i="15"/>
  <c r="Q71" i="15"/>
  <c r="F50" i="67"/>
  <c r="M7" i="67"/>
  <c r="F51" i="67"/>
  <c r="C49" i="67" s="1"/>
  <c r="F68" i="15"/>
  <c r="F71" i="15"/>
  <c r="N59" i="15"/>
  <c r="L59" i="15"/>
  <c r="L58" i="15"/>
  <c r="M59" i="15"/>
  <c r="J60" i="15"/>
  <c r="Q48" i="15" s="1"/>
  <c r="J59" i="15"/>
  <c r="L57" i="15"/>
  <c r="L56" i="15"/>
  <c r="L60" i="15"/>
  <c r="J57" i="15"/>
  <c r="J55" i="15" s="1"/>
  <c r="J58" i="15" s="1"/>
  <c r="Q50" i="15" s="1"/>
  <c r="I54" i="15"/>
  <c r="J53" i="15"/>
  <c r="L46" i="15"/>
  <c r="C6" i="67"/>
  <c r="J6" i="67"/>
  <c r="J20" i="67"/>
  <c r="C27" i="67"/>
  <c r="F68" i="67"/>
  <c r="F70" i="67"/>
  <c r="F71" i="67"/>
  <c r="Q71" i="67"/>
  <c r="B2" i="33"/>
  <c r="B3" i="33" s="1"/>
  <c r="E2" i="76"/>
  <c r="I1" i="73"/>
  <c r="B39" i="1" s="1"/>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K1" i="73"/>
  <c r="D37" i="69"/>
  <c r="C37" i="69" s="1"/>
  <c r="C19" i="69"/>
  <c r="B38" i="72"/>
  <c r="D8" i="49"/>
  <c r="D125" i="9"/>
  <c r="D11" i="52" s="1"/>
  <c r="H14" i="74"/>
  <c r="B7" i="74" s="1"/>
  <c r="C8" i="69"/>
  <c r="C5" i="69" s="1"/>
  <c r="C94" i="9"/>
  <c r="C38" i="69"/>
  <c r="I14" i="74"/>
  <c r="B8" i="74" s="1"/>
  <c r="H110" i="9"/>
  <c r="D18" i="53" s="1"/>
  <c r="B35" i="72" s="1"/>
  <c r="C29" i="69"/>
  <c r="D27" i="69" s="1"/>
  <c r="F45" i="69"/>
  <c r="C12" i="12"/>
  <c r="C14" i="12"/>
  <c r="C15" i="12"/>
  <c r="E36" i="43"/>
  <c r="C16" i="15"/>
  <c r="C17" i="67"/>
  <c r="C16" i="67"/>
  <c r="C17" i="15"/>
  <c r="C14" i="67"/>
  <c r="G1" i="73"/>
  <c r="C33" i="69" l="1"/>
  <c r="C39" i="69" s="1"/>
  <c r="B3" i="76"/>
  <c r="C8" i="68"/>
  <c r="C5" i="68" s="1"/>
  <c r="C20" i="68" s="1"/>
  <c r="C28" i="68" s="1"/>
  <c r="C27" i="68" s="1"/>
  <c r="C33" i="68"/>
  <c r="C39" i="68" s="1"/>
  <c r="C16" i="12"/>
  <c r="C21" i="12" s="1"/>
  <c r="B40" i="1"/>
  <c r="C18" i="67"/>
  <c r="C15" i="67"/>
  <c r="C22" i="12"/>
  <c r="C30" i="12" s="1"/>
  <c r="C28" i="12" s="1"/>
  <c r="C19" i="15"/>
  <c r="D8" i="74"/>
  <c r="C8" i="74"/>
  <c r="Q73" i="67"/>
  <c r="Q60" i="67"/>
  <c r="C32" i="67"/>
  <c r="Q52" i="15"/>
  <c r="F1" i="15"/>
  <c r="Q74" i="15"/>
  <c r="Q61" i="15"/>
  <c r="C33" i="15"/>
  <c r="C32" i="15"/>
  <c r="C20" i="69"/>
  <c r="C28" i="69" s="1"/>
  <c r="C27" i="69" s="1"/>
  <c r="C7" i="74"/>
  <c r="D7" i="74"/>
  <c r="K4" i="4"/>
  <c r="B46" i="48" s="1"/>
  <c r="B4" i="72" s="1"/>
  <c r="B4" i="62"/>
  <c r="B71" i="72" s="1"/>
  <c r="Q52" i="67"/>
  <c r="F1" i="67"/>
  <c r="Q74" i="67"/>
  <c r="Q61" i="67"/>
  <c r="M11" i="67"/>
  <c r="J10" i="67" s="1"/>
  <c r="J5" i="67" s="1"/>
  <c r="F11" i="67"/>
  <c r="M11" i="15"/>
  <c r="J10" i="15" s="1"/>
  <c r="J5" i="15" s="1"/>
  <c r="F11" i="15"/>
  <c r="C10" i="15" s="1"/>
  <c r="C5" i="15" s="1"/>
  <c r="J18" i="67"/>
  <c r="Q66" i="15"/>
  <c r="Q57" i="15"/>
  <c r="Q73" i="15"/>
  <c r="Q60" i="15"/>
  <c r="J19" i="15"/>
  <c r="J18" i="15"/>
  <c r="C61" i="15"/>
  <c r="AE6" i="1"/>
  <c r="J17" i="15" l="1"/>
  <c r="C19" i="67"/>
  <c r="C20" i="67" s="1"/>
  <c r="C53" i="15"/>
  <c r="C48" i="15" s="1"/>
  <c r="C60" i="15" s="1"/>
  <c r="C59" i="15" s="1"/>
  <c r="AG6" i="1"/>
  <c r="C38" i="15"/>
  <c r="J24" i="15"/>
  <c r="C31" i="15"/>
  <c r="C46" i="68"/>
  <c r="C45" i="68" s="1"/>
  <c r="J24" i="67"/>
  <c r="J26" i="67"/>
  <c r="J29" i="67" s="1"/>
  <c r="C53" i="67"/>
  <c r="C48" i="67" s="1"/>
  <c r="C10" i="67"/>
  <c r="C5" i="67" s="1"/>
  <c r="C46" i="69"/>
  <c r="C45" i="69" s="1"/>
  <c r="C20" i="15"/>
  <c r="C26" i="15" s="1"/>
  <c r="F22" i="11"/>
  <c r="F24" i="15"/>
  <c r="C24" i="15" s="1"/>
  <c r="F24" i="67"/>
  <c r="C24" i="67" s="1"/>
  <c r="F25" i="12"/>
  <c r="F22" i="69"/>
  <c r="F22" i="68"/>
  <c r="C43" i="68" s="1"/>
  <c r="M27" i="15"/>
  <c r="C66" i="15" l="1"/>
  <c r="C23" i="15"/>
  <c r="C29" i="15" s="1"/>
  <c r="C38" i="67"/>
  <c r="C25" i="68"/>
  <c r="C26" i="67"/>
  <c r="C44" i="68"/>
  <c r="D41" i="68" s="1"/>
  <c r="F41" i="68"/>
  <c r="C26" i="68"/>
  <c r="D22" i="68" s="1"/>
  <c r="C24" i="68"/>
  <c r="C23" i="68"/>
  <c r="C42" i="68"/>
  <c r="C41" i="68" s="1"/>
  <c r="C26" i="12"/>
  <c r="D25" i="12" s="1"/>
  <c r="C27" i="12"/>
  <c r="C25" i="12" s="1"/>
  <c r="C44" i="69"/>
  <c r="D41" i="69" s="1"/>
  <c r="F41" i="69"/>
  <c r="C26" i="69"/>
  <c r="D22" i="69" s="1"/>
  <c r="C42" i="69"/>
  <c r="C24" i="69"/>
  <c r="C23" i="69"/>
  <c r="C43" i="11"/>
  <c r="C25" i="11"/>
  <c r="C23" i="11"/>
  <c r="C44" i="11"/>
  <c r="D41" i="11" s="1"/>
  <c r="C42" i="11"/>
  <c r="C41" i="11" s="1"/>
  <c r="C26" i="11"/>
  <c r="D22" i="11" s="1"/>
  <c r="C24" i="11"/>
  <c r="C43" i="69"/>
  <c r="C25" i="69"/>
  <c r="C66" i="67"/>
  <c r="C60" i="67"/>
  <c r="C23" i="67"/>
  <c r="C49" i="68" l="1"/>
  <c r="C51" i="68" s="1"/>
  <c r="C29" i="67"/>
  <c r="C33" i="67" s="1"/>
  <c r="C31" i="67" s="1"/>
  <c r="C49" i="11"/>
  <c r="C51" i="11" s="1"/>
  <c r="C22" i="68"/>
  <c r="C31" i="68" s="1"/>
  <c r="C52" i="68" s="1"/>
  <c r="B2" i="68" s="1"/>
  <c r="Q49" i="67"/>
  <c r="C13" i="67"/>
  <c r="C22" i="11"/>
  <c r="C31" i="11" s="1"/>
  <c r="C52" i="11" s="1"/>
  <c r="B2" i="11" s="1"/>
  <c r="B3" i="11" s="1"/>
  <c r="C57" i="15"/>
  <c r="C64" i="15" s="1"/>
  <c r="C36" i="15"/>
  <c r="J14" i="15"/>
  <c r="Q49" i="15"/>
  <c r="C13" i="15"/>
  <c r="C22" i="69"/>
  <c r="C31" i="69" s="1"/>
  <c r="C41" i="69"/>
  <c r="C49" i="69" s="1"/>
  <c r="C51" i="69" s="1"/>
  <c r="C32" i="12"/>
  <c r="B2" i="12" s="1"/>
  <c r="B3" i="12" s="1"/>
  <c r="C19" i="9"/>
  <c r="B3" i="68"/>
  <c r="C20" i="9"/>
  <c r="J19" i="67" l="1"/>
  <c r="J17" i="67" s="1"/>
  <c r="C57" i="67"/>
  <c r="C64" i="67" s="1"/>
  <c r="C52" i="69"/>
  <c r="B2" i="69" s="1"/>
  <c r="B3" i="69" s="1"/>
  <c r="C21" i="9"/>
  <c r="C102" i="9"/>
  <c r="C57" i="68"/>
  <c r="J59" i="67"/>
  <c r="J60" i="67" s="1"/>
  <c r="L46" i="67" s="1"/>
  <c r="J14" i="67"/>
  <c r="J22" i="67" s="1"/>
  <c r="C36" i="67"/>
  <c r="C103" i="9"/>
  <c r="C37" i="15"/>
  <c r="C30" i="15" s="1"/>
  <c r="C39" i="15" s="1"/>
  <c r="C75" i="15"/>
  <c r="Q70" i="15"/>
  <c r="C56" i="15"/>
  <c r="C65" i="15" s="1"/>
  <c r="C58" i="15" s="1"/>
  <c r="C67" i="15" s="1"/>
  <c r="C68" i="15" s="1"/>
  <c r="J13" i="15"/>
  <c r="J23" i="15" s="1"/>
  <c r="J22" i="15"/>
  <c r="C56" i="11"/>
  <c r="C57" i="11" s="1"/>
  <c r="C75" i="67"/>
  <c r="Q70" i="67"/>
  <c r="C56" i="67"/>
  <c r="C65" i="67" s="1"/>
  <c r="C37" i="67"/>
  <c r="D35" i="9"/>
  <c r="C61" i="67" l="1"/>
  <c r="C59" i="67" s="1"/>
  <c r="C57" i="69"/>
  <c r="C56" i="69" s="1"/>
  <c r="Q48" i="67"/>
  <c r="C30" i="67"/>
  <c r="C39" i="67" s="1"/>
  <c r="Q69" i="67" s="1"/>
  <c r="Q68" i="67" s="1"/>
  <c r="J13" i="67"/>
  <c r="J23" i="67" s="1"/>
  <c r="J16" i="67" s="1"/>
  <c r="J25" i="67" s="1"/>
  <c r="C56" i="68"/>
  <c r="C58" i="67"/>
  <c r="C67" i="67" s="1"/>
  <c r="C68" i="67" s="1"/>
  <c r="C71" i="67" s="1"/>
  <c r="J16" i="15"/>
  <c r="J25" i="15" s="1"/>
  <c r="J26" i="15" s="1"/>
  <c r="J29" i="15" s="1"/>
  <c r="C71" i="15"/>
  <c r="C40" i="67"/>
  <c r="Q69" i="15"/>
  <c r="Q68" i="15" s="1"/>
  <c r="C40" i="15"/>
  <c r="C80" i="15"/>
  <c r="C79" i="15" s="1"/>
  <c r="D34" i="9"/>
  <c r="L51" i="67"/>
  <c r="L51" i="15"/>
  <c r="C80" i="67" l="1"/>
  <c r="C79" i="67" s="1"/>
  <c r="C45" i="67"/>
  <c r="C46" i="67" s="1"/>
  <c r="Q67" i="15"/>
  <c r="Q67" i="67"/>
  <c r="L57" i="67"/>
  <c r="L60" i="67" s="1"/>
  <c r="Q47" i="15"/>
  <c r="Q53" i="15" s="1"/>
  <c r="Q65" i="15"/>
  <c r="Q75" i="15" s="1"/>
  <c r="Q56" i="15"/>
  <c r="Q62" i="15" s="1"/>
  <c r="C43" i="15"/>
  <c r="B2" i="15"/>
  <c r="C83" i="15"/>
  <c r="C82" i="15" s="1"/>
  <c r="C46" i="15"/>
  <c r="Q47" i="67"/>
  <c r="Q53" i="67" s="1"/>
  <c r="C43" i="67"/>
  <c r="Q65" i="67"/>
  <c r="Q56" i="67"/>
  <c r="D2" i="67"/>
  <c r="C83" i="67"/>
  <c r="C82" i="67" s="1"/>
  <c r="AO6" i="1"/>
  <c r="D19" i="9"/>
  <c r="E2" i="68"/>
  <c r="D21" i="9" l="1"/>
  <c r="D102" i="9"/>
  <c r="D22" i="9"/>
  <c r="G19" i="9"/>
  <c r="B6" i="70"/>
  <c r="B2" i="70" s="1"/>
  <c r="B3" i="70" s="1"/>
  <c r="B3" i="67"/>
  <c r="B2" i="67"/>
  <c r="B3" i="15"/>
  <c r="Q66" i="67"/>
  <c r="Q75" i="67" s="1"/>
  <c r="Q57" i="67"/>
  <c r="Q62" i="67" s="1"/>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4" i="74" l="1"/>
  <c r="F14" i="74"/>
  <c r="B5" i="74"/>
  <c r="E118" i="9"/>
  <c r="E4" i="52" s="1"/>
  <c r="B48" i="72" s="1"/>
  <c r="C105" i="9"/>
  <c r="H102" i="9"/>
  <c r="D7" i="53" s="1"/>
  <c r="B21" i="72" s="1"/>
  <c r="I4" i="52"/>
  <c r="D119" i="9"/>
  <c r="D5" i="52" s="1"/>
  <c r="B49" i="72" s="1"/>
  <c r="D4" i="52"/>
  <c r="B47" i="72" s="1"/>
  <c r="H107" i="9"/>
  <c r="D45" i="9"/>
  <c r="M48" i="9"/>
  <c r="D5" i="53"/>
  <c r="D122" i="9" l="1"/>
  <c r="H108" i="9"/>
  <c r="D15" i="53" s="1"/>
  <c r="B31" i="72" s="1"/>
  <c r="M49" i="9"/>
  <c r="D13" i="53"/>
  <c r="D6" i="53"/>
  <c r="B22" i="72" s="1"/>
  <c r="B20" i="72"/>
  <c r="C78" i="9"/>
  <c r="C73" i="9" s="1"/>
  <c r="D52" i="9"/>
  <c r="C93" i="9"/>
  <c r="C86" i="9" s="1"/>
  <c r="C85" i="9"/>
  <c r="C72" i="9"/>
  <c r="C64" i="9"/>
  <c r="C63" i="9" s="1"/>
  <c r="C67" i="9" s="1"/>
  <c r="D55" i="9"/>
  <c r="M53" i="9" s="1"/>
  <c r="D53" i="9"/>
  <c r="C5" i="74"/>
  <c r="D5" i="74"/>
  <c r="C79" i="9" l="1"/>
  <c r="C80" i="9" s="1"/>
  <c r="E80" i="9" s="1"/>
  <c r="E81" i="9" s="1"/>
  <c r="D59" i="9"/>
  <c r="M55" i="9" s="1"/>
  <c r="C68" i="9"/>
  <c r="D54" i="9" s="1"/>
  <c r="C95" i="9"/>
  <c r="D14" i="53"/>
  <c r="B32" i="72" s="1"/>
  <c r="B30" i="72"/>
  <c r="L66" i="9"/>
  <c r="M66" i="9" s="1"/>
  <c r="L65" i="9"/>
  <c r="M65" i="9" s="1"/>
  <c r="L64" i="9"/>
  <c r="M64" i="9" s="1"/>
  <c r="L68" i="9"/>
  <c r="M68" i="9" s="1"/>
  <c r="L67" i="9"/>
  <c r="M67" i="9" s="1"/>
  <c r="L63" i="9"/>
  <c r="M63" i="9" s="1"/>
  <c r="D123" i="9"/>
  <c r="D9" i="52" s="1"/>
  <c r="G14" i="74"/>
  <c r="B6" i="74" s="1"/>
  <c r="D8" i="52"/>
  <c r="M69" i="9" l="1"/>
  <c r="N69" i="9" s="1"/>
  <c r="D6" i="74"/>
  <c r="C6" i="74"/>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<sst xmlns="http://schemas.openxmlformats.org/spreadsheetml/2006/main" count="7450" uniqueCount="2654">
  <si>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</si>
  <si>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</si>
  <si>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</si>
  <si>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</si>
  <si>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</si>
  <si>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</si>
  <si>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</si>
  <si>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</si>
  <si>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</si>
  <si>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</si>
  <si>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</si>
  <si>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</si>
  <si>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</si>
  <si>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</si>
  <si>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</si>
  <si>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</si>
  <si>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</si>
  <si>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</si>
  <si>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</si>
  <si>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</si>
  <si>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</si>
  <si>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</si>
  <si>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</si>
  <si>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</si>
  <si>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</si>
  <si>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</si>
  <si>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</si>
  <si>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</si>
  <si>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</si>
  <si>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</si>
  <si>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</si>
  <si>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</si>
  <si>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</si>
  <si>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</si>
  <si>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</si>
  <si>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</si>
  <si>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</si>
  <si>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</si>
  <si>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</si>
  <si>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</si>
  <si>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</si>
  <si>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</si>
  <si>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</si>
  <si>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</si>
  <si>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</si>
  <si>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</si>
  <si>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</si>
  <si>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</si>
  <si>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</si>
  <si>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</si>
  <si>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</si>
  <si>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</si>
  <si>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</si>
  <si>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</si>
  <si>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</si>
  <si>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</si>
  <si>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</si>
  <si>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</si>
  <si>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</si>
  <si>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</si>
  <si>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</si>
  <si>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</si>
  <si>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</si>
  <si>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</si>
  <si>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</si>
  <si>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</si>
  <si>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</si>
  <si>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</si>
  <si>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</si>
  <si>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</si>
  <si>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</si>
  <si>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</si>
  <si>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</si>
  <si>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</si>
  <si>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</si>
  <si>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</si>
  <si>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</si>
  <si>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</si>
  <si>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</si>
  <si>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</si>
  <si>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</si>
  <si>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</si>
  <si>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</si>
  <si>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</si>
  <si>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</si>
  <si>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</si>
  <si>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</si>
  <si>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</si>
  <si>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</si>
  <si>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</si>
  <si>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</si>
  <si>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</si>
  <si>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</si>
  <si>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</si>
  <si>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</si>
  <si>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</si>
  <si>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</si>
  <si>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</si>
  <si>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</si>
  <si>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</si>
  <si>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</si>
  <si>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</si>
  <si>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</si>
  <si>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</si>
  <si>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</si>
  <si>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</si>
  <si>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</si>
  <si>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</si>
  <si>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</si>
  <si>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</si>
  <si>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</si>
  <si>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</si>
  <si>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</si>
  <si>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</si>
  <si>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</si>
  <si>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</si>
  <si>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</si>
  <si>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</si>
  <si>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</si>
  <si>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</si>
  <si>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</si>
  <si>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</si>
  <si>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</si>
  <si>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</si>
  <si>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</si>
  <si>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</si>
  <si>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</si>
  <si>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</si>
  <si>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</si>
  <si>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</si>
  <si>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</si>
  <si>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</si>
  <si>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</si>
  <si>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</si>
  <si>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</si>
  <si>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</si>
  <si>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</si>
  <si>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</si>
  <si>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</si>
  <si>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</si>
  <si>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</si>
  <si>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</si>
  <si>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</si>
  <si>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</si>
  <si>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</si>
  <si>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</si>
  <si>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</si>
  <si>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</si>
  <si>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</si>
  <si>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</si>
  <si>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</si>
  <si>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</si>
  <si>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</si>
  <si>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</si>
  <si>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</si>
  <si>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</si>
  <si>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</si>
  <si>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</si>
  <si>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</si>
  <si>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</si>
  <si>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</si>
  <si>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</si>
  <si>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</si>
  <si>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</si>
  <si>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</si>
  <si>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</si>
  <si>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</si>
  <si>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</si>
  <si>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</si>
  <si>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</si>
  <si>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</si>
  <si>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</si>
  <si>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</si>
  <si>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</si>
  <si>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</si>
  <si>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</si>
  <si>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</si>
  <si>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</si>
  <si>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</si>
  <si>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</si>
  <si>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</si>
  <si>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</si>
  <si>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</si>
  <si>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</si>
  <si>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</si>
  <si>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</si>
  <si>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</si>
  <si>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</si>
  <si>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</si>
  <si>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</si>
  <si>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</si>
  <si>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</si>
  <si>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</si>
  <si>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</si>
  <si>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</si>
  <si>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</si>
  <si>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</si>
  <si>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</si>
  <si>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</si>
  <si>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</si>
  <si>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</si>
  <si>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</si>
  <si>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</si>
  <si>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</si>
  <si>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</si>
  <si>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</si>
  <si>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</si>
  <si>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</si>
  <si>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</si>
  <si>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</si>
  <si>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</si>
  <si>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</si>
  <si>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</si>
  <si>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</si>
  <si>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</si>
  <si>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</si>
  <si>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</si>
  <si>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</si>
  <si>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</si>
  <si>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</si>
  <si>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</si>
  <si>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</si>
  <si>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</si>
  <si>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</si>
  <si>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</si>
  <si>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</si>
  <si>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</si>
  <si>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</si>
  <si>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</si>
  <si>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</si>
  <si>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</si>
  <si>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</si>
  <si>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</si>
  <si>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</si>
  <si>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</si>
  <si>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</si>
  <si>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</si>
  <si>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</si>
  <si>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</si>
  <si>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</si>
  <si>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</si>
  <si>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</si>
  <si>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</si>
  <si>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</si>
  <si>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</si>
  <si>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</si>
  <si>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</si>
  <si>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</si>
  <si>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</si>
  <si>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</si>
  <si>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</si>
  <si>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</si>
  <si>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</si>
  <si>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</si>
  <si>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</si>
  <si>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</si>
  <si>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</si>
  <si>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</si>
  <si>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</si>
  <si>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</si>
  <si>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</si>
  <si>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</si>
  <si>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</si>
  <si>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</si>
  <si>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</si>
  <si>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</si>
  <si>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</si>
  <si>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</si>
  <si>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</si>
  <si>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</si>
  <si>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</si>
  <si>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</si>
  <si>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</si>
  <si>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</si>
  <si>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</si>
  <si>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</si>
  <si>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</si>
  <si>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</si>
  <si>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</si>
  <si>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</si>
  <si>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</si>
  <si>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</si>
  <si>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</si>
  <si>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</si>
  <si>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</si>
  <si>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</si>
  <si>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</si>
  <si>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</si>
  <si>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</si>
  <si>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</si>
  <si>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</si>
  <si>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</si>
  <si>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</si>
  <si>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</si>
  <si>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</si>
  <si>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</si>
  <si>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</si>
  <si>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</si>
  <si>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</si>
  <si>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</si>
  <si>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</si>
  <si>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</si>
  <si>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</si>
  <si>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</si>
  <si>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</si>
  <si>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</si>
  <si>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</si>
  <si>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</si>
  <si>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</si>
  <si>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</si>
  <si>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</si>
  <si>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</si>
  <si>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</si>
  <si>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</si>
  <si>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</si>
  <si>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</si>
  <si>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</si>
  <si>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</si>
  <si>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</si>
  <si>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</si>
  <si>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</si>
  <si>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</si>
  <si>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</si>
  <si>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</si>
  <si>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</si>
  <si>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</si>
  <si>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</si>
  <si>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</si>
  <si>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</si>
  <si>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</si>
  <si>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</si>
  <si>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</si>
  <si>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</si>
  <si>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</si>
  <si>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</si>
  <si>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</si>
  <si>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</si>
  <si>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</si>
  <si>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</si>
  <si>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</si>
  <si>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</si>
  <si>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</si>
  <si>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</si>
  <si>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</si>
  <si>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</si>
  <si>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</si>
  <si>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</si>
  <si>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</si>
  <si>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</si>
  <si>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</si>
  <si>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</si>
  <si>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</si>
  <si>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</si>
  <si>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</si>
  <si>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</si>
  <si>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</si>
  <si>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</si>
  <si>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</si>
  <si>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</si>
  <si>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</si>
  <si>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</si>
  <si>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</si>
  <si>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</si>
  <si>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</si>
  <si>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</si>
  <si>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</si>
  <si>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</si>
  <si>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</si>
  <si>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</si>
  <si>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</si>
  <si>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</si>
  <si>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</si>
  <si>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</si>
  <si>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</si>
  <si>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</si>
  <si>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</si>
  <si>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</si>
  <si>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</si>
  <si>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</si>
  <si>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</si>
  <si>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</si>
  <si>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</si>
  <si>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</si>
  <si>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</si>
  <si>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</si>
  <si>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</si>
  <si>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</si>
  <si>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</si>
  <si>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</si>
  <si>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</si>
  <si>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</si>
  <si>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</si>
  <si>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</si>
  <si>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</si>
  <si>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</si>
  <si>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</si>
  <si>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</si>
  <si>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</si>
  <si>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</si>
  <si>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</si>
  <si>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</si>
  <si>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</si>
  <si>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</si>
  <si>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</si>
  <si>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</si>
  <si>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</si>
  <si>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</si>
  <si>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</si>
  <si>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</si>
  <si>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</si>
  <si>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</si>
  <si>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</si>
  <si>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</si>
  <si>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</si>
  <si>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</si>
  <si>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</si>
  <si>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</si>
  <si>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</si>
  <si>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</si>
  <si>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</si>
  <si>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</si>
  <si>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</si>
  <si>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</si>
  <si>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</si>
  <si>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</si>
  <si>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</si>
  <si>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</si>
  <si>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</si>
  <si>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</si>
  <si>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</si>
  <si>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</si>
  <si>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</si>
  <si>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</si>
  <si>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</si>
  <si>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</si>
  <si>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</si>
  <si>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</si>
  <si>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</si>
  <si>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</si>
  <si>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</si>
  <si>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</si>
  <si>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</si>
  <si>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</si>
  <si>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</si>
  <si>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</si>
  <si>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</si>
  <si>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</si>
  <si>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</si>
  <si>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</si>
  <si>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</si>
  <si>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</si>
  <si>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</si>
  <si>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</si>
  <si>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</si>
  <si>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</si>
  <si>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</si>
  <si>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</si>
  <si>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</si>
  <si>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</si>
  <si>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</si>
  <si>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</si>
  <si>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</si>
  <si>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</si>
  <si>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</si>
  <si>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</si>
  <si>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</si>
  <si>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</si>
  <si>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</si>
  <si>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</si>
  <si>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</si>
  <si>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</si>
  <si>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</si>
  <si>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</si>
  <si>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</si>
  <si>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</si>
  <si>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</si>
  <si>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</si>
  <si>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</si>
  <si>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</si>
  <si>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</si>
  <si>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</si>
  <si>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</si>
  <si>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</si>
  <si>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</si>
  <si>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</si>
  <si>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</si>
  <si>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</si>
  <si>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</si>
  <si>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</si>
  <si>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</si>
  <si>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</si>
  <si>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</si>
  <si>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</si>
  <si>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</si>
  <si>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</si>
  <si>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</si>
  <si>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</si>
  <si>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</si>
  <si>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</si>
  <si>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</si>
  <si>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</si>
  <si>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</si>
  <si>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</si>
  <si>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</si>
  <si>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</si>
  <si>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</si>
  <si>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</si>
  <si>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</si>
  <si>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</si>
  <si>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</si>
  <si>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</si>
  <si>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</si>
  <si>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</si>
  <si>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</si>
  <si>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</si>
  <si>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</si>
  <si>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</si>
  <si>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</si>
  <si>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</si>
  <si>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</si>
  <si>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</si>
  <si>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</si>
  <si>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</si>
  <si>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</si>
  <si>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</si>
  <si>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</si>
  <si>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</si>
  <si>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</si>
  <si>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</si>
  <si>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综合楼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</si>
  <si>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</si>
  <si>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</si>
  <si>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</si>
  <si>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</si>
  <si>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</si>
  <si>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</si>
  <si>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</si>
  <si>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</si>
  <si>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</si>
  <si>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</si>
  <si>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</si>
  <si>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</si>
  <si>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</si>
  <si>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</si>
  <si>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</si>
  <si>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</si>
  <si>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</si>
  <si>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</si>
  <si>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</si>
  <si>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</si>
  <si>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</si>
  <si>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</si>
  <si>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</si>
  <si>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</si>
  <si>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</si>
  <si>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</si>
  <si>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</si>
  <si>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</si>
  <si>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</si>
  <si>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</si>
  <si>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</si>
  <si>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</si>
  <si>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</si>
  <si>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</si>
  <si>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</si>
  <si>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</si>
  <si>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</si>
  <si>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</si>
  <si>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</si>
  <si>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</si>
  <si>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</si>
  <si>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</si>
  <si>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</si>
  <si>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</si>
  <si>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</si>
  <si>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</si>
  <si>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</si>
  <si>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</si>
  <si>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</si>
  <si>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</si>
  <si>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</si>
  <si>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</si>
  <si>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</si>
  <si>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</si>
  <si>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</si>
  <si>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</si>
  <si>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</si>
  <si>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</si>
  <si>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</si>
  <si>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改造完成</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</si>
  <si>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</si>
  <si>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</si>
  <si>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</si>
  <si>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</si>
  <si>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</si>
  <si>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</si>
  <si>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</si>
  <si>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</si>
  <si>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</si>
  <si>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</si>
  <si>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</si>
  <si>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</si>
  <si>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</si>
  <si>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</si>
  <si>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</si>
  <si>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</si>
  <si>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</si>
  <si>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</si>
  <si>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</si>
  <si>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</si>
  <si>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</si>
  <si>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</si>
  <si>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</si>
  <si>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</si>
  <si>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</si>
  <si>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</si>
  <si>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</si>
  <si>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</si>
  <si>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</si>
  <si>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</si>
  <si>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</si>
  <si>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</si>
  <si>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</si>
  <si>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</si>
  <si>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</si>
  <si>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</si>
  <si>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</si>
  <si>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</si>
  <si>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</si>
  <si>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</si>
  <si>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</si>
  <si>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</si>
  <si>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</si>
  <si>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</si>
  <si>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</si>
  <si>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</si>
  <si>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</si>
  <si>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</si>
  <si>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</si>
  <si>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</si>
  <si>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</si>
  <si>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</si>
  <si>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</si>
  <si>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</si>
  <si>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</si>
  <si>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</si>
  <si>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计租面积</t>
  </si>
  <si>
    <t>剩余租期</t>
  </si>
  <si>
    <t>每3年涨5%</t>
  </si>
  <si>
    <t>第4期</t>
  </si>
  <si>
    <t>第5期</t>
  </si>
  <si>
    <t>第6期</t>
  </si>
  <si>
    <t>第7期</t>
  </si>
  <si>
    <t>第8期</t>
  </si>
  <si>
    <t>第9期</t>
  </si>
  <si>
    <t>第10期</t>
  </si>
  <si>
    <t>第11期</t>
  </si>
  <si>
    <t>第12期</t>
  </si>
  <si>
    <t>第13期</t>
  </si>
  <si>
    <t>第14期</t>
  </si>
  <si>
    <t>第15期</t>
  </si>
  <si>
    <t>第16期</t>
  </si>
  <si>
    <t>第17期</t>
  </si>
  <si>
    <t>第18期</t>
  </si>
  <si>
    <t>第19期</t>
  </si>
  <si>
    <t>第20期</t>
  </si>
  <si>
    <t>第21期</t>
  </si>
  <si>
    <t>第22期</t>
  </si>
  <si>
    <t>第23期</t>
  </si>
  <si>
    <t>第24期</t>
  </si>
  <si>
    <t>第25期</t>
  </si>
  <si>
    <t>第26期</t>
  </si>
  <si>
    <t>第27期</t>
  </si>
  <si>
    <t>第28期</t>
  </si>
  <si>
    <t>第29期</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</si>
  <si>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</si>
  <si>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</si>
  <si>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</si>
  <si>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</si>
  <si>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</si>
  <si>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</si>
  <si>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</si>
  <si>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</si>
  <si>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</si>
  <si>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</si>
  <si>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</si>
  <si>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</si>
  <si>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</si>
  <si>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</si>
  <si>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</si>
  <si>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</si>
  <si>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</si>
  <si>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</si>
  <si>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</si>
  <si>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</si>
  <si>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</si>
  <si>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</si>
  <si>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</si>
  <si>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</si>
  <si>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</si>
  <si>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</si>
  <si>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</si>
  <si>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</si>
  <si>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</si>
  <si>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</si>
  <si>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</si>
  <si>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</si>
  <si>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</si>
  <si>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</si>
  <si>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</si>
  <si>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</si>
  <si>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</si>
  <si>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</si>
  <si>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</si>
  <si>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</si>
  <si>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</si>
  <si>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</si>
  <si>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</si>
  <si>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</si>
  <si>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</si>
  <si>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</si>
  <si>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</si>
  <si>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</si>
  <si>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</si>
  <si>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</si>
  <si>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</si>
  <si>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</si>
  <si>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</si>
  <si>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</si>
  <si>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</si>
  <si>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</si>
  <si>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</si>
  <si>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</si>
  <si>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</si>
  <si>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</si>
  <si>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</si>
  <si>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</si>
  <si>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</si>
  <si>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</si>
  <si>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</si>
  <si>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</si>
  <si>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</si>
  <si>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</si>
  <si>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</si>
  <si>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</si>
  <si>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</si>
  <si>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</si>
  <si>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</si>
  <si>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</si>
  <si>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</si>
  <si>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</si>
  <si>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</si>
  <si>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</si>
  <si>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</si>
  <si>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</si>
  <si>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</si>
  <si>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</si>
  <si>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</si>
  <si>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</si>
  <si>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</si>
  <si>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</si>
  <si>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</si>
  <si>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</si>
  <si>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</si>
  <si>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</si>
  <si>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</si>
  <si>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</si>
  <si>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</si>
  <si>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</si>
  <si>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</si>
  <si>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</si>
  <si>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</si>
  <si>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</si>
  <si>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</si>
  <si>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</si>
  <si>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</si>
  <si>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</si>
  <si>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</si>
  <si>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</si>
  <si>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</si>
  <si>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</si>
  <si>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</si>
  <si>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</si>
  <si>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</si>
  <si>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</si>
  <si>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</si>
  <si>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</si>
  <si>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</si>
  <si>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</si>
  <si>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</si>
  <si>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</si>
  <si>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</si>
  <si>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</si>
  <si>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</si>
  <si>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</si>
  <si>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</si>
  <si>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</si>
  <si>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</si>
  <si>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</si>
  <si>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</si>
  <si>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</si>
  <si>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</si>
  <si>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</si>
  <si>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</si>
  <si>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</si>
  <si>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</si>
  <si>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</si>
  <si>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</si>
  <si>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</si>
  <si>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</si>
  <si>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</si>
  <si>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</si>
  <si>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</si>
  <si>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</si>
  <si>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</si>
  <si>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</si>
  <si>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</si>
  <si>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</si>
  <si>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</si>
  <si>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</si>
  <si>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</si>
  <si>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</si>
  <si>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</si>
  <si>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</si>
  <si>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</si>
  <si>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</si>
  <si>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</si>
  <si>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</si>
  <si>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</si>
  <si>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</si>
  <si>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</si>
  <si>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</si>
  <si>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</si>
  <si>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</si>
  <si>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</si>
  <si>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</si>
  <si>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</si>
  <si>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</si>
  <si>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</si>
  <si>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</si>
  <si>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</si>
  <si>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</si>
  <si>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</si>
  <si>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</si>
  <si>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</si>
  <si>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</si>
  <si>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</si>
  <si>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</si>
  <si>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</si>
  <si>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</si>
  <si>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</si>
  <si>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</si>
  <si>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</si>
  <si>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</si>
  <si>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</si>
  <si>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</si>
  <si>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</si>
  <si>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</si>
  <si>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</si>
  <si>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</si>
  <si>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</si>
  <si>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</si>
  <si>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</si>
  <si>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</si>
  <si>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</si>
  <si>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</si>
  <si>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</si>
  <si>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</si>
  <si>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</si>
  <si>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</si>
  <si>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</si>
  <si>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</si>
  <si>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</si>
  <si>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</si>
  <si>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</si>
  <si>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</si>
  <si>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</si>
  <si>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</si>
  <si>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</si>
  <si>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</si>
  <si>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</si>
  <si>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</si>
  <si>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</si>
  <si>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</si>
  <si>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</si>
  <si>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</si>
  <si>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</si>
  <si>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</si>
  <si>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</si>
  <si>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</si>
  <si>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</si>
  <si>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</si>
  <si>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</si>
  <si>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</si>
  <si>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</si>
  <si>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</si>
  <si>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</si>
  <si>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</si>
  <si>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</si>
  <si>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</si>
  <si>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</si>
  <si>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</si>
  <si>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</si>
  <si>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</si>
  <si>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</si>
  <si>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</si>
  <si>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</si>
  <si>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</si>
  <si>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</si>
  <si>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</si>
  <si>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</si>
  <si>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</si>
  <si>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</si>
  <si>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</si>
  <si>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</si>
  <si>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</si>
  <si>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</si>
  <si>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</si>
  <si>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</si>
  <si>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</si>
  <si>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</si>
  <si>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</si>
  <si>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</si>
  <si>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</si>
  <si>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</si>
  <si>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</si>
  <si>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</si>
  <si>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</si>
  <si>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</si>
  <si>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</si>
  <si>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</si>
  <si>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</si>
  <si>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</si>
  <si>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</si>
  <si>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</si>
  <si>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</si>
  <si>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</si>
  <si>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</si>
  <si>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</si>
  <si>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</si>
  <si>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</si>
  <si>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</si>
  <si>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</si>
  <si>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</si>
  <si>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</si>
  <si>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</si>
  <si>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</si>
  <si>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</si>
  <si>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</si>
  <si>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</si>
  <si>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</si>
  <si>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</si>
  <si>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</si>
  <si>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</si>
  <si>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</si>
  <si>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</si>
  <si>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</si>
  <si>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</si>
  <si>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</si>
  <si>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</si>
  <si>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</si>
  <si>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</si>
  <si>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</si>
  <si>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</si>
  <si>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</si>
  <si>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</si>
  <si>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</si>
  <si>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</si>
  <si>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</si>
  <si>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</si>
  <si>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</si>
  <si>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</si>
  <si>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</si>
  <si>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</si>
  <si>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</si>
  <si>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</si>
  <si>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</si>
  <si>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</si>
  <si>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</si>
  <si>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</si>
  <si>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</si>
  <si>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</si>
  <si>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</si>
  <si>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</si>
  <si>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</si>
  <si>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</si>
  <si>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</si>
  <si>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</si>
  <si>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</si>
  <si>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</si>
  <si>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</si>
  <si>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</si>
  <si>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</si>
  <si>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</si>
  <si>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</si>
  <si>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</si>
  <si>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</si>
  <si>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</si>
  <si>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</si>
  <si>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</si>
  <si>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</si>
  <si>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</si>
  <si>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</si>
  <si>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</si>
  <si>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</si>
  <si>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</si>
  <si>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</si>
  <si>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</si>
  <si>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</si>
  <si>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</si>
  <si>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</si>
  <si>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</si>
  <si>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</si>
  <si>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</si>
  <si>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</si>
  <si>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</si>
  <si>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</si>
  <si>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</si>
  <si>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</si>
  <si>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</si>
  <si>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</si>
  <si>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</si>
  <si>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</si>
  <si>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</si>
  <si>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</si>
  <si>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</si>
  <si>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</si>
  <si>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</si>
  <si>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</si>
  <si>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</si>
  <si>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</si>
  <si>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</si>
  <si>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</si>
  <si>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</si>
  <si>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</si>
  <si>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</si>
  <si>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</si>
  <si>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</si>
  <si>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</si>
  <si>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</si>
  <si>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</si>
  <si>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</si>
  <si>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</si>
  <si>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</si>
  <si>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</si>
  <si>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</si>
  <si>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</si>
  <si>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</si>
  <si>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</si>
  <si>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</si>
  <si>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</si>
  <si>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</si>
  <si>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</si>
  <si>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</si>
  <si>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</si>
  <si>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</si>
  <si>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</si>
  <si>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</si>
  <si>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</si>
  <si>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</si>
  <si>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</si>
  <si>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</si>
  <si>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</si>
  <si>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</si>
  <si>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</si>
  <si>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</si>
  <si>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</si>
  <si>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</si>
  <si>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</si>
  <si>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</si>
  <si>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</si>
  <si>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</si>
  <si>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</si>
  <si>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</si>
  <si>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</si>
  <si>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</si>
  <si>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</si>
  <si>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</si>
  <si>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</si>
  <si>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</si>
  <si>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</si>
  <si>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</si>
  <si>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</si>
  <si>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</si>
  <si>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</si>
  <si>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</si>
  <si>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</si>
  <si>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</si>
  <si>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</si>
  <si>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</si>
  <si>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</si>
  <si>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</si>
  <si>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</si>
  <si>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</si>
  <si>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</si>
  <si>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</si>
  <si>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</si>
  <si>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</si>
  <si>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</si>
  <si>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</si>
  <si>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</si>
  <si>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</si>
  <si>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</si>
  <si>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</si>
  <si>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</si>
  <si>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</si>
  <si>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</si>
  <si>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</si>
  <si>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</si>
  <si>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</si>
  <si>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</si>
  <si>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</si>
  <si>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</si>
  <si>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</si>
  <si>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</si>
  <si>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</si>
  <si>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</si>
  <si>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</si>
  <si>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</si>
  <si>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</si>
  <si>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</si>
  <si>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</si>
  <si>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</si>
  <si>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</si>
  <si>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</si>
  <si>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</si>
  <si>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</si>
  <si>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</si>
  <si>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</si>
  <si>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</si>
  <si>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</si>
  <si>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</si>
  <si>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</si>
  <si>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</si>
  <si>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</si>
  <si>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</si>
  <si>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</si>
  <si>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</si>
  <si>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</si>
  <si>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</si>
  <si>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</si>
  <si>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</si>
  <si>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</si>
  <si>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</si>
  <si>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</si>
  <si>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</si>
  <si>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</si>
  <si>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</si>
  <si>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</si>
  <si>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</si>
  <si>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</si>
  <si>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</si>
  <si>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</si>
  <si>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</si>
  <si>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</si>
  <si>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</si>
  <si>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</si>
  <si>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</si>
  <si>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</si>
  <si>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</si>
  <si>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</si>
  <si>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</si>
  <si>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</si>
  <si>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</si>
  <si>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</si>
  <si>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</si>
  <si>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</si>
  <si>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</si>
  <si>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</si>
  <si>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</si>
  <si>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</si>
  <si>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</si>
  <si>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</si>
  <si>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</si>
  <si>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</si>
  <si>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</si>
  <si>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</si>
  <si>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</si>
  <si>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</si>
  <si>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</si>
  <si>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</si>
  <si>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</si>
  <si>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</si>
  <si>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</si>
  <si>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</si>
  <si>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</si>
  <si>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</si>
  <si>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</si>
  <si>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</si>
  <si>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</si>
  <si>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</si>
  <si>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</si>
  <si>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</si>
  <si>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</si>
  <si>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</si>
  <si>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</si>
  <si>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</si>
  <si>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</si>
  <si>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</si>
  <si>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</si>
  <si>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</si>
  <si>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</si>
  <si>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</si>
  <si>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</si>
  <si>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</si>
  <si>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</si>
  <si>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</si>
  <si>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</si>
  <si>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</si>
  <si>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</si>
  <si>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</si>
  <si>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</si>
  <si>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</si>
  <si>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</si>
  <si>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</si>
  <si>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</si>
  <si>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</si>
  <si>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</si>
  <si>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</si>
  <si>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</si>
  <si>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</si>
  <si>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</si>
  <si>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</si>
  <si>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</si>
  <si>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</si>
  <si>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</si>
  <si>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</si>
  <si>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</si>
  <si>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</si>
  <si>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</si>
  <si>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</si>
  <si>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</si>
  <si>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</si>
  <si>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</si>
  <si>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</si>
  <si>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</si>
  <si>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</si>
  <si>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</si>
  <si>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</si>
  <si>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</si>
  <si>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</si>
  <si>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</si>
  <si>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</si>
  <si>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</si>
  <si>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</si>
  <si>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</si>
  <si>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</si>
  <si>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押二</t>
  </si>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</sst>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2][$-804]General"/>
    <numFmt numFmtId="179" formatCode="[$-F800]dddd\,\ mmmm\ dd\,\ yyyy"/>
    <numFmt numFmtId="180" formatCode="yyyy/m/d;@"/>
    <numFmt numFmtId="181" formatCode="0.0_);[Red]\(0.0\)"/>
    <numFmt numFmtId="182" formatCode="0_ "/>
    <numFmt numFmtId="183" formatCode="0.00_ "/>
    <numFmt numFmtId="184" formatCode="0.000_);[Red]\(0.000\)"/>
    <numFmt numFmtId="185" formatCode="0.0_ "/>
    <numFmt numFmtId="186" formatCode="0.0%"/>
    <numFmt numFmtId="187" formatCode="0.0000%"/>
    <numFmt numFmtId="188" formatCode="0_);[Red]\(0\)"/>
    <numFmt numFmtId="189" formatCode="0.000_ "/>
    <numFmt numFmtId="190" formatCode="0.0000_ "/>
    <numFmt numFmtId="191" formatCode="0_ ;[Red]\-0\ "/>
    <numFmt numFmtId="192" formatCode="yyyy&quot;年&quot;m&quot;月&quot;d&quot;日&quot;;@"/>
    <numFmt numFmtId="193" formatCode="0.00_);[Red]\(0.00\)"/>
    <numFmt numFmtId="194" formatCode="yyyy&quot;年&quot;m&quot;月&quot;;@"/>
    <numFmt numFmtId="195" formatCode="0.000%"/>
    <numFmt numFmtId="196" formatCode="0;_쐀"/>
    <numFmt numFmtId="197" formatCode="[DBNum1][$-804]General"/>
    <numFmt numFmtId="198" formatCode="[DBNum1][$-804]yyyy&quot;年&quot;m&quot;月&quot;d&quot;日&quot;;@"/>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仿宋_GB2312"/>
      <charset val="134"/>
    </font>
    <font>
      <sz val="12"/>
      <name val="宋体"/>
      <family val="3"/>
      <charset val="134"/>
      <scheme val="minor"/>
    </font>
    <font>
      <sz val="14"/>
      <name val="楷体_GB2312"/>
      <charset val="134"/>
    </font>
    <font>
      <sz val="12"/>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theme="7" tint="0.39994506668294322"/>
        <bgColor indexed="64"/>
      </patternFill>
    </fill>
    <fill>
      <patternFill patternType="solid">
        <fgColor theme="8"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1" fillId="0" borderId="0"/>
    <xf numFmtId="0" fontId="106" fillId="0" borderId="0">
      <alignment vertical="center"/>
    </xf>
    <xf numFmtId="0" fontId="106" fillId="0" borderId="0">
      <alignment vertical="center"/>
    </xf>
    <xf numFmtId="0" fontId="106" fillId="0" borderId="0">
      <alignment vertical="center"/>
    </xf>
    <xf numFmtId="0" fontId="211" fillId="0" borderId="0">
      <alignment vertical="center"/>
    </xf>
    <xf numFmtId="0" fontId="211" fillId="0" borderId="0">
      <alignment vertical="center"/>
    </xf>
    <xf numFmtId="0" fontId="106"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4" fillId="0" borderId="0"/>
    <xf numFmtId="0" fontId="211" fillId="0" borderId="0">
      <alignment vertical="center"/>
    </xf>
    <xf numFmtId="0" fontId="211" fillId="0" borderId="0">
      <alignment vertical="center"/>
    </xf>
    <xf numFmtId="0" fontId="211" fillId="0" borderId="0"/>
  </cellStyleXfs>
  <cellXfs count="357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0"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2"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3"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2"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2"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2" fontId="30" fillId="0" borderId="1" xfId="11" applyNumberFormat="1" applyFont="1" applyFill="1" applyBorder="1" applyAlignment="1" applyProtection="1">
      <alignment horizontal="center"/>
      <protection locked="0"/>
    </xf>
    <xf numFmtId="183"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2"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2"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2"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2"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2"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3"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6"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6" applyFont="1" applyFill="1" applyBorder="1" applyAlignment="1" applyProtection="1">
      <alignment horizontal="left" vertical="center"/>
    </xf>
    <xf numFmtId="0" fontId="46" fillId="2" borderId="74" xfId="6"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6" applyFont="1" applyFill="1" applyAlignment="1" applyProtection="1">
      <alignment horizontal="left" vertical="center"/>
    </xf>
    <xf numFmtId="0" fontId="46" fillId="8" borderId="0" xfId="6"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6" applyFont="1" applyFill="1" applyAlignment="1" applyProtection="1">
      <alignment horizontal="left" vertical="center"/>
    </xf>
    <xf numFmtId="0" fontId="46" fillId="0" borderId="0" xfId="6"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8"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8"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8" fontId="41" fillId="10" borderId="79" xfId="3" applyNumberFormat="1" applyFont="1" applyFill="1" applyBorder="1" applyAlignment="1" applyProtection="1">
      <alignment horizontal="left" vertical="center" wrapText="1"/>
    </xf>
    <xf numFmtId="188"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8" fontId="41" fillId="10" borderId="79" xfId="3" applyNumberFormat="1" applyFont="1" applyFill="1" applyBorder="1" applyAlignment="1">
      <alignment horizontal="left" vertical="center" wrapText="1"/>
    </xf>
    <xf numFmtId="188"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8" fontId="41" fillId="10" borderId="78" xfId="3" applyNumberFormat="1" applyFont="1" applyFill="1" applyBorder="1" applyAlignment="1">
      <alignment horizontal="left" vertical="center" wrapText="1"/>
    </xf>
    <xf numFmtId="188"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8" fontId="41" fillId="10" borderId="85" xfId="3" applyNumberFormat="1" applyFont="1" applyFill="1" applyBorder="1" applyAlignment="1">
      <alignment horizontal="left" vertical="center" wrapText="1"/>
    </xf>
    <xf numFmtId="188" fontId="41" fillId="10" borderId="87" xfId="3" applyNumberFormat="1" applyFont="1" applyFill="1" applyBorder="1" applyAlignment="1">
      <alignment horizontal="left" vertical="center" wrapText="1"/>
    </xf>
    <xf numFmtId="188" fontId="6" fillId="9" borderId="0" xfId="3" applyNumberFormat="1" applyFont="1" applyFill="1" applyAlignment="1">
      <alignment horizontal="left" vertical="center"/>
    </xf>
    <xf numFmtId="188"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2" fontId="6" fillId="0" borderId="0" xfId="3" applyNumberFormat="1" applyFont="1" applyAlignment="1">
      <alignment horizontal="left" vertical="center"/>
    </xf>
    <xf numFmtId="0" fontId="6" fillId="0" borderId="0" xfId="3" applyFont="1" applyFill="1" applyAlignment="1">
      <alignment horizontal="left" vertical="center"/>
    </xf>
    <xf numFmtId="186" fontId="6" fillId="0" borderId="75" xfId="3" applyNumberFormat="1" applyFont="1" applyBorder="1" applyAlignment="1">
      <alignment horizontal="left" vertical="center"/>
    </xf>
    <xf numFmtId="186" fontId="6" fillId="0" borderId="0" xfId="3" applyNumberFormat="1" applyFont="1" applyAlignment="1">
      <alignment horizontal="left" vertical="center"/>
    </xf>
    <xf numFmtId="182"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2" fontId="6" fillId="0" borderId="21" xfId="3" applyNumberFormat="1" applyFont="1" applyBorder="1" applyAlignment="1">
      <alignment horizontal="left" vertical="center"/>
    </xf>
    <xf numFmtId="185"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2"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9" fontId="6" fillId="0" borderId="0" xfId="3" applyNumberFormat="1" applyFont="1" applyAlignment="1">
      <alignment horizontal="left" vertical="center"/>
    </xf>
    <xf numFmtId="189" fontId="6" fillId="0" borderId="75" xfId="3" applyNumberFormat="1" applyFont="1" applyBorder="1" applyAlignment="1">
      <alignment horizontal="left" vertical="center"/>
    </xf>
    <xf numFmtId="189"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9" fontId="43" fillId="0" borderId="0" xfId="3" applyNumberFormat="1" applyFont="1" applyAlignment="1">
      <alignment horizontal="left" vertical="center"/>
    </xf>
    <xf numFmtId="189" fontId="43" fillId="0" borderId="75" xfId="3" applyNumberFormat="1" applyFont="1" applyBorder="1" applyAlignment="1">
      <alignment horizontal="left" vertical="center"/>
    </xf>
    <xf numFmtId="185" fontId="6" fillId="0" borderId="21" xfId="3" applyNumberFormat="1" applyFont="1" applyBorder="1" applyAlignment="1">
      <alignment horizontal="left" vertical="center"/>
    </xf>
    <xf numFmtId="185"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83"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83"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5"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64" xfId="0" applyNumberFormat="1" applyFill="1" applyBorder="1" applyAlignment="1" applyProtection="1">
      <alignment horizontal="left" vertical="center"/>
    </xf>
    <xf numFmtId="185" fontId="0" fillId="2" borderId="43"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0"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0"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0"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8"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83"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2" fontId="43" fillId="0" borderId="1" xfId="10" applyNumberFormat="1" applyFont="1" applyFill="1" applyBorder="1" applyAlignment="1" applyProtection="1">
      <alignment horizontal="center" vertical="center"/>
      <protection locked="0"/>
    </xf>
    <xf numFmtId="182" fontId="43" fillId="2" borderId="1" xfId="10" applyNumberFormat="1" applyFont="1" applyFill="1" applyBorder="1" applyAlignment="1" applyProtection="1">
      <alignment horizontal="center" vertical="center"/>
    </xf>
    <xf numFmtId="190"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0"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3"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83"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1"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1"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1"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93" fontId="55" fillId="2" borderId="42" xfId="0" applyNumberFormat="1" applyFont="1" applyFill="1" applyBorder="1" applyAlignment="1" applyProtection="1">
      <alignment horizontal="left" vertical="center" wrapText="1"/>
    </xf>
    <xf numFmtId="181"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1"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1"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1"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3"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4" fontId="61" fillId="2" borderId="108"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1"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1"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1" fontId="55" fillId="4" borderId="4" xfId="0" applyNumberFormat="1" applyFont="1" applyFill="1" applyBorder="1" applyAlignment="1" applyProtection="1">
      <alignment horizontal="center" vertical="center"/>
      <protection locked="0"/>
    </xf>
    <xf numFmtId="181"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1"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1" fontId="61" fillId="2" borderId="39" xfId="0" applyNumberFormat="1" applyFont="1" applyFill="1" applyBorder="1" applyAlignment="1" applyProtection="1">
      <alignment horizontal="center" vertical="center" wrapText="1"/>
    </xf>
    <xf numFmtId="181"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1" fontId="55" fillId="2" borderId="42" xfId="0" applyNumberFormat="1" applyFont="1" applyFill="1" applyBorder="1" applyAlignment="1" applyProtection="1">
      <alignment horizontal="center" vertical="center"/>
    </xf>
    <xf numFmtId="193" fontId="55" fillId="13" borderId="42" xfId="0" applyNumberFormat="1" applyFont="1" applyFill="1" applyBorder="1" applyAlignment="1" applyProtection="1">
      <alignment horizontal="left" vertical="center" wrapText="1"/>
    </xf>
    <xf numFmtId="181"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8"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8"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8" fontId="29" fillId="2" borderId="117" xfId="13" applyNumberFormat="1" applyFont="1" applyFill="1" applyBorder="1" applyAlignment="1">
      <alignment horizontal="left" vertical="center"/>
    </xf>
    <xf numFmtId="188"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8"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6"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8" fontId="30" fillId="2" borderId="1" xfId="13" applyNumberFormat="1" applyFont="1" applyFill="1" applyBorder="1" applyAlignment="1">
      <alignment horizontal="left" vertical="center"/>
    </xf>
    <xf numFmtId="186"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93" fontId="30" fillId="0" borderId="1" xfId="13" applyNumberFormat="1" applyFont="1" applyFill="1" applyBorder="1" applyAlignment="1" applyProtection="1">
      <alignment horizontal="left" vertical="center"/>
      <protection locked="0"/>
    </xf>
    <xf numFmtId="186" fontId="30" fillId="2" borderId="4" xfId="13" applyNumberFormat="1" applyFont="1" applyFill="1" applyBorder="1" applyAlignment="1">
      <alignment horizontal="right" vertical="center"/>
    </xf>
    <xf numFmtId="182" fontId="30" fillId="0" borderId="1" xfId="13" applyNumberFormat="1" applyFont="1" applyFill="1" applyBorder="1" applyAlignment="1" applyProtection="1">
      <alignment horizontal="left" vertical="center"/>
      <protection locked="0"/>
    </xf>
    <xf numFmtId="188" fontId="30" fillId="0" borderId="1" xfId="13" applyNumberFormat="1" applyFont="1" applyFill="1" applyBorder="1" applyAlignment="1" applyProtection="1">
      <alignment horizontal="left" vertical="center"/>
      <protection locked="0"/>
    </xf>
    <xf numFmtId="186"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8" fontId="29" fillId="2" borderId="13" xfId="13" applyNumberFormat="1" applyFont="1" applyFill="1" applyBorder="1" applyAlignment="1">
      <alignment horizontal="left" vertical="center"/>
    </xf>
    <xf numFmtId="186"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8" fontId="29" fillId="2" borderId="96" xfId="13" applyNumberFormat="1" applyFont="1" applyFill="1" applyBorder="1" applyAlignment="1">
      <alignment horizontal="left" vertical="center"/>
    </xf>
    <xf numFmtId="186"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8" fontId="30" fillId="2" borderId="2" xfId="13" applyNumberFormat="1" applyFont="1" applyFill="1" applyBorder="1" applyAlignment="1">
      <alignment horizontal="left" vertical="center"/>
    </xf>
    <xf numFmtId="188" fontId="30" fillId="2" borderId="142" xfId="13" applyNumberFormat="1" applyFont="1" applyFill="1" applyBorder="1" applyAlignment="1">
      <alignment horizontal="left" vertical="center"/>
    </xf>
    <xf numFmtId="188"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8" fontId="30" fillId="2" borderId="2" xfId="13" applyNumberFormat="1" applyFont="1" applyFill="1" applyBorder="1" applyAlignment="1">
      <alignment horizontal="right" vertical="center"/>
    </xf>
    <xf numFmtId="186" fontId="30" fillId="0" borderId="142" xfId="13" applyNumberFormat="1" applyFont="1" applyFill="1" applyBorder="1" applyAlignment="1" applyProtection="1">
      <alignment horizontal="right" vertical="center"/>
      <protection locked="0"/>
    </xf>
    <xf numFmtId="186"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6"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6" fontId="30" fillId="2" borderId="142" xfId="13" applyNumberFormat="1" applyFont="1" applyFill="1" applyBorder="1" applyAlignment="1">
      <alignment horizontal="right" vertical="center"/>
    </xf>
    <xf numFmtId="186"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6" fontId="30" fillId="0" borderId="2" xfId="13" applyNumberFormat="1" applyFont="1" applyFill="1" applyBorder="1" applyAlignment="1" applyProtection="1">
      <alignment horizontal="left" vertical="center"/>
      <protection locked="0"/>
    </xf>
    <xf numFmtId="186" fontId="30" fillId="0" borderId="142" xfId="13" applyNumberFormat="1" applyFont="1" applyFill="1" applyBorder="1" applyAlignment="1" applyProtection="1">
      <alignment horizontal="left" vertical="center"/>
      <protection locked="0"/>
    </xf>
    <xf numFmtId="186" fontId="30" fillId="0" borderId="4" xfId="13" applyNumberFormat="1" applyFont="1" applyFill="1" applyBorder="1" applyAlignment="1" applyProtection="1">
      <alignment horizontal="left" vertical="center"/>
      <protection locked="0"/>
    </xf>
    <xf numFmtId="193"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93" fontId="30" fillId="0" borderId="33" xfId="13" applyNumberFormat="1" applyFont="1" applyFill="1" applyBorder="1" applyAlignment="1" applyProtection="1">
      <alignment horizontal="left" vertical="center"/>
      <protection locked="0"/>
    </xf>
    <xf numFmtId="193" fontId="30" fillId="0" borderId="143" xfId="13" applyNumberFormat="1" applyFont="1" applyFill="1" applyBorder="1" applyAlignment="1" applyProtection="1">
      <alignment horizontal="left" vertical="center"/>
      <protection locked="0"/>
    </xf>
    <xf numFmtId="193" fontId="30" fillId="0" borderId="62" xfId="13" applyNumberFormat="1" applyFont="1" applyFill="1" applyBorder="1" applyAlignment="1" applyProtection="1">
      <alignment horizontal="left" vertical="center"/>
      <protection locked="0"/>
    </xf>
    <xf numFmtId="193"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8"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8"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2"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2"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2" fontId="6" fillId="0" borderId="11" xfId="11" applyNumberFormat="1" applyFont="1" applyBorder="1" applyAlignment="1" applyProtection="1">
      <alignment horizontal="left" vertical="center"/>
      <protection locked="0" hidden="1"/>
    </xf>
    <xf numFmtId="182"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2" fontId="29" fillId="2" borderId="1" xfId="13" applyNumberFormat="1" applyFont="1" applyFill="1" applyBorder="1" applyAlignment="1" applyProtection="1">
      <alignment horizontal="left" vertical="center"/>
      <protection locked="0"/>
    </xf>
    <xf numFmtId="182"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6"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2"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186"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horizontal="center" vertical="center"/>
    </xf>
    <xf numFmtId="182"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82"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82"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2"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16" applyAlignment="1" applyProtection="1">
      <alignment horizontal="left"/>
      <protection locked="0"/>
    </xf>
    <xf numFmtId="0" fontId="100" fillId="2" borderId="1" xfId="16" applyFont="1" applyFill="1" applyBorder="1" applyAlignment="1" applyProtection="1">
      <alignment horizontal="left" vertical="center" wrapText="1"/>
    </xf>
    <xf numFmtId="0" fontId="100" fillId="11" borderId="0" xfId="16" applyFont="1" applyFill="1" applyBorder="1" applyAlignment="1" applyProtection="1">
      <alignment horizontal="left" vertical="center" wrapText="1"/>
      <protection locked="0"/>
    </xf>
    <xf numFmtId="0" fontId="211" fillId="11" borderId="0" xfId="16" applyFill="1" applyBorder="1" applyAlignment="1" applyProtection="1">
      <alignment horizontal="left"/>
      <protection locked="0"/>
    </xf>
    <xf numFmtId="0" fontId="211" fillId="11" borderId="0" xfId="16" applyFill="1" applyAlignment="1" applyProtection="1">
      <alignment horizontal="left"/>
      <protection locked="0"/>
    </xf>
    <xf numFmtId="14" fontId="100" fillId="2" borderId="1" xfId="16" applyNumberFormat="1" applyFont="1" applyFill="1" applyBorder="1" applyAlignment="1" applyProtection="1">
      <alignment horizontal="left" vertical="center" wrapText="1"/>
    </xf>
    <xf numFmtId="0" fontId="100" fillId="0" borderId="1" xfId="16" applyFont="1" applyFill="1" applyBorder="1" applyAlignment="1" applyProtection="1">
      <alignment horizontal="left" vertical="center" wrapText="1"/>
      <protection locked="0"/>
    </xf>
    <xf numFmtId="0" fontId="211" fillId="2" borderId="1" xfId="16" applyFill="1" applyBorder="1" applyAlignment="1" applyProtection="1">
      <alignment horizontal="left" vertical="center"/>
    </xf>
    <xf numFmtId="0" fontId="100"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0" fillId="0" borderId="15" xfId="16" applyFont="1" applyFill="1" applyBorder="1" applyAlignment="1" applyProtection="1">
      <alignment horizontal="left" vertical="center" wrapText="1"/>
      <protection locked="0"/>
    </xf>
    <xf numFmtId="0" fontId="211" fillId="0" borderId="1" xfId="16" applyBorder="1" applyAlignment="1" applyProtection="1">
      <alignment horizontal="left"/>
      <protection locked="0"/>
    </xf>
    <xf numFmtId="0" fontId="100"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101" fillId="0" borderId="0" xfId="0" applyFont="1" applyAlignment="1">
      <alignment horizontal="left" vertical="center"/>
    </xf>
    <xf numFmtId="14" fontId="101" fillId="0" borderId="0" xfId="0" applyNumberFormat="1" applyFont="1" applyAlignment="1">
      <alignment horizontal="left" vertical="center"/>
    </xf>
    <xf numFmtId="0" fontId="101" fillId="0" borderId="0" xfId="0" applyNumberFormat="1" applyFont="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3"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9"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3" fontId="61" fillId="2" borderId="8" xfId="0" applyNumberFormat="1" applyFont="1" applyFill="1" applyBorder="1" applyAlignment="1" applyProtection="1">
      <alignment horizontal="center" vertical="center" wrapText="1"/>
    </xf>
    <xf numFmtId="182" fontId="36" fillId="2" borderId="10" xfId="11" applyNumberFormat="1" applyFont="1" applyFill="1" applyBorder="1" applyAlignment="1" applyProtection="1">
      <alignment horizontal="left" vertical="center"/>
    </xf>
    <xf numFmtId="182" fontId="61" fillId="2" borderId="1" xfId="11" applyNumberFormat="1" applyFont="1" applyFill="1" applyBorder="1" applyAlignment="1" applyProtection="1">
      <alignment vertical="center"/>
    </xf>
    <xf numFmtId="182" fontId="61" fillId="7" borderId="2" xfId="11" applyNumberFormat="1" applyFont="1" applyFill="1" applyBorder="1" applyAlignment="1" applyProtection="1">
      <alignment vertical="center"/>
      <protection locked="0"/>
    </xf>
    <xf numFmtId="182" fontId="36" fillId="2" borderId="10" xfId="11"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3" fontId="55" fillId="2" borderId="1" xfId="11" applyNumberFormat="1" applyFont="1" applyFill="1" applyBorder="1" applyAlignment="1" applyProtection="1">
      <alignment horizontal="center" vertical="center"/>
    </xf>
    <xf numFmtId="189" fontId="55" fillId="2" borderId="1" xfId="11"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82" fontId="61" fillId="2" borderId="10" xfId="11" applyNumberFormat="1" applyFont="1" applyFill="1" applyBorder="1" applyAlignment="1" applyProtection="1">
      <alignment horizontal="left" vertical="center" wrapText="1"/>
      <protection locked="0"/>
    </xf>
    <xf numFmtId="182" fontId="61" fillId="2" borderId="2" xfId="11"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6"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3" fontId="61" fillId="11" borderId="0" xfId="0" applyNumberFormat="1" applyFont="1" applyFill="1" applyAlignment="1" applyProtection="1">
      <alignment vertical="center"/>
      <protection locked="0"/>
    </xf>
    <xf numFmtId="193" fontId="55" fillId="2" borderId="7" xfId="11" applyNumberFormat="1" applyFont="1" applyFill="1" applyBorder="1" applyAlignment="1" applyProtection="1">
      <alignment vertical="center" wrapText="1"/>
    </xf>
    <xf numFmtId="193"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3" fontId="55" fillId="2" borderId="10" xfId="11" applyNumberFormat="1" applyFont="1" applyFill="1" applyBorder="1" applyAlignment="1" applyProtection="1">
      <alignment vertical="center" wrapText="1"/>
    </xf>
    <xf numFmtId="193"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3" fontId="61" fillId="2" borderId="10" xfId="11" applyNumberFormat="1" applyFont="1" applyFill="1" applyBorder="1" applyAlignment="1" applyProtection="1">
      <alignment vertical="center" wrapText="1"/>
    </xf>
    <xf numFmtId="193" fontId="55" fillId="2" borderId="11" xfId="11" applyNumberFormat="1" applyFont="1" applyFill="1" applyBorder="1" applyAlignment="1" applyProtection="1">
      <alignment horizontal="center" vertical="center"/>
    </xf>
    <xf numFmtId="193" fontId="55" fillId="2" borderId="12" xfId="11" applyNumberFormat="1" applyFont="1" applyFill="1" applyBorder="1" applyAlignment="1" applyProtection="1">
      <alignment vertical="center" wrapText="1"/>
    </xf>
    <xf numFmtId="193"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0" fontId="36" fillId="0" borderId="11" xfId="0" applyNumberFormat="1" applyFont="1" applyFill="1" applyBorder="1" applyAlignment="1" applyProtection="1">
      <alignment horizontal="center" vertical="center"/>
      <protection locked="0"/>
    </xf>
    <xf numFmtId="183"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0" borderId="11"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1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83"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83" fontId="36" fillId="2" borderId="10" xfId="11" applyNumberFormat="1" applyFont="1" applyFill="1" applyBorder="1" applyAlignment="1" applyProtection="1">
      <alignment horizontal="center" vertical="center"/>
    </xf>
    <xf numFmtId="182" fontId="36" fillId="15"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15"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11" applyNumberFormat="1" applyFont="1" applyFill="1" applyBorder="1" applyAlignment="1" applyProtection="1">
      <alignment horizontal="center" vertical="center"/>
      <protection locked="0"/>
    </xf>
    <xf numFmtId="10" fontId="36" fillId="0" borderId="1" xfId="11" applyNumberFormat="1" applyFont="1" applyFill="1" applyBorder="1" applyAlignment="1" applyProtection="1">
      <alignment horizontal="center" vertical="center"/>
      <protection locked="0"/>
    </xf>
    <xf numFmtId="182"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82"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93"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4"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61" fillId="2" borderId="10" xfId="11" applyNumberFormat="1" applyFont="1" applyFill="1" applyBorder="1" applyAlignment="1" applyProtection="1">
      <alignment horizontal="center" vertical="center"/>
    </xf>
    <xf numFmtId="183"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0" borderId="1" xfId="0" applyNumberFormat="1"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3" fontId="61" fillId="2" borderId="12" xfId="11" applyNumberFormat="1" applyFont="1" applyFill="1" applyBorder="1" applyAlignment="1" applyProtection="1">
      <alignment horizontal="center" vertical="center"/>
    </xf>
    <xf numFmtId="183"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15" borderId="4" xfId="0" applyFont="1" applyFill="1" applyBorder="1" applyAlignment="1" applyProtection="1">
      <alignment vertical="center"/>
      <protection locked="0"/>
    </xf>
    <xf numFmtId="186" fontId="61" fillId="15" borderId="2"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5" borderId="1" xfId="0" applyNumberFormat="1" applyFont="1" applyFill="1" applyBorder="1" applyAlignment="1" applyProtection="1">
      <alignment horizontal="center" vertical="center"/>
      <protection locked="0"/>
    </xf>
    <xf numFmtId="195" fontId="61" fillId="15" borderId="1" xfId="0" applyNumberFormat="1" applyFont="1" applyFill="1" applyBorder="1" applyAlignment="1" applyProtection="1">
      <alignment horizontal="center" vertical="center"/>
      <protection locked="0"/>
    </xf>
    <xf numFmtId="186"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3"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3"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3"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3"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3" fontId="56" fillId="2" borderId="17" xfId="11" applyNumberFormat="1" applyFont="1" applyFill="1" applyBorder="1" applyAlignment="1" applyProtection="1">
      <alignment horizontal="center" vertical="center"/>
    </xf>
    <xf numFmtId="193" fontId="56" fillId="2" borderId="38" xfId="11" applyNumberFormat="1" applyFont="1" applyFill="1" applyBorder="1" applyAlignment="1" applyProtection="1">
      <alignment horizontal="center" vertical="center"/>
    </xf>
    <xf numFmtId="193"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3"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4" fillId="0" borderId="1" xfId="11" applyNumberFormat="1" applyFont="1" applyFill="1" applyBorder="1" applyAlignment="1" applyProtection="1">
      <alignment vertical="center"/>
      <protection locked="0" hidden="1"/>
    </xf>
    <xf numFmtId="193"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11" applyNumberFormat="1" applyFont="1" applyFill="1" applyBorder="1" applyAlignment="1" applyProtection="1">
      <alignment vertical="center"/>
      <protection locked="0" hidden="1"/>
    </xf>
    <xf numFmtId="182"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1" applyNumberFormat="1" applyFont="1" applyFill="1" applyBorder="1" applyAlignment="1" applyProtection="1">
      <alignment vertical="center"/>
      <protection locked="0"/>
    </xf>
    <xf numFmtId="193" fontId="71" fillId="2" borderId="1" xfId="0" applyNumberFormat="1" applyFont="1" applyFill="1" applyBorder="1" applyAlignment="1" applyProtection="1">
      <alignment vertical="center"/>
    </xf>
    <xf numFmtId="193" fontId="71" fillId="2" borderId="1" xfId="0" applyNumberFormat="1" applyFont="1" applyFill="1" applyBorder="1" applyAlignment="1" applyProtection="1">
      <alignment horizontal="center" vertical="center"/>
    </xf>
    <xf numFmtId="193" fontId="71" fillId="2" borderId="11" xfId="0" applyNumberFormat="1" applyFont="1" applyFill="1" applyBorder="1" applyAlignment="1" applyProtection="1">
      <alignment vertical="center"/>
    </xf>
    <xf numFmtId="193"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3" fontId="71" fillId="2" borderId="62"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3" fontId="61" fillId="2" borderId="16" xfId="0" applyNumberFormat="1" applyFont="1" applyFill="1" applyBorder="1" applyProtection="1">
      <alignment vertical="center"/>
    </xf>
    <xf numFmtId="193"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3" fontId="71" fillId="7" borderId="11" xfId="0" applyNumberFormat="1" applyFont="1" applyFill="1" applyBorder="1" applyAlignment="1" applyProtection="1">
      <alignment horizontal="center" vertical="center"/>
      <protection locked="0"/>
    </xf>
    <xf numFmtId="18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3"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3"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wrapText="1"/>
    </xf>
    <xf numFmtId="193" fontId="36" fillId="2" borderId="3" xfId="0" applyNumberFormat="1" applyFont="1" applyFill="1" applyBorder="1" applyAlignment="1" applyProtection="1">
      <alignment horizontal="center" vertical="center" wrapText="1"/>
    </xf>
    <xf numFmtId="193" fontId="36" fillId="2" borderId="4" xfId="0" applyNumberFormat="1" applyFont="1" applyFill="1" applyBorder="1" applyAlignment="1" applyProtection="1">
      <alignment horizontal="center" vertical="center" wrapText="1"/>
    </xf>
    <xf numFmtId="19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3" fontId="36" fillId="0" borderId="16" xfId="0" applyNumberFormat="1" applyFont="1" applyFill="1" applyBorder="1" applyAlignment="1" applyProtection="1">
      <alignment horizontal="center" vertical="center" wrapText="1"/>
      <protection locked="0"/>
    </xf>
    <xf numFmtId="19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3" fontId="61" fillId="2" borderId="1" xfId="0" applyNumberFormat="1" applyFont="1" applyFill="1" applyBorder="1" applyAlignment="1" applyProtection="1">
      <alignment horizontal="center" vertical="center" wrapText="1"/>
    </xf>
    <xf numFmtId="193" fontId="61" fillId="0" borderId="16" xfId="0" applyNumberFormat="1" applyFont="1" applyFill="1" applyBorder="1" applyAlignment="1" applyProtection="1">
      <alignment horizontal="center" vertical="center" wrapText="1"/>
      <protection locked="0"/>
    </xf>
    <xf numFmtId="193" fontId="61" fillId="2" borderId="16" xfId="0" applyNumberFormat="1" applyFont="1" applyFill="1" applyBorder="1" applyAlignment="1" applyProtection="1">
      <alignment horizontal="center" vertical="center" wrapText="1"/>
    </xf>
    <xf numFmtId="193"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3" fontId="36" fillId="0" borderId="1" xfId="0" applyNumberFormat="1" applyFont="1" applyBorder="1" applyAlignment="1" applyProtection="1">
      <alignment vertical="center" wrapText="1"/>
      <protection locked="0"/>
    </xf>
    <xf numFmtId="193" fontId="61" fillId="0" borderId="1" xfId="0" applyNumberFormat="1" applyFont="1" applyBorder="1" applyAlignment="1" applyProtection="1">
      <alignment vertical="center" wrapText="1"/>
      <protection locked="0"/>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1"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3"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3" fontId="36" fillId="0" borderId="1" xfId="0" applyNumberFormat="1" applyFont="1" applyFill="1" applyBorder="1" applyAlignment="1" applyProtection="1">
      <alignment horizontal="center" vertical="center" wrapText="1"/>
      <protection locked="0"/>
    </xf>
    <xf numFmtId="19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3" fontId="36" fillId="2" borderId="8" xfId="0" applyNumberFormat="1" applyFont="1" applyFill="1" applyBorder="1" applyAlignment="1" applyProtection="1">
      <alignment horizontal="center" vertical="center" wrapText="1"/>
    </xf>
    <xf numFmtId="193"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3" fontId="36" fillId="2" borderId="112" xfId="0" applyNumberFormat="1" applyFont="1" applyFill="1" applyBorder="1" applyAlignment="1" applyProtection="1">
      <alignment horizontal="center" vertical="center"/>
    </xf>
    <xf numFmtId="193" fontId="36" fillId="2" borderId="9" xfId="0" applyNumberFormat="1" applyFont="1" applyFill="1" applyBorder="1" applyAlignment="1" applyProtection="1">
      <alignment horizontal="center" vertical="center" wrapText="1"/>
    </xf>
    <xf numFmtId="19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3" fontId="61" fillId="2" borderId="11" xfId="0" applyNumberFormat="1" applyFont="1" applyFill="1" applyBorder="1" applyAlignment="1" applyProtection="1">
      <alignment horizontal="center" vertical="center" wrapText="1"/>
    </xf>
    <xf numFmtId="19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2"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8"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109" fillId="0" borderId="0" xfId="14" applyFont="1" applyFill="1" applyAlignment="1">
      <alignment horizontal="left" vertical="center"/>
    </xf>
    <xf numFmtId="0" fontId="110" fillId="0" borderId="0" xfId="14" applyFont="1" applyAlignment="1">
      <alignment horizontal="left" vertical="center"/>
    </xf>
    <xf numFmtId="0" fontId="109" fillId="0" borderId="0" xfId="14" applyFont="1" applyAlignment="1">
      <alignment horizontal="left" vertical="center"/>
    </xf>
    <xf numFmtId="0" fontId="111" fillId="0" borderId="0" xfId="14" applyFont="1" applyAlignment="1">
      <alignment horizontal="left" vertical="center"/>
    </xf>
    <xf numFmtId="0" fontId="112" fillId="0" borderId="0" xfId="14" applyFont="1" applyAlignment="1">
      <alignment horizontal="left" vertical="center"/>
    </xf>
    <xf numFmtId="14" fontId="112" fillId="0" borderId="0" xfId="14" applyNumberFormat="1" applyFont="1" applyAlignment="1">
      <alignment horizontal="left" vertical="center"/>
    </xf>
    <xf numFmtId="0" fontId="113" fillId="0" borderId="0" xfId="14" applyFont="1" applyAlignment="1">
      <alignment horizontal="left" vertical="center"/>
    </xf>
    <xf numFmtId="0" fontId="114" fillId="3" borderId="15" xfId="14" applyFont="1" applyFill="1" applyBorder="1" applyAlignment="1">
      <alignment horizontal="left" vertical="center"/>
    </xf>
    <xf numFmtId="0" fontId="115" fillId="0" borderId="1" xfId="14" applyFont="1" applyBorder="1" applyAlignment="1">
      <alignment horizontal="left" vertical="center"/>
    </xf>
    <xf numFmtId="0" fontId="115" fillId="0" borderId="2" xfId="14" applyFont="1" applyBorder="1" applyAlignment="1">
      <alignment horizontal="left" vertical="center"/>
    </xf>
    <xf numFmtId="0" fontId="114" fillId="3" borderId="157" xfId="14" applyFont="1" applyFill="1" applyBorder="1" applyAlignment="1">
      <alignment horizontal="left" vertical="center"/>
    </xf>
    <xf numFmtId="0" fontId="115" fillId="0" borderId="1" xfId="14" applyFont="1" applyFill="1" applyBorder="1" applyAlignment="1">
      <alignment horizontal="left" vertical="center"/>
    </xf>
    <xf numFmtId="179" fontId="115" fillId="0" borderId="1" xfId="14" applyNumberFormat="1" applyFont="1" applyFill="1" applyBorder="1" applyAlignment="1">
      <alignment horizontal="left" vertical="center"/>
    </xf>
    <xf numFmtId="179" fontId="116" fillId="0" borderId="2" xfId="14" applyNumberFormat="1" applyFont="1" applyFill="1" applyBorder="1" applyAlignment="1">
      <alignment horizontal="left" vertical="center"/>
    </xf>
    <xf numFmtId="0" fontId="115" fillId="0" borderId="158" xfId="14" applyFont="1" applyFill="1" applyBorder="1" applyAlignment="1">
      <alignment horizontal="left" vertical="center"/>
    </xf>
    <xf numFmtId="192" fontId="115" fillId="0" borderId="1" xfId="14" applyNumberFormat="1" applyFont="1" applyFill="1" applyBorder="1" applyAlignment="1">
      <alignment horizontal="left" vertical="center"/>
    </xf>
    <xf numFmtId="0" fontId="116" fillId="0" borderId="1" xfId="14" applyFont="1" applyFill="1" applyBorder="1" applyAlignment="1">
      <alignment horizontal="left" vertical="center"/>
    </xf>
    <xf numFmtId="179" fontId="115" fillId="0" borderId="2" xfId="14" applyNumberFormat="1" applyFont="1" applyFill="1" applyBorder="1" applyAlignment="1">
      <alignment horizontal="left" vertical="center"/>
    </xf>
    <xf numFmtId="0" fontId="116" fillId="0" borderId="0" xfId="14" applyFont="1" applyFill="1" applyAlignment="1">
      <alignment horizontal="left" vertical="center"/>
    </xf>
    <xf numFmtId="0" fontId="114" fillId="0" borderId="1" xfId="14" applyFont="1" applyFill="1" applyBorder="1" applyAlignment="1">
      <alignment horizontal="left" vertical="center"/>
    </xf>
    <xf numFmtId="0" fontId="112" fillId="0" borderId="1" xfId="14" applyFont="1" applyBorder="1" applyAlignment="1">
      <alignment horizontal="left" vertical="center"/>
    </xf>
    <xf numFmtId="192" fontId="115" fillId="0" borderId="2" xfId="14" applyNumberFormat="1" applyFont="1" applyFill="1" applyBorder="1" applyAlignment="1">
      <alignment horizontal="left" vertical="center"/>
    </xf>
    <xf numFmtId="0" fontId="112" fillId="0" borderId="158" xfId="14" applyFont="1" applyBorder="1" applyAlignment="1">
      <alignment horizontal="left" vertical="center"/>
    </xf>
    <xf numFmtId="0" fontId="117" fillId="0" borderId="1" xfId="14" applyFont="1" applyBorder="1" applyAlignment="1">
      <alignment horizontal="left" vertical="center"/>
    </xf>
    <xf numFmtId="192" fontId="117" fillId="0" borderId="1" xfId="0" applyNumberFormat="1" applyFont="1" applyFill="1" applyBorder="1" applyAlignment="1">
      <alignment horizontal="left" vertical="center"/>
    </xf>
    <xf numFmtId="14" fontId="112" fillId="0" borderId="1" xfId="14" applyNumberFormat="1" applyFont="1" applyBorder="1" applyAlignment="1">
      <alignment horizontal="left" vertical="center"/>
    </xf>
    <xf numFmtId="14" fontId="112" fillId="0" borderId="2" xfId="14" applyNumberFormat="1" applyFont="1" applyBorder="1" applyAlignment="1">
      <alignment horizontal="left" vertical="center"/>
    </xf>
    <xf numFmtId="14" fontId="109" fillId="0" borderId="0" xfId="14" applyNumberFormat="1" applyFont="1" applyAlignment="1">
      <alignment horizontal="left" vertical="center"/>
    </xf>
    <xf numFmtId="14" fontId="109" fillId="0" borderId="159" xfId="14" applyNumberFormat="1" applyFont="1" applyBorder="1" applyAlignment="1">
      <alignment horizontal="left" vertical="center"/>
    </xf>
    <xf numFmtId="0" fontId="109" fillId="0" borderId="0" xfId="14" applyFont="1" applyBorder="1" applyAlignment="1">
      <alignment horizontal="left" vertical="center"/>
    </xf>
    <xf numFmtId="0" fontId="118" fillId="0" borderId="0" xfId="14"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1" fillId="19"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93" fontId="108" fillId="0" borderId="0" xfId="0" applyNumberFormat="1" applyFont="1" applyAlignment="1" applyProtection="1">
      <alignment horizontal="left" vertical="center"/>
    </xf>
    <xf numFmtId="0" fontId="0" fillId="0" borderId="0" xfId="0" applyFont="1" applyProtection="1">
      <alignment vertical="center"/>
      <protection locked="0"/>
    </xf>
    <xf numFmtId="0" fontId="124" fillId="0" borderId="0" xfId="0" applyFont="1" applyBorder="1" applyAlignment="1" applyProtection="1">
      <alignment horizontal="left" vertical="center"/>
    </xf>
    <xf numFmtId="0" fontId="0"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7" fillId="0" borderId="0" xfId="15" applyFont="1">
      <alignment vertical="center"/>
    </xf>
    <xf numFmtId="0" fontId="125" fillId="0" borderId="0" xfId="15" applyFont="1" applyProtection="1">
      <alignment vertical="center"/>
    </xf>
    <xf numFmtId="0" fontId="47" fillId="0" borderId="0" xfId="15" applyFont="1" applyProtection="1">
      <alignment vertical="center"/>
    </xf>
    <xf numFmtId="0" fontId="125"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1"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7" fillId="0" borderId="0" xfId="15" applyFont="1" applyProtection="1">
      <alignment vertical="center"/>
      <protection locked="0"/>
    </xf>
    <xf numFmtId="0" fontId="132" fillId="0" borderId="0" xfId="0" applyFont="1" applyBorder="1" applyAlignment="1">
      <alignment horizontal="center" vertical="center"/>
    </xf>
    <xf numFmtId="0" fontId="47"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92" fontId="127"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4" applyFont="1">
      <alignment vertical="center"/>
    </xf>
    <xf numFmtId="0" fontId="211" fillId="0" borderId="0" xfId="14">
      <alignment vertical="center"/>
    </xf>
    <xf numFmtId="0" fontId="136" fillId="0" borderId="0" xfId="14" applyFont="1" applyAlignment="1">
      <alignment vertical="top" wrapText="1"/>
    </xf>
    <xf numFmtId="0" fontId="137" fillId="0" borderId="0" xfId="14"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4"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9" fillId="0" borderId="123" xfId="4"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4"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4" applyFont="1" applyBorder="1" applyAlignment="1" applyProtection="1">
      <alignment vertical="center" wrapText="1"/>
    </xf>
    <xf numFmtId="0" fontId="109" fillId="0" borderId="6" xfId="0" applyFont="1" applyBorder="1" applyAlignment="1" applyProtection="1">
      <alignment horizontal="left" vertical="center"/>
    </xf>
    <xf numFmtId="198" fontId="109" fillId="0" borderId="6" xfId="0" applyNumberFormat="1" applyFont="1" applyBorder="1" applyAlignment="1" applyProtection="1">
      <alignment horizontal="left" vertical="center"/>
    </xf>
    <xf numFmtId="0" fontId="109" fillId="0" borderId="16" xfId="4"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0" fontId="137" fillId="0" borderId="0" xfId="14" applyFont="1" applyAlignment="1" applyProtection="1">
      <alignment horizontal="left" vertical="top" wrapText="1"/>
    </xf>
    <xf numFmtId="0" fontId="127" fillId="0" borderId="0" xfId="15" applyFont="1" applyAlignment="1" applyProtection="1">
      <alignment horizontal="left" vertical="center" wrapText="1"/>
    </xf>
    <xf numFmtId="0" fontId="125" fillId="0" borderId="0" xfId="15" applyFont="1" applyAlignment="1" applyProtection="1">
      <alignment horizontal="center" vertical="center"/>
    </xf>
    <xf numFmtId="0" fontId="125" fillId="0" borderId="5" xfId="15" applyFont="1" applyBorder="1" applyAlignment="1" applyProtection="1">
      <alignment horizontal="center" vertical="center"/>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xf>
    <xf numFmtId="178" fontId="76" fillId="0" borderId="3" xfId="0" applyNumberFormat="1" applyFont="1" applyFill="1" applyBorder="1" applyAlignment="1" applyProtection="1">
      <alignment horizontal="center" vertical="center" wrapText="1"/>
    </xf>
    <xf numFmtId="17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8" fontId="130" fillId="0" borderId="0" xfId="0" applyNumberFormat="1" applyFont="1" applyAlignment="1" applyProtection="1">
      <alignment horizontal="right" vertical="center"/>
      <protection locked="0"/>
    </xf>
    <xf numFmtId="0" fontId="10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3" borderId="1" xfId="14" applyFont="1" applyFill="1" applyBorder="1" applyAlignment="1">
      <alignment horizontal="left" vertical="center"/>
    </xf>
    <xf numFmtId="0" fontId="115" fillId="0" borderId="1" xfId="14" applyFont="1" applyBorder="1" applyAlignment="1">
      <alignment horizontal="left" vertical="center"/>
    </xf>
    <xf numFmtId="0" fontId="115"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79"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78" fontId="61" fillId="2" borderId="2" xfId="0" applyNumberFormat="1" applyFont="1" applyFill="1" applyBorder="1" applyAlignment="1" applyProtection="1">
      <alignment horizontal="left" vertical="center" wrapText="1"/>
    </xf>
    <xf numFmtId="17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5" borderId="15" xfId="0" applyFont="1" applyFill="1" applyBorder="1" applyAlignment="1" applyProtection="1">
      <alignment horizontal="center" vertical="center"/>
      <protection locked="0"/>
    </xf>
    <xf numFmtId="0" fontId="61" fillId="15" borderId="64" xfId="0" applyFont="1" applyFill="1" applyBorder="1" applyAlignment="1" applyProtection="1">
      <alignment horizontal="center" vertical="center"/>
      <protection locked="0"/>
    </xf>
    <xf numFmtId="0" fontId="61" fillId="15" borderId="16" xfId="0"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188"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93" fontId="36" fillId="21" borderId="1" xfId="0" applyNumberFormat="1" applyFont="1" applyFill="1" applyBorder="1" applyAlignment="1" applyProtection="1">
      <alignment vertical="center" wrapText="1"/>
      <protection locked="0"/>
    </xf>
    <xf numFmtId="192" fontId="36" fillId="22" borderId="1" xfId="0" applyNumberFormat="1" applyFont="1" applyFill="1" applyBorder="1" applyAlignment="1" applyProtection="1">
      <alignment horizontal="center" vertical="center" shrinkToFit="1"/>
      <protection locked="0"/>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220980</xdr:colOff>
      <xdr:row>2</xdr:row>
      <xdr:rowOff>0</xdr:rowOff>
    </xdr:from>
    <xdr:to>
      <xdr:col>20</xdr:col>
      <xdr:colOff>38100</xdr:colOff>
      <xdr:row>5</xdr:row>
      <xdr:rowOff>106680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6560" y="396240"/>
          <a:ext cx="6522720" cy="701040"/>
        </a:xfrm>
        <a:prstGeom prst="rect">
          <a:avLst/>
        </a:prstGeom>
        <a:noFill/>
        <a:ln w="9525">
          <a:noFill/>
        </a:ln>
      </xdr:spPr>
    </xdr:pic>
    <xdr:clientData/>
  </xdr:twoCellAnchor>
  <xdr:twoCellAnchor editAs="oneCell">
    <xdr:from>
      <xdr:col>9</xdr:col>
      <xdr:colOff>243840</xdr:colOff>
      <xdr:row>6</xdr:row>
      <xdr:rowOff>121920</xdr:rowOff>
    </xdr:from>
    <xdr:to>
      <xdr:col>19</xdr:col>
      <xdr:colOff>563880</xdr:colOff>
      <xdr:row>20</xdr:row>
      <xdr:rowOff>30480</xdr:rowOff>
    </xdr:to>
    <xdr:pic>
      <xdr:nvPicPr>
        <xdr:cNvPr id="3" name="图片 2"/>
        <xdr:cNvPicPr>
          <a:picLocks noChangeAspect="1"/>
        </xdr:cNvPicPr>
      </xdr:nvPicPr>
      <xdr:blipFill>
        <a:blip xmlns:r="http://schemas.openxmlformats.org/officeDocument/2006/relationships" r:embed="rId2"/>
        <a:stretch>
          <a:fillRect/>
        </a:stretch>
      </xdr:blipFill>
      <xdr:spPr>
        <a:xfrm>
          <a:off x="6789420" y="1310640"/>
          <a:ext cx="6416040" cy="2682240"/>
        </a:xfrm>
        <a:prstGeom prst="rect">
          <a:avLst/>
        </a:prstGeom>
        <a:noFill/>
        <a:ln w="9525">
          <a:noFill/>
        </a:ln>
      </xdr:spPr>
    </xdr:pic>
    <xdr:clientData/>
  </xdr:twoCellAnchor>
  <xdr:twoCellAnchor editAs="oneCell">
    <xdr:from>
      <xdr:col>9</xdr:col>
      <xdr:colOff>327660</xdr:colOff>
      <xdr:row>21</xdr:row>
      <xdr:rowOff>76200</xdr:rowOff>
    </xdr:from>
    <xdr:to>
      <xdr:col>19</xdr:col>
      <xdr:colOff>381000</xdr:colOff>
      <xdr:row>27</xdr:row>
      <xdr:rowOff>22860</xdr:rowOff>
    </xdr:to>
    <xdr:pic>
      <xdr:nvPicPr>
        <xdr:cNvPr id="4" name="图片 3"/>
        <xdr:cNvPicPr>
          <a:picLocks noChangeAspect="1"/>
        </xdr:cNvPicPr>
      </xdr:nvPicPr>
      <xdr:blipFill>
        <a:blip xmlns:r="http://schemas.openxmlformats.org/officeDocument/2006/relationships" r:embed="rId3"/>
        <a:stretch>
          <a:fillRect/>
        </a:stretch>
      </xdr:blipFill>
      <xdr:spPr>
        <a:xfrm>
          <a:off x="6873240" y="4236720"/>
          <a:ext cx="6149340" cy="1135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0" customWidth="1"/>
    <col min="2" max="2" width="81" style="3211" customWidth="1"/>
    <col min="3" max="16384" width="9" style="3212"/>
  </cols>
  <sheetData>
    <row r="1" spans="1:2" s="3207" customFormat="1" ht="15.75">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 ca="1">'预评函-封皮'!B46</f>
        <v>吴薇（注册号：1419970001)、（注册号：0)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估价对象为北京市房地产，为所有。根据《国有土地使用证》[]，估价对象（分摊）出让国有建设用地使用权面积为3431.42平方米，建筑面积为11398.58平方米。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估价对象为北京市房地产,属开发建设的，该项目尚在开发建设中。根据《国有土地使用证》[]，估价对象（分摊）出让国有建设用地使用权面积为3431.42平方米，规划建筑面积为11398.58平方米。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2022年11月24日</v>
      </c>
    </row>
    <row r="13" spans="1:2" s="3209" customFormat="1">
      <c r="A13" s="3217" t="s">
        <v>13</v>
      </c>
      <c r="B13" s="3218"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30287</v>
      </c>
    </row>
    <row r="21" spans="1:2" s="3209" customFormat="1">
      <c r="A21" s="3217" t="s">
        <v>21</v>
      </c>
      <c r="B21" s="3218">
        <f ca="1">'预评函-2'!D7</f>
        <v>26571</v>
      </c>
    </row>
    <row r="22" spans="1:2" s="3209" customFormat="1">
      <c r="A22" s="3217" t="s">
        <v>22</v>
      </c>
      <c r="B22" s="3218" t="str">
        <f ca="1">'预评函-2'!D6</f>
        <v>叁亿零贰佰捌拾柒万元整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30287</v>
      </c>
    </row>
    <row r="31" spans="1:2" s="3209" customFormat="1">
      <c r="A31" s="3217" t="s">
        <v>31</v>
      </c>
      <c r="B31" s="3218">
        <f ca="1">'预评函-2'!D15</f>
        <v>26571</v>
      </c>
    </row>
    <row r="32" spans="1:2" s="3209" customFormat="1">
      <c r="A32" s="3217" t="s">
        <v>32</v>
      </c>
      <c r="B32" s="3218" t="str">
        <f ca="1">'预评函-2'!D14</f>
        <v>叁亿零贰佰捌拾柒万元整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c r="A42" s="3217" t="s">
        <v>42</v>
      </c>
      <c r="B42" s="3218" t="str">
        <f>'预评函-3'!B2</f>
        <v>建筑面积</v>
      </c>
    </row>
    <row r="43" spans="1:2" s="3209" customFormat="1">
      <c r="A43" s="3217" t="s">
        <v>43</v>
      </c>
      <c r="B43" s="3218">
        <f>'预评函-3'!B4</f>
        <v>11398.58</v>
      </c>
    </row>
    <row r="44" spans="1:2" s="3209" customFormat="1">
      <c r="A44" s="3217" t="s">
        <v>44</v>
      </c>
      <c r="B44" s="3218" t="str">
        <f>'预评函-3'!C2</f>
        <v>(分摊)土地面积</v>
      </c>
    </row>
    <row r="45" spans="1:2" s="3209" customFormat="1">
      <c r="A45" s="3217" t="s">
        <v>45</v>
      </c>
      <c r="B45" s="3218">
        <f>'预评函-3'!C4</f>
        <v>3431.42</v>
      </c>
    </row>
    <row r="46" spans="1:2" s="3209" customFormat="1">
      <c r="A46" s="3217" t="s">
        <v>46</v>
      </c>
      <c r="B46" s="3218" t="str">
        <f>'预评函-3'!D2</f>
        <v>出让国有建设用地使用权价值</v>
      </c>
    </row>
    <row r="47" spans="1:2" s="3209" customFormat="1">
      <c r="A47" s="3217" t="s">
        <v>47</v>
      </c>
      <c r="B47" s="3218">
        <f ca="1">'预评函-3'!D4</f>
        <v>23533</v>
      </c>
    </row>
    <row r="48" spans="1:2" s="3209" customFormat="1">
      <c r="A48" s="3217" t="s">
        <v>48</v>
      </c>
      <c r="B48" s="3218">
        <f ca="1">'预评函-3'!E4</f>
        <v>20646</v>
      </c>
    </row>
    <row r="49" spans="1:2" s="3209" customFormat="1">
      <c r="A49" s="3217" t="s">
        <v>49</v>
      </c>
      <c r="B49" s="3218" t="str">
        <f ca="1">'预评函-3'!D5</f>
        <v>贰亿叁仟伍佰叁拾叁万元整</v>
      </c>
    </row>
    <row r="50" spans="1:2" s="3209" customFormat="1">
      <c r="A50" s="3217" t="s">
        <v>50</v>
      </c>
      <c r="B50" s="3218" t="str">
        <f>'预评函-3'!F2</f>
        <v>在建建筑物价值</v>
      </c>
    </row>
    <row r="51" spans="1:2" s="3209" customFormat="1">
      <c r="A51" s="3217" t="s">
        <v>51</v>
      </c>
      <c r="B51" s="3218">
        <f ca="1">'预评函-3'!F4</f>
        <v>6754</v>
      </c>
    </row>
    <row r="52" spans="1:2" s="3209" customFormat="1">
      <c r="A52" s="3217" t="s">
        <v>52</v>
      </c>
      <c r="B52" s="3218">
        <f ca="1">'预评函-3'!G4</f>
        <v>5925</v>
      </c>
    </row>
    <row r="53" spans="1:2" s="3209" customFormat="1">
      <c r="A53" s="3217" t="s">
        <v>53</v>
      </c>
      <c r="B53" s="3218" t="str">
        <f ca="1">'预评函-3'!F5</f>
        <v>陆仟柒佰伍拾肆万元整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t="str">
        <f>'预评函-4'!A4</f>
        <v>吴薇</v>
      </c>
    </row>
    <row r="71" spans="1:2">
      <c r="A71" s="3217" t="s">
        <v>71</v>
      </c>
      <c r="B71" s="3218">
        <f ca="1">'预评函-4'!B4</f>
        <v>1419970001</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pans="1:23" s="3084" customFormat="1" ht="27">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13" sqref="G13"/>
    </sheetView>
  </sheetViews>
  <sheetFormatPr defaultColWidth="10" defaultRowHeight="12.75"/>
  <cols>
    <col min="1" max="1" width="16.875" style="2563" customWidth="1"/>
    <col min="2" max="2" width="10" style="2563" customWidth="1"/>
    <col min="3" max="3" width="11.5" style="2563" customWidth="1"/>
    <col min="4" max="4" width="10" style="2563" customWidth="1"/>
    <col min="5" max="5" width="12.625" style="2563" customWidth="1"/>
    <col min="6" max="6" width="10" style="2563" customWidth="1"/>
    <col min="7" max="7" width="10.75" style="2563" customWidth="1"/>
    <col min="8" max="8" width="10" style="2563" customWidth="1"/>
    <col min="9" max="9" width="11.125" style="2858" customWidth="1"/>
    <col min="10" max="10" width="10" style="2767" customWidth="1"/>
    <col min="11" max="11" width="10" style="2955" customWidth="1"/>
    <col min="12" max="13" width="10" style="2956" customWidth="1"/>
    <col min="14" max="14" width="10" style="2767" customWidth="1"/>
    <col min="15" max="15" width="10" style="234" customWidth="1"/>
    <col min="16" max="17" width="10" style="2767"/>
    <col min="18" max="18" width="10" style="2767" customWidth="1"/>
    <col min="19" max="30" width="10" style="2767"/>
    <col min="31" max="16384" width="10" style="2563"/>
  </cols>
  <sheetData>
    <row r="1" spans="1:28">
      <c r="A1" s="2957" t="s">
        <v>330</v>
      </c>
      <c r="B1" s="3268" t="str">
        <f>IF(B10="北京市","北京市",C10)&amp;F10&amp;IF(结果表!G1="在建","出让国有建设用地使用权及在建建筑物",IF(结果表!G1="土地","出让国有建设用地使用权",))&amp;B9&amp;"预评估"</f>
        <v>北京市房地产抵押价值预评估</v>
      </c>
      <c r="C1" s="3269"/>
      <c r="D1" s="3269"/>
      <c r="E1" s="3269"/>
      <c r="F1" s="3269"/>
      <c r="G1" s="3269"/>
      <c r="H1" s="3269"/>
      <c r="I1" s="3270"/>
      <c r="J1" s="2510"/>
      <c r="K1" s="3056"/>
      <c r="L1" s="3057"/>
      <c r="M1" s="3057"/>
      <c r="N1" s="2999"/>
      <c r="O1" s="2866"/>
      <c r="P1" s="2999"/>
      <c r="Q1" s="2999"/>
      <c r="R1" s="2999"/>
      <c r="S1" s="2564" t="str">
        <f>IF(B10="北京市","北京市",C10)&amp;F10&amp;IF(结果表!G1="在建","出让国有建设用地使用权及在建建筑物房地产抵押价值",IF(结果表!G1="土地","出让国有建设用地使用权抵押价值",B9))</f>
        <v>北京市房地产抵押价值</v>
      </c>
      <c r="T1" s="2563"/>
      <c r="U1" s="2563"/>
      <c r="V1" s="2563"/>
      <c r="W1" s="2563"/>
      <c r="X1" s="2563"/>
      <c r="Y1" s="2563"/>
      <c r="Z1" s="2563"/>
      <c r="AA1" s="2563"/>
      <c r="AB1" s="2563"/>
    </row>
    <row r="2" spans="1:28">
      <c r="A2" s="2958" t="s">
        <v>331</v>
      </c>
      <c r="B2" s="2959"/>
      <c r="C2" s="2960"/>
      <c r="D2" s="2961"/>
      <c r="E2" s="2962"/>
      <c r="F2" s="2962"/>
      <c r="G2" s="2963"/>
      <c r="H2" s="2963"/>
      <c r="I2" s="2963"/>
      <c r="J2" s="2510"/>
      <c r="K2" s="3056"/>
      <c r="L2" s="3057"/>
      <c r="M2" s="3057"/>
      <c r="N2" s="2999"/>
      <c r="O2" s="2866"/>
      <c r="P2" s="2999"/>
      <c r="Q2" s="2999"/>
      <c r="R2" s="2999"/>
      <c r="S2" s="2564" t="str">
        <f>IF(B10="北京市","北京市",C10)&amp;F10&amp;IF(结果表!G1="在建","出让国有建设用地使用权及在建建筑物房地产",IF(结果表!G1="土地","出让国有建设用地使用权","房地产"))</f>
        <v>北京市房地产</v>
      </c>
      <c r="T2" s="2563"/>
      <c r="U2" s="2563"/>
      <c r="V2" s="2563"/>
      <c r="W2" s="2563"/>
      <c r="X2" s="2563"/>
      <c r="Y2" s="2563"/>
      <c r="Z2" s="2563"/>
      <c r="AA2" s="2563"/>
      <c r="AB2" s="2563"/>
    </row>
    <row r="3" spans="1:28">
      <c r="A3" s="1817" t="s">
        <v>332</v>
      </c>
      <c r="B3" s="2964"/>
      <c r="C3" s="2965" t="s">
        <v>333</v>
      </c>
      <c r="D3" s="2964">
        <v>44889</v>
      </c>
      <c r="E3" s="2963"/>
      <c r="F3" s="2963"/>
      <c r="G3" s="2963"/>
      <c r="H3" s="2963"/>
      <c r="I3" s="2963"/>
      <c r="J3" s="2510"/>
      <c r="K3" s="3056"/>
      <c r="L3" s="3057"/>
      <c r="M3" s="3057"/>
      <c r="N3" s="2999"/>
      <c r="O3" s="2866"/>
      <c r="P3" s="2999"/>
      <c r="Q3" s="2999"/>
      <c r="R3" s="2999"/>
      <c r="S3" s="2564"/>
      <c r="T3" s="2563"/>
      <c r="U3" s="2563"/>
      <c r="V3" s="2563"/>
      <c r="W3" s="2563"/>
      <c r="X3" s="2563"/>
      <c r="Y3" s="2563"/>
      <c r="Z3" s="2563"/>
      <c r="AA3" s="2563"/>
      <c r="AB3" s="2563"/>
    </row>
    <row r="4" spans="1:28">
      <c r="A4" s="1839" t="s">
        <v>334</v>
      </c>
      <c r="B4" s="2966" t="s">
        <v>188</v>
      </c>
      <c r="C4" s="2967">
        <f ca="1">SUMIF(注册房地产估价师,B4,估价师及机构信息!B3:B24)</f>
        <v>1419970001</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4"/>
      <c r="K4" s="3058" t="str">
        <f ca="1">CONCATENATE(B4,"（注册号：",C4,")、",D4,"（注册号：",E4,")")</f>
        <v>吴薇（注册号：1419970001)、（注册号：0)</v>
      </c>
      <c r="L4" s="3057"/>
      <c r="M4" s="3057"/>
      <c r="N4" s="2999"/>
      <c r="O4" s="2866"/>
      <c r="P4" s="2999"/>
      <c r="Q4" s="2999"/>
      <c r="R4" s="2999"/>
      <c r="S4" s="2564"/>
      <c r="T4" s="2563"/>
      <c r="U4" s="2563"/>
      <c r="V4" s="2563"/>
      <c r="W4" s="2563"/>
      <c r="X4" s="2563"/>
      <c r="Y4" s="2563"/>
      <c r="Z4" s="2563"/>
      <c r="AA4" s="2563"/>
      <c r="AB4" s="2563"/>
    </row>
    <row r="5" spans="1:28">
      <c r="A5" s="2969" t="s">
        <v>335</v>
      </c>
      <c r="B5" s="2970"/>
      <c r="C5" s="2971"/>
      <c r="D5" s="2972"/>
      <c r="E5" s="2669"/>
      <c r="F5" s="2669"/>
      <c r="G5" s="2669"/>
      <c r="H5" s="2669"/>
      <c r="I5" s="2669"/>
      <c r="J5" s="2544"/>
      <c r="K5" s="3058" t="str">
        <f>IF(F4="——","",IF(H4="——",F4&amp;"（注册号："&amp;G4&amp;")",CONCATENATE(F4,"（注册号：",G4,")、",H4,"（注册号：",I4,")")))</f>
        <v>（注册号：0)、（注册号：0)</v>
      </c>
      <c r="L5" s="3057"/>
      <c r="M5" s="3057"/>
      <c r="N5" s="2999"/>
      <c r="O5" s="2866"/>
      <c r="P5" s="2999"/>
      <c r="Q5" s="2999"/>
      <c r="R5" s="2999"/>
      <c r="S5" s="2563"/>
      <c r="T5" s="2563"/>
      <c r="U5" s="2563"/>
      <c r="V5" s="2563"/>
      <c r="W5" s="2563"/>
      <c r="X5" s="2563"/>
      <c r="Y5" s="2563"/>
      <c r="Z5" s="2563"/>
      <c r="AA5" s="2563"/>
      <c r="AB5" s="2563"/>
    </row>
    <row r="6" spans="1:28">
      <c r="A6" s="2973" t="s">
        <v>336</v>
      </c>
      <c r="B6" s="2974"/>
      <c r="C6" s="2975"/>
      <c r="D6" s="2976"/>
      <c r="E6" s="2962"/>
      <c r="F6" s="2669"/>
      <c r="G6" s="2669"/>
      <c r="H6" s="2669"/>
      <c r="I6" s="2669"/>
      <c r="J6" s="2544"/>
      <c r="K6" s="3059" t="str">
        <f>IF(COUNTIF(B6,"*上海银行*"),"上海银行","")</f>
        <v/>
      </c>
      <c r="L6" s="3060"/>
      <c r="M6" s="3060"/>
      <c r="N6" s="2544"/>
      <c r="O6" s="3061"/>
      <c r="P6" s="2544"/>
      <c r="Q6" s="2544"/>
      <c r="R6" s="2544"/>
    </row>
    <row r="7" spans="1:28">
      <c r="A7" s="2973" t="s">
        <v>337</v>
      </c>
      <c r="B7" s="2977"/>
      <c r="C7" s="2975"/>
      <c r="D7" s="2976"/>
      <c r="E7" s="2962"/>
      <c r="F7" s="2669"/>
      <c r="G7" s="2669"/>
      <c r="H7" s="2669"/>
      <c r="I7" s="2669"/>
      <c r="J7" s="2544"/>
      <c r="K7" s="3062"/>
      <c r="L7" s="3060"/>
      <c r="M7" s="3060"/>
      <c r="N7" s="2544"/>
      <c r="O7" s="3061"/>
      <c r="P7" s="2544"/>
      <c r="Q7" s="2544"/>
      <c r="R7" s="2544"/>
    </row>
    <row r="8" spans="1:28">
      <c r="A8" s="2978" t="s">
        <v>338</v>
      </c>
      <c r="B8" s="2979" t="s">
        <v>317</v>
      </c>
      <c r="C8" s="2980"/>
      <c r="D8" s="3294" t="s">
        <v>339</v>
      </c>
      <c r="E8" s="2981" t="s">
        <v>322</v>
      </c>
      <c r="F8" s="2982"/>
      <c r="G8" s="2963"/>
      <c r="H8" s="2963"/>
      <c r="I8" s="2963"/>
      <c r="J8" s="2544"/>
      <c r="K8" s="3063"/>
      <c r="L8" s="3060"/>
      <c r="M8" s="3060"/>
      <c r="N8" s="2544"/>
      <c r="O8" s="3061"/>
      <c r="P8" s="2544"/>
      <c r="Q8" s="2544"/>
      <c r="R8" s="2544"/>
    </row>
    <row r="9" spans="1:28">
      <c r="A9" s="2983" t="s">
        <v>340</v>
      </c>
      <c r="B9" s="2984" t="s">
        <v>322</v>
      </c>
      <c r="C9" s="2985"/>
      <c r="D9" s="3295"/>
      <c r="E9" s="2984"/>
      <c r="F9" s="2986"/>
      <c r="G9" s="2987"/>
      <c r="H9" s="2987"/>
      <c r="I9" s="2987"/>
      <c r="J9" s="2544"/>
      <c r="K9" s="3062"/>
      <c r="L9" s="3060"/>
      <c r="M9" s="3060"/>
      <c r="N9" s="2544"/>
      <c r="O9" s="3061"/>
      <c r="P9" s="2544"/>
      <c r="Q9" s="2544"/>
      <c r="R9" s="2544"/>
    </row>
    <row r="10" spans="1:28">
      <c r="A10" s="2988" t="s">
        <v>341</v>
      </c>
      <c r="B10" s="2989" t="s">
        <v>342</v>
      </c>
      <c r="C10" s="2990"/>
      <c r="D10" s="2972"/>
      <c r="E10" s="2991" t="s">
        <v>343</v>
      </c>
      <c r="F10" s="2992"/>
      <c r="G10" s="2993"/>
      <c r="H10" s="2994"/>
      <c r="I10" s="3064"/>
      <c r="J10" s="2544"/>
      <c r="K10" s="3062"/>
      <c r="L10" s="3060"/>
      <c r="M10" s="3060"/>
      <c r="N10" s="2544"/>
      <c r="O10" s="3061"/>
      <c r="P10" s="2544"/>
      <c r="Q10" s="2544"/>
      <c r="R10" s="2544"/>
    </row>
    <row r="11" spans="1:28">
      <c r="A11" s="2995" t="s">
        <v>344</v>
      </c>
      <c r="B11" s="2996" t="s">
        <v>345</v>
      </c>
      <c r="C11" s="2997"/>
      <c r="D11" s="2998"/>
      <c r="E11" s="2999"/>
      <c r="F11" s="2999"/>
      <c r="G11" s="2999"/>
      <c r="H11" s="2999"/>
      <c r="I11" s="2999"/>
      <c r="J11" s="2544"/>
      <c r="K11" s="3062"/>
      <c r="L11" s="3060"/>
      <c r="M11" s="3060"/>
      <c r="N11" s="2544"/>
      <c r="O11" s="3061"/>
      <c r="P11" s="2544"/>
      <c r="Q11" s="2544"/>
      <c r="R11" s="2544"/>
    </row>
    <row r="12" spans="1:28">
      <c r="A12" s="3000" t="s">
        <v>346</v>
      </c>
      <c r="B12" s="2996" t="s">
        <v>347</v>
      </c>
      <c r="C12" s="1858" t="s">
        <v>348</v>
      </c>
      <c r="D12" s="3001" t="s">
        <v>349</v>
      </c>
      <c r="E12" s="3001" t="s">
        <v>350</v>
      </c>
      <c r="F12" s="3001" t="s">
        <v>351</v>
      </c>
      <c r="G12" s="3001" t="s">
        <v>352</v>
      </c>
      <c r="H12" s="3001" t="s">
        <v>353</v>
      </c>
      <c r="I12" s="3001" t="s">
        <v>354</v>
      </c>
      <c r="J12" s="2544"/>
      <c r="K12" s="3062"/>
      <c r="L12" s="3060"/>
      <c r="M12" s="3060"/>
      <c r="N12" s="2544"/>
      <c r="O12" s="3061"/>
      <c r="P12" s="2544"/>
      <c r="Q12" s="2544"/>
      <c r="R12" s="2544"/>
    </row>
    <row r="13" spans="1:28">
      <c r="A13" s="1844"/>
      <c r="B13" s="3002"/>
      <c r="C13" s="3003" t="s">
        <v>355</v>
      </c>
      <c r="D13" s="3004">
        <v>44985</v>
      </c>
      <c r="E13" s="3004">
        <v>49552</v>
      </c>
      <c r="F13" s="3004">
        <v>56957</v>
      </c>
      <c r="G13" s="3577"/>
      <c r="H13" s="3004"/>
      <c r="I13" s="3004"/>
      <c r="J13" s="2544"/>
      <c r="K13" s="3062"/>
      <c r="L13" s="3060"/>
      <c r="M13" s="3060"/>
      <c r="N13" s="2544"/>
      <c r="O13" s="3061"/>
      <c r="P13" s="2544"/>
      <c r="Q13" s="2544"/>
      <c r="R13" s="2544"/>
    </row>
    <row r="14" spans="1:28">
      <c r="A14" s="1844"/>
      <c r="B14" s="3002"/>
      <c r="C14" s="3003" t="s">
        <v>356</v>
      </c>
      <c r="D14" s="3005"/>
      <c r="E14" s="3005"/>
      <c r="F14" s="3005">
        <v>50</v>
      </c>
      <c r="G14" s="3005"/>
      <c r="H14" s="3005"/>
      <c r="I14" s="3005"/>
      <c r="J14" s="2544"/>
      <c r="K14" s="3065"/>
      <c r="L14" s="3060"/>
      <c r="M14" s="3060"/>
      <c r="N14" s="2544"/>
      <c r="O14" s="3061"/>
      <c r="P14" s="2544"/>
      <c r="Q14" s="2544"/>
      <c r="R14" s="2544"/>
    </row>
    <row r="15" spans="1:28">
      <c r="A15" s="1851"/>
      <c r="B15" s="3006"/>
      <c r="C15" s="3007" t="s">
        <v>357</v>
      </c>
      <c r="D15" s="3008">
        <f>IF(B12="出让",IF(D13="","",ROUNDDOWN(MIN((D13-$D$3)/365,D14),2)),D14)</f>
        <v>0.26</v>
      </c>
      <c r="E15" s="3008">
        <f>IF(B12="出让",IF(E13="","",ROUNDDOWN(MIN((E13-$D$3)/365,E14),2)),E14)</f>
        <v>12.77</v>
      </c>
      <c r="F15" s="3008">
        <f>IF(B12="出让",IF(F13="","",ROUNDDOWN(MIN((F13-$D$3)/365,F14),2)),F14)</f>
        <v>33.06</v>
      </c>
      <c r="G15" s="3008" t="str">
        <f>IF(B12="出让",IF(G13="","",ROUNDDOWN(MIN((G13-$D$3)/365,G14),2)),G14)</f>
        <v/>
      </c>
      <c r="H15" s="3008" t="str">
        <f>IF(B12="出让",IF(H13="","",ROUNDDOWN(MIN((H13-$D$3)/365,H14),2)),H14)</f>
        <v/>
      </c>
      <c r="I15" s="3008" t="str">
        <f>IF(B12="出让",IF(I13="","",ROUNDDOWN(MIN((I13-$D$3)/365,I14),2)),I14)</f>
        <v/>
      </c>
      <c r="J15" s="2544"/>
      <c r="K15" s="3066"/>
      <c r="L15" s="3067"/>
      <c r="M15" s="3067"/>
      <c r="N15" s="2545"/>
      <c r="O15" s="3067"/>
      <c r="P15" s="2545"/>
      <c r="Q15" s="2544"/>
      <c r="R15" s="2544"/>
    </row>
    <row r="16" spans="1:28">
      <c r="A16" s="2991" t="s">
        <v>358</v>
      </c>
      <c r="B16" s="3271"/>
      <c r="C16" s="3272"/>
      <c r="D16" s="3273"/>
      <c r="E16" s="3009" t="s">
        <v>359</v>
      </c>
      <c r="F16" s="3274"/>
      <c r="G16" s="3275"/>
      <c r="H16" s="3275"/>
      <c r="I16" s="3276"/>
      <c r="J16" s="2544"/>
      <c r="K16" s="3066"/>
      <c r="L16" s="3067"/>
      <c r="M16" s="3067"/>
      <c r="N16" s="2545"/>
      <c r="O16" s="3067"/>
      <c r="P16" s="2545"/>
      <c r="Q16" s="2544"/>
      <c r="R16" s="2544"/>
    </row>
    <row r="17" spans="1:28">
      <c r="A17" s="1828" t="s">
        <v>360</v>
      </c>
      <c r="B17" s="1817" t="s">
        <v>361</v>
      </c>
      <c r="C17" s="296">
        <f>'数据-汇总表'!E3</f>
        <v>11398.58</v>
      </c>
      <c r="D17" s="1871" t="s">
        <v>362</v>
      </c>
      <c r="E17" s="3277" t="s">
        <v>363</v>
      </c>
      <c r="F17" s="3278"/>
      <c r="G17" s="3278"/>
      <c r="H17" s="3278"/>
      <c r="I17" s="3279"/>
      <c r="J17" s="2544"/>
      <c r="K17" s="3068"/>
      <c r="L17" s="3067"/>
      <c r="M17" s="3067"/>
      <c r="N17" s="2545"/>
      <c r="O17" s="3067"/>
      <c r="P17" s="2545"/>
      <c r="Q17" s="2544"/>
      <c r="R17" s="2544"/>
      <c r="S17" s="2544"/>
      <c r="T17" s="2544"/>
      <c r="U17" s="2544"/>
      <c r="V17" s="2544"/>
    </row>
    <row r="18" spans="1:28" ht="24">
      <c r="A18" s="3010" t="s">
        <v>364</v>
      </c>
      <c r="B18" s="1839" t="s">
        <v>365</v>
      </c>
      <c r="C18" s="3011">
        <f>'数据-汇总表'!D3</f>
        <v>3431.42</v>
      </c>
      <c r="D18" s="1864" t="s">
        <v>362</v>
      </c>
      <c r="E18" s="3280" t="s">
        <v>366</v>
      </c>
      <c r="F18" s="3281"/>
      <c r="G18" s="3281"/>
      <c r="H18" s="3281"/>
      <c r="I18" s="3282"/>
      <c r="J18" s="2544"/>
      <c r="K18" s="3068"/>
      <c r="L18" s="3067"/>
      <c r="M18" s="3067"/>
      <c r="N18" s="2545"/>
      <c r="O18" s="3067"/>
      <c r="P18" s="2545"/>
      <c r="Q18" s="2544"/>
      <c r="R18" s="2544"/>
      <c r="S18" s="2544"/>
      <c r="T18" s="2544"/>
      <c r="U18" s="2544"/>
      <c r="V18" s="2544"/>
    </row>
    <row r="19" spans="1:28" ht="36">
      <c r="A19" s="1881" t="s">
        <v>367</v>
      </c>
      <c r="B19" s="1821" t="s">
        <v>368</v>
      </c>
      <c r="C19" s="3012"/>
      <c r="D19" s="3013" t="s">
        <v>369</v>
      </c>
      <c r="E19" s="3014"/>
      <c r="F19" s="3015" t="str">
        <f>IF(AND(C19="是",E19="否"),"是否提供他项权证或相关说明","")</f>
        <v/>
      </c>
      <c r="G19" s="3016"/>
      <c r="H19" s="2669"/>
      <c r="I19" s="2669"/>
      <c r="J19" s="2544"/>
      <c r="K19" s="3062"/>
      <c r="L19" s="3060"/>
      <c r="M19" s="3060"/>
      <c r="N19" s="2545"/>
      <c r="O19" s="3067"/>
      <c r="P19" s="2545"/>
      <c r="Q19" s="2544"/>
      <c r="R19" s="2544"/>
      <c r="S19" s="2544"/>
      <c r="T19" s="2544"/>
      <c r="U19" s="2544"/>
      <c r="V19" s="2544"/>
    </row>
    <row r="20" spans="1:28">
      <c r="A20" s="3017" t="s">
        <v>370</v>
      </c>
      <c r="B20" s="3283" t="s">
        <v>371</v>
      </c>
      <c r="C20" s="3284"/>
      <c r="D20" s="3285" t="s">
        <v>372</v>
      </c>
      <c r="E20" s="3286"/>
      <c r="F20" s="3018" t="s">
        <v>373</v>
      </c>
      <c r="G20" s="2669"/>
      <c r="H20" s="2669"/>
      <c r="I20" s="2669"/>
      <c r="J20" s="2544"/>
      <c r="K20" s="3296"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63"/>
      <c r="X20" s="2563"/>
      <c r="Y20" s="2563"/>
      <c r="Z20" s="2563"/>
      <c r="AA20" s="2563"/>
      <c r="AB20" s="2563"/>
    </row>
    <row r="21" spans="1:28" ht="24">
      <c r="A21" s="3017"/>
      <c r="B21" s="3019" t="s">
        <v>375</v>
      </c>
      <c r="C21" s="3020" t="s">
        <v>376</v>
      </c>
      <c r="D21" s="3021" t="s">
        <v>377</v>
      </c>
      <c r="E21" s="3022" t="s">
        <v>376</v>
      </c>
      <c r="F21" s="3023"/>
      <c r="G21" s="2669"/>
      <c r="H21" s="2669"/>
      <c r="I21" s="2669"/>
      <c r="J21" s="2544"/>
      <c r="K21" s="3296"/>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63"/>
      <c r="X21" s="2563"/>
      <c r="Y21" s="2563"/>
      <c r="Z21" s="2563"/>
      <c r="AA21" s="2563"/>
      <c r="AB21" s="2563"/>
    </row>
    <row r="22" spans="1:28" ht="24">
      <c r="A22" s="3017"/>
      <c r="B22" s="3024" t="s">
        <v>378</v>
      </c>
      <c r="C22" s="3020" t="s">
        <v>379</v>
      </c>
      <c r="D22" s="2963"/>
      <c r="E22" s="2963"/>
      <c r="F22" s="2963"/>
      <c r="G22" s="2669"/>
      <c r="H22" s="2669"/>
      <c r="I22" s="2669"/>
      <c r="J22" s="2544"/>
      <c r="K22" s="3296"/>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63"/>
      <c r="X22" s="2563"/>
      <c r="Y22" s="2563"/>
      <c r="Z22" s="2563"/>
      <c r="AA22" s="2563"/>
      <c r="AB22" s="2563"/>
    </row>
    <row r="23" spans="1:28">
      <c r="A23" s="3025" t="s">
        <v>380</v>
      </c>
      <c r="B23" s="2535" t="s">
        <v>381</v>
      </c>
      <c r="C23" s="3026"/>
      <c r="D23" s="3027" t="s">
        <v>381</v>
      </c>
      <c r="E23" s="3028"/>
      <c r="F23" s="2963"/>
      <c r="G23" s="2669"/>
      <c r="H23" s="2669"/>
      <c r="I23" s="2669"/>
      <c r="J23" s="2544"/>
      <c r="K23" s="3071"/>
      <c r="L23" s="1979"/>
      <c r="M23" s="3060"/>
      <c r="N23" s="2545"/>
      <c r="O23" s="3067"/>
      <c r="P23" s="2545"/>
      <c r="Q23" s="2544"/>
      <c r="R23" s="2544"/>
      <c r="S23" s="2544"/>
      <c r="T23" s="2544"/>
      <c r="U23" s="2544"/>
      <c r="V23" s="2544"/>
    </row>
    <row r="24" spans="1:28">
      <c r="A24" s="3025"/>
      <c r="B24" s="2535" t="s">
        <v>382</v>
      </c>
      <c r="C24" s="3029"/>
      <c r="D24" s="3025" t="s">
        <v>382</v>
      </c>
      <c r="E24" s="3030"/>
      <c r="F24" s="2963"/>
      <c r="G24" s="2669"/>
      <c r="H24" s="2669"/>
      <c r="I24" s="2669"/>
      <c r="J24" s="2544"/>
      <c r="K24" s="3071"/>
      <c r="L24" s="1979"/>
      <c r="M24" s="3060"/>
      <c r="N24" s="2545"/>
      <c r="O24" s="3067"/>
      <c r="P24" s="2545"/>
      <c r="Q24" s="2544"/>
      <c r="R24" s="2544"/>
      <c r="S24" s="2544"/>
      <c r="T24" s="2544"/>
      <c r="U24" s="2544"/>
      <c r="V24" s="2544"/>
    </row>
    <row r="25" spans="1:28">
      <c r="A25" s="3025"/>
      <c r="B25" s="2535" t="s">
        <v>383</v>
      </c>
      <c r="C25" s="3029"/>
      <c r="D25" s="3025" t="s">
        <v>383</v>
      </c>
      <c r="E25" s="3030"/>
      <c r="F25" s="2963"/>
      <c r="G25" s="2669"/>
      <c r="H25" s="2669"/>
      <c r="I25" s="2669"/>
      <c r="J25" s="2544"/>
      <c r="K25" s="3062"/>
      <c r="L25" s="3060"/>
      <c r="M25" s="3060"/>
      <c r="N25" s="2545"/>
      <c r="O25" s="3067"/>
      <c r="P25" s="2545"/>
      <c r="Q25" s="2544"/>
      <c r="R25" s="2544"/>
      <c r="S25" s="2544"/>
      <c r="T25" s="2544"/>
      <c r="U25" s="2544"/>
      <c r="V25" s="2544"/>
    </row>
    <row r="26" spans="1:28">
      <c r="A26" s="3031"/>
      <c r="B26" s="3032" t="s">
        <v>384</v>
      </c>
      <c r="C26" s="3033"/>
      <c r="D26" s="3031" t="s">
        <v>384</v>
      </c>
      <c r="E26" s="3034"/>
      <c r="F26" s="2987"/>
      <c r="G26" s="2987"/>
      <c r="H26" s="2987"/>
      <c r="I26" s="2987"/>
      <c r="J26" s="2544"/>
      <c r="K26" s="3062"/>
      <c r="L26" s="3060"/>
      <c r="M26" s="3060"/>
      <c r="N26" s="2545"/>
      <c r="O26" s="3067"/>
      <c r="P26" s="2545"/>
      <c r="Q26" s="2544"/>
      <c r="R26" s="2544"/>
      <c r="S26" s="2544"/>
      <c r="T26" s="2544"/>
      <c r="U26" s="2544"/>
      <c r="V26" s="2544"/>
    </row>
    <row r="27" spans="1:28">
      <c r="A27" s="3290" t="s">
        <v>385</v>
      </c>
      <c r="B27" s="1851" t="s">
        <v>386</v>
      </c>
      <c r="C27" s="3035"/>
      <c r="D27" s="3036"/>
      <c r="E27" s="2669"/>
      <c r="F27" s="2669"/>
      <c r="G27" s="2669"/>
      <c r="H27" s="2669"/>
      <c r="I27" s="2669"/>
      <c r="J27" s="2544"/>
      <c r="K27" s="3066"/>
      <c r="L27" s="3067"/>
      <c r="M27" s="3067"/>
      <c r="N27" s="2545"/>
      <c r="O27" s="3067"/>
      <c r="P27" s="2545"/>
      <c r="Q27" s="2544"/>
      <c r="R27" s="2544"/>
      <c r="S27" s="2544"/>
      <c r="T27" s="2544"/>
      <c r="U27" s="2544"/>
      <c r="V27" s="2544"/>
    </row>
    <row r="28" spans="1:28">
      <c r="A28" s="3290"/>
      <c r="B28" s="1817" t="s">
        <v>387</v>
      </c>
      <c r="C28" s="3037"/>
      <c r="D28" s="3038"/>
      <c r="E28" s="2669"/>
      <c r="F28" s="2669"/>
      <c r="G28" s="2669"/>
      <c r="H28" s="2669"/>
      <c r="I28" s="2669"/>
      <c r="J28" s="2544"/>
      <c r="K28" s="3062"/>
      <c r="L28" s="3060"/>
      <c r="M28" s="3060"/>
      <c r="N28" s="2544"/>
      <c r="O28" s="3061"/>
      <c r="P28" s="2544"/>
      <c r="Q28" s="2544"/>
      <c r="R28" s="2544"/>
      <c r="S28" s="2544"/>
      <c r="T28" s="2544"/>
      <c r="U28" s="2544"/>
      <c r="V28" s="2544"/>
    </row>
    <row r="29" spans="1:28">
      <c r="A29" s="3290"/>
      <c r="B29" s="1817" t="s">
        <v>388</v>
      </c>
      <c r="C29" s="3039"/>
      <c r="D29" s="3040"/>
      <c r="E29" s="2669"/>
      <c r="F29" s="2669"/>
      <c r="G29" s="2669"/>
      <c r="H29" s="2669"/>
      <c r="I29" s="2669"/>
      <c r="J29" s="2544"/>
      <c r="K29" s="3062"/>
      <c r="L29" s="3060"/>
      <c r="M29" s="3060"/>
      <c r="N29" s="2544"/>
      <c r="O29" s="3061"/>
      <c r="P29" s="2544"/>
      <c r="Q29" s="2544"/>
      <c r="R29" s="2544"/>
      <c r="S29" s="2544"/>
      <c r="T29" s="2544"/>
      <c r="U29" s="2544"/>
      <c r="V29" s="2544"/>
    </row>
    <row r="30" spans="1:28">
      <c r="A30" s="3291"/>
      <c r="B30" s="1817" t="s">
        <v>389</v>
      </c>
      <c r="C30" s="3287"/>
      <c r="D30" s="3288"/>
      <c r="E30" s="2669"/>
      <c r="F30" s="2669"/>
      <c r="G30" s="2669"/>
      <c r="H30" s="2669"/>
      <c r="I30" s="2669"/>
      <c r="J30" s="2544"/>
      <c r="K30" s="3062"/>
      <c r="L30" s="3060"/>
      <c r="M30" s="3060"/>
      <c r="N30" s="2544"/>
      <c r="O30" s="3061"/>
      <c r="P30" s="2544"/>
      <c r="Q30" s="2544"/>
      <c r="R30" s="2544"/>
      <c r="S30" s="2544"/>
      <c r="T30" s="2544"/>
      <c r="U30" s="2544"/>
      <c r="V30" s="2544"/>
    </row>
    <row r="31" spans="1:28">
      <c r="A31" s="3292" t="s">
        <v>390</v>
      </c>
      <c r="B31" s="3041"/>
      <c r="C31" s="1970" t="str">
        <f>IF(B31="现房","成新及维护状况正常否",IF(B31="在建","工程状态是否正常",IF(B31="土地","是否闲置","-")))</f>
        <v>-</v>
      </c>
      <c r="D31" s="2068"/>
      <c r="E31" s="3042"/>
      <c r="F31" s="2669"/>
      <c r="G31" s="2669"/>
      <c r="H31" s="2669"/>
      <c r="I31" s="2669"/>
      <c r="J31" s="2544"/>
      <c r="K31" s="3059"/>
      <c r="L31" s="3060"/>
      <c r="M31" s="3060"/>
      <c r="N31" s="2544"/>
      <c r="O31" s="3061"/>
      <c r="P31" s="2544"/>
      <c r="Q31" s="2544"/>
      <c r="R31" s="2544"/>
      <c r="S31" s="2544"/>
      <c r="T31" s="2544"/>
      <c r="U31" s="2544"/>
      <c r="V31" s="2544"/>
    </row>
    <row r="32" spans="1:28">
      <c r="A32" s="3293"/>
      <c r="B32" s="3041"/>
      <c r="C32" s="1970" t="str">
        <f>IF(B32="现房","成新及维护状况是否正常",IF(B32="在建","工程状态是否正常",IF(B32="土地","是否闲置","-")))</f>
        <v>-</v>
      </c>
      <c r="D32" s="2068"/>
      <c r="E32" s="3042"/>
      <c r="F32" s="2669"/>
      <c r="G32" s="2669"/>
      <c r="H32" s="2669"/>
      <c r="I32" s="2669"/>
      <c r="J32" s="2544"/>
      <c r="K32" s="3062"/>
      <c r="L32" s="3060"/>
      <c r="M32" s="3060"/>
      <c r="N32" s="2544"/>
      <c r="O32" s="3061"/>
      <c r="P32" s="2544"/>
      <c r="Q32" s="2544"/>
      <c r="R32" s="2544"/>
      <c r="S32" s="2544"/>
      <c r="T32" s="2544"/>
      <c r="U32" s="2544"/>
      <c r="V32" s="2544"/>
    </row>
    <row r="33" spans="1:30">
      <c r="A33" s="3293"/>
      <c r="B33" s="3043"/>
      <c r="C33" s="2296" t="str">
        <f>IF(B33="现房","成新及维护状况是否正常",IF(B33="在建","工程状态是否正常",IF(B33="土地","是否闲置","-")))</f>
        <v>-</v>
      </c>
      <c r="D33" s="1826"/>
      <c r="E33" s="3044"/>
      <c r="F33" s="2669"/>
      <c r="G33" s="2669"/>
      <c r="H33" s="2669"/>
      <c r="I33" s="2669"/>
      <c r="J33" s="2544"/>
      <c r="K33" s="3062"/>
      <c r="L33" s="3060"/>
      <c r="M33" s="3060"/>
      <c r="N33" s="2544"/>
      <c r="O33" s="3061"/>
      <c r="P33" s="2544"/>
      <c r="Q33" s="2544"/>
      <c r="R33" s="2544"/>
      <c r="S33" s="2544"/>
      <c r="T33" s="2544"/>
      <c r="U33" s="2544"/>
      <c r="V33" s="2544"/>
    </row>
    <row r="34" spans="1:30">
      <c r="A34" s="1817" t="s">
        <v>391</v>
      </c>
      <c r="B34" s="620"/>
      <c r="C34" s="620"/>
      <c r="D34" s="620"/>
      <c r="E34" s="620"/>
      <c r="F34" s="620"/>
      <c r="G34" s="620"/>
      <c r="H34" s="620"/>
      <c r="I34" s="2669"/>
      <c r="J34" s="2544"/>
      <c r="K34" s="296">
        <f>COUNTIF(B34:H34,"——")</f>
        <v>0</v>
      </c>
      <c r="L34" s="1858" t="s">
        <v>392</v>
      </c>
      <c r="M34" s="1858" t="s">
        <v>393</v>
      </c>
      <c r="N34" s="1858" t="s">
        <v>394</v>
      </c>
      <c r="O34" s="1858" t="s">
        <v>395</v>
      </c>
      <c r="P34" s="1858" t="s">
        <v>396</v>
      </c>
      <c r="Q34" s="1858" t="s">
        <v>397</v>
      </c>
      <c r="R34" s="1858" t="s">
        <v>398</v>
      </c>
      <c r="S34" s="3297" t="s">
        <v>399</v>
      </c>
      <c r="T34" s="3081" t="str">
        <f>NUMBERSTRING(7-K34,1)&amp;"通"</f>
        <v>七通</v>
      </c>
      <c r="U34" s="2544"/>
      <c r="V34" s="2544"/>
    </row>
    <row r="35" spans="1:30">
      <c r="A35" s="3045"/>
      <c r="B35" s="3289" t="s">
        <v>400</v>
      </c>
      <c r="C35" s="3289"/>
      <c r="D35" s="3289"/>
      <c r="E35" s="3289"/>
      <c r="F35" s="354">
        <f>C10</f>
        <v>0</v>
      </c>
      <c r="G35" s="2669"/>
      <c r="H35" s="2669"/>
      <c r="I35" s="2669"/>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97"/>
      <c r="T35" s="1860" t="str">
        <f>IF(T34="一通",L35,IF(T34="二通",M35,IF(T34="三通",N35,IF(T34="四通",O35,IF(T34="五通",P35,IF(T34="六通",Q35,R35))))))</f>
        <v>、、、、、、</v>
      </c>
      <c r="U35" s="2544"/>
      <c r="V35" s="2544"/>
    </row>
    <row r="36" spans="1:30">
      <c r="A36" s="3046"/>
      <c r="B36" s="354" t="s">
        <v>350</v>
      </c>
      <c r="C36" s="354" t="s">
        <v>351</v>
      </c>
      <c r="D36" s="354" t="s">
        <v>349</v>
      </c>
      <c r="E36" s="354" t="s">
        <v>354</v>
      </c>
      <c r="F36" s="3047"/>
      <c r="G36" s="2669"/>
      <c r="H36" s="2669"/>
      <c r="I36" s="2669"/>
      <c r="J36" s="2544"/>
      <c r="K36" s="3062"/>
      <c r="L36" s="3060"/>
      <c r="M36" s="3060"/>
      <c r="N36" s="2544"/>
      <c r="O36" s="3061"/>
      <c r="P36" s="2544"/>
      <c r="Q36" s="2544"/>
      <c r="R36" s="2544"/>
      <c r="S36" s="2544"/>
      <c r="T36" s="2544"/>
      <c r="U36" s="2544"/>
      <c r="V36" s="2544"/>
    </row>
    <row r="37" spans="1:30">
      <c r="A37" s="3048" t="s">
        <v>401</v>
      </c>
      <c r="B37" s="3049"/>
      <c r="C37" s="3049"/>
      <c r="D37" s="3049"/>
      <c r="E37" s="3049"/>
      <c r="F37" s="3047"/>
      <c r="G37" s="2669"/>
      <c r="H37" s="2669"/>
      <c r="I37" s="2669"/>
      <c r="J37" s="2544"/>
      <c r="K37" s="3062"/>
      <c r="L37" s="3060"/>
      <c r="M37" s="3060"/>
      <c r="N37" s="2544"/>
      <c r="O37" s="3061"/>
      <c r="P37" s="2544"/>
      <c r="Q37" s="2544"/>
      <c r="R37" s="2544"/>
      <c r="S37" s="2544"/>
      <c r="T37" s="2544"/>
      <c r="U37" s="2544"/>
      <c r="V37" s="2544"/>
    </row>
    <row r="38" spans="1:30">
      <c r="A38" s="3050" t="s">
        <v>402</v>
      </c>
      <c r="B38" s="3051"/>
      <c r="C38" s="3051"/>
      <c r="D38" s="3051"/>
      <c r="E38" s="3051"/>
      <c r="F38" s="3052"/>
      <c r="G38" s="2987"/>
      <c r="H38" s="2987"/>
      <c r="I38" s="2987"/>
      <c r="J38" s="2544"/>
      <c r="K38" s="3062"/>
      <c r="L38" s="3060"/>
      <c r="M38" s="3060"/>
      <c r="N38" s="2544"/>
      <c r="O38" s="3061"/>
      <c r="P38" s="2544"/>
      <c r="Q38" s="2544"/>
      <c r="R38" s="2544"/>
      <c r="S38" s="2544"/>
      <c r="T38" s="2544"/>
      <c r="U38" s="2544"/>
      <c r="V38" s="2544"/>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6"/>
      <c r="J40" s="2545"/>
      <c r="K40" s="3059"/>
      <c r="L40" s="3067"/>
      <c r="M40" s="3067"/>
      <c r="N40" s="2545"/>
      <c r="O40" s="3067"/>
      <c r="P40" s="2544"/>
      <c r="Q40" s="2544"/>
      <c r="R40" s="2544"/>
      <c r="S40" s="2544"/>
      <c r="T40" s="2544"/>
      <c r="U40" s="2544"/>
      <c r="V40" s="2544"/>
    </row>
    <row r="41" spans="1:30">
      <c r="A41" s="3055" t="s">
        <v>404</v>
      </c>
      <c r="B41" s="2202"/>
      <c r="C41" s="2068"/>
      <c r="D41" s="2999"/>
      <c r="E41" s="2999"/>
      <c r="F41" s="2999"/>
      <c r="G41" s="2999"/>
      <c r="H41" s="2999"/>
      <c r="I41" s="2866"/>
      <c r="J41" s="2544"/>
      <c r="K41" s="3062"/>
      <c r="L41" s="3060"/>
      <c r="M41" s="3060"/>
      <c r="N41" s="2544"/>
      <c r="O41" s="3061"/>
      <c r="P41" s="2544"/>
      <c r="Q41" s="2544"/>
      <c r="R41" s="2544"/>
      <c r="S41" s="2544"/>
      <c r="T41" s="2544"/>
      <c r="U41" s="2544"/>
      <c r="V41" s="2544"/>
    </row>
    <row r="42" spans="1:30" ht="25.5">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4"/>
      <c r="T42" s="2544"/>
      <c r="U42" s="2544"/>
      <c r="V42" s="2544"/>
    </row>
    <row r="43" spans="1:30" s="2767" customFormat="1">
      <c r="A43" s="2891"/>
      <c r="B43" s="2887"/>
      <c r="C43" s="2887"/>
      <c r="D43" s="2887"/>
      <c r="E43" s="2887"/>
      <c r="F43" s="2887"/>
      <c r="G43" s="2887"/>
      <c r="H43" s="2887"/>
      <c r="I43" s="2887"/>
      <c r="J43" s="3078"/>
      <c r="K43" s="3079"/>
      <c r="L43" s="3079"/>
      <c r="M43" s="2887"/>
      <c r="N43" s="2887"/>
      <c r="O43" s="2887"/>
      <c r="P43" s="2887"/>
      <c r="Q43" s="2887"/>
      <c r="R43" s="2887"/>
      <c r="S43" s="2544"/>
      <c r="T43" s="2544"/>
      <c r="U43" s="2544"/>
      <c r="V43" s="2544"/>
    </row>
    <row r="44" spans="1:30" s="2767" customFormat="1">
      <c r="A44" s="2891"/>
      <c r="B44" s="2891"/>
      <c r="C44" s="2887"/>
      <c r="D44" s="2887"/>
      <c r="E44" s="2887"/>
      <c r="F44" s="2887"/>
      <c r="G44" s="2887"/>
      <c r="H44" s="2887"/>
      <c r="I44" s="2887"/>
      <c r="J44" s="3078"/>
      <c r="K44" s="3079"/>
      <c r="L44" s="3079"/>
      <c r="M44" s="2887"/>
      <c r="N44" s="2887"/>
      <c r="O44" s="2887"/>
      <c r="P44" s="2887"/>
      <c r="Q44" s="2887"/>
      <c r="R44" s="2887"/>
      <c r="S44" s="2544"/>
      <c r="T44" s="2544"/>
      <c r="U44" s="2544"/>
      <c r="V44" s="2544"/>
    </row>
    <row r="45" spans="1:30" s="2767" customFormat="1">
      <c r="A45" s="2891"/>
      <c r="B45" s="2891"/>
      <c r="C45" s="2887"/>
      <c r="D45" s="2887"/>
      <c r="E45" s="2887"/>
      <c r="F45" s="2887"/>
      <c r="G45" s="2887"/>
      <c r="H45" s="2887"/>
      <c r="I45" s="2887"/>
      <c r="J45" s="3078"/>
      <c r="K45" s="3079"/>
      <c r="L45" s="3079"/>
      <c r="M45" s="2887"/>
      <c r="N45" s="2887"/>
      <c r="O45" s="2887"/>
      <c r="P45" s="2887"/>
      <c r="Q45" s="2887"/>
      <c r="R45" s="2887"/>
      <c r="S45" s="2544"/>
      <c r="T45" s="2544"/>
      <c r="U45" s="2544"/>
      <c r="V45" s="2544"/>
    </row>
    <row r="46" spans="1:30" s="2767" customFormat="1">
      <c r="A46" s="2891"/>
      <c r="B46" s="2891"/>
      <c r="C46" s="2887"/>
      <c r="D46" s="2887"/>
      <c r="E46" s="2887"/>
      <c r="F46" s="2887"/>
      <c r="G46" s="2887"/>
      <c r="H46" s="2887"/>
      <c r="I46" s="2887"/>
      <c r="J46" s="3078"/>
      <c r="K46" s="3079"/>
      <c r="L46" s="3079"/>
      <c r="M46" s="2887"/>
      <c r="N46" s="2887"/>
      <c r="O46" s="2887"/>
      <c r="P46" s="2887"/>
      <c r="Q46" s="2887"/>
      <c r="R46" s="2887"/>
      <c r="S46" s="2544"/>
      <c r="T46" s="2544"/>
      <c r="U46" s="2544"/>
      <c r="V46" s="2544"/>
    </row>
    <row r="47" spans="1:30" s="2767" customFormat="1">
      <c r="A47" s="2891"/>
      <c r="B47" s="2891"/>
      <c r="C47" s="2887"/>
      <c r="D47" s="2887"/>
      <c r="E47" s="2887"/>
      <c r="F47" s="2887"/>
      <c r="G47" s="2887"/>
      <c r="H47" s="2887"/>
      <c r="I47" s="2887"/>
      <c r="J47" s="3078"/>
      <c r="K47" s="3079"/>
      <c r="L47" s="3079"/>
      <c r="M47" s="2887"/>
      <c r="N47" s="2887"/>
      <c r="O47" s="2887"/>
      <c r="P47" s="2887"/>
      <c r="Q47" s="2887"/>
      <c r="R47" s="2887"/>
      <c r="S47" s="2544"/>
      <c r="T47" s="2544"/>
      <c r="U47" s="2544"/>
      <c r="V47" s="2544"/>
    </row>
    <row r="48" spans="1:30" s="2767" customFormat="1">
      <c r="A48" s="2891"/>
      <c r="B48" s="2891"/>
      <c r="C48" s="2887"/>
      <c r="D48" s="2887"/>
      <c r="E48" s="2887"/>
      <c r="F48" s="2887"/>
      <c r="G48" s="2887"/>
      <c r="H48" s="2887"/>
      <c r="I48" s="2887"/>
      <c r="J48" s="3078"/>
      <c r="K48" s="3079"/>
      <c r="L48" s="3079"/>
      <c r="M48" s="2887"/>
      <c r="N48" s="2887"/>
      <c r="O48" s="2887"/>
      <c r="P48" s="2887"/>
      <c r="Q48" s="2887"/>
      <c r="R48" s="2887"/>
      <c r="S48" s="2544"/>
      <c r="T48" s="2544"/>
      <c r="U48" s="2544"/>
      <c r="V48" s="2544"/>
    </row>
    <row r="49" spans="1:22" s="2767" customFormat="1">
      <c r="A49" s="2891"/>
      <c r="B49" s="2891"/>
      <c r="C49" s="2887"/>
      <c r="D49" s="2887"/>
      <c r="E49" s="2887"/>
      <c r="F49" s="2887"/>
      <c r="G49" s="2887"/>
      <c r="H49" s="2887"/>
      <c r="I49" s="2887"/>
      <c r="J49" s="3078"/>
      <c r="K49" s="3079"/>
      <c r="L49" s="3079"/>
      <c r="M49" s="2887"/>
      <c r="N49" s="2887"/>
      <c r="O49" s="2887"/>
      <c r="P49" s="2887"/>
      <c r="Q49" s="2887"/>
      <c r="R49" s="2887"/>
      <c r="S49" s="2544"/>
      <c r="T49" s="2544"/>
      <c r="U49" s="2544"/>
      <c r="V49" s="2544"/>
    </row>
    <row r="50" spans="1:22" s="2767" customFormat="1">
      <c r="A50" s="2891"/>
      <c r="B50" s="2891"/>
      <c r="C50" s="2887"/>
      <c r="D50" s="2887"/>
      <c r="E50" s="2887"/>
      <c r="F50" s="2887"/>
      <c r="G50" s="2887"/>
      <c r="H50" s="2887"/>
      <c r="I50" s="2887"/>
      <c r="J50" s="3078"/>
      <c r="K50" s="3079"/>
      <c r="L50" s="3079"/>
      <c r="M50" s="2887"/>
      <c r="N50" s="2887"/>
      <c r="O50" s="2887"/>
      <c r="P50" s="2887"/>
      <c r="Q50" s="2887"/>
      <c r="R50" s="2887"/>
      <c r="S50" s="2544"/>
      <c r="T50" s="2544"/>
      <c r="U50" s="2544"/>
      <c r="V50" s="2544"/>
    </row>
    <row r="51" spans="1:22" s="2767" customFormat="1">
      <c r="A51" s="2891"/>
      <c r="B51" s="2891"/>
      <c r="C51" s="2887"/>
      <c r="D51" s="2887"/>
      <c r="E51" s="2887"/>
      <c r="F51" s="2887"/>
      <c r="G51" s="2887"/>
      <c r="H51" s="2887"/>
      <c r="I51" s="2887"/>
      <c r="J51" s="3078"/>
      <c r="K51" s="3079"/>
      <c r="L51" s="3079"/>
      <c r="M51" s="2887"/>
      <c r="N51" s="2887"/>
      <c r="O51" s="2887"/>
      <c r="P51" s="2887"/>
      <c r="Q51" s="2887"/>
      <c r="R51" s="2887"/>
    </row>
    <row r="52" spans="1:22" s="2767" customFormat="1">
      <c r="A52" s="2891"/>
      <c r="B52" s="2891"/>
      <c r="C52" s="2891"/>
      <c r="D52" s="2891"/>
      <c r="E52" s="2891"/>
      <c r="F52" s="2887"/>
      <c r="G52" s="2891"/>
      <c r="H52" s="2891"/>
      <c r="I52" s="2891"/>
      <c r="J52" s="3080"/>
      <c r="K52" s="3079"/>
      <c r="L52" s="3079"/>
      <c r="M52" s="3079"/>
      <c r="N52" s="2891"/>
      <c r="O52" s="2891"/>
      <c r="P52" s="2891"/>
      <c r="Q52" s="2891"/>
      <c r="R52" s="2891"/>
    </row>
    <row r="53" spans="1:22" s="2767" customFormat="1">
      <c r="A53" s="2891"/>
      <c r="B53" s="2891"/>
      <c r="C53" s="2891"/>
      <c r="D53" s="2891"/>
      <c r="E53" s="2891"/>
      <c r="F53" s="2887"/>
      <c r="G53" s="2891"/>
      <c r="H53" s="2891"/>
      <c r="I53" s="2891"/>
      <c r="J53" s="3080"/>
      <c r="K53" s="3079"/>
      <c r="L53" s="3079"/>
      <c r="M53" s="3079"/>
      <c r="N53" s="2891"/>
      <c r="O53" s="2891"/>
      <c r="P53" s="2891"/>
      <c r="Q53" s="2891"/>
      <c r="R53" s="2891"/>
    </row>
    <row r="54" spans="1:22" s="2767" customFormat="1">
      <c r="A54" s="2891"/>
      <c r="B54" s="2891"/>
      <c r="C54" s="2891"/>
      <c r="D54" s="2891"/>
      <c r="E54" s="2891"/>
      <c r="F54" s="2887"/>
      <c r="G54" s="2891"/>
      <c r="H54" s="2891"/>
      <c r="I54" s="2891"/>
      <c r="J54" s="3080"/>
      <c r="K54" s="3079"/>
      <c r="L54" s="3079"/>
      <c r="M54" s="3079"/>
      <c r="N54" s="2891"/>
      <c r="O54" s="2891"/>
      <c r="P54" s="2891"/>
      <c r="Q54" s="2891"/>
      <c r="R54" s="2891"/>
    </row>
    <row r="55" spans="1:22" s="2767" customFormat="1">
      <c r="A55" s="2891"/>
      <c r="B55" s="2891"/>
      <c r="C55" s="2891"/>
      <c r="D55" s="2891"/>
      <c r="E55" s="2891"/>
      <c r="F55" s="2887"/>
      <c r="G55" s="2891"/>
      <c r="H55" s="2891"/>
      <c r="I55" s="2891"/>
      <c r="J55" s="3080"/>
      <c r="K55" s="3079"/>
      <c r="L55" s="3079"/>
      <c r="M55" s="3079"/>
      <c r="N55" s="2891"/>
      <c r="O55" s="2891"/>
      <c r="P55" s="2891"/>
      <c r="Q55" s="2891"/>
      <c r="R55" s="2891"/>
    </row>
    <row r="56" spans="1:22" s="2767"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6" width="10" style="2861" customWidth="1"/>
    <col min="7"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6"/>
      <c r="F2" s="2316"/>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2.75">
      <c r="A3" s="2867">
        <v>3431.42</v>
      </c>
      <c r="B3" s="2868">
        <f>IF(C3="否",G5-AT5,G5)</f>
        <v>11398.58</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2.75">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2.75">
      <c r="A5" s="1970" t="s">
        <v>430</v>
      </c>
      <c r="B5" s="2199"/>
      <c r="C5" s="2199"/>
      <c r="D5" s="2328"/>
      <c r="E5" s="2873" t="s">
        <v>124</v>
      </c>
      <c r="F5" s="2873">
        <f>SUM(F13:F587)</f>
        <v>0</v>
      </c>
      <c r="G5" s="2873">
        <f>SUM(G13:G587)</f>
        <v>11398.58</v>
      </c>
      <c r="H5" s="2873">
        <f t="shared" ref="H5:AT5" si="0">SUM(H13:H656)</f>
        <v>11398.58</v>
      </c>
      <c r="I5" s="2873">
        <f t="shared" si="0"/>
        <v>9942.7999999999993</v>
      </c>
      <c r="J5" s="2873">
        <f t="shared" si="0"/>
        <v>0</v>
      </c>
      <c r="K5" s="2873">
        <f t="shared" si="0"/>
        <v>1394.4</v>
      </c>
      <c r="L5" s="2873">
        <f t="shared" si="0"/>
        <v>0</v>
      </c>
      <c r="M5" s="2873">
        <f t="shared" si="0"/>
        <v>61.38</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8"/>
      <c r="AV5" s="1970" t="s">
        <v>430</v>
      </c>
      <c r="AW5" s="2199"/>
      <c r="AX5" s="2199"/>
      <c r="AY5" s="2932" t="s">
        <v>124</v>
      </c>
      <c r="AZ5" s="2933">
        <f t="shared" ref="AZ5:BT5" si="1">SUM(AZ13:AZ656)</f>
        <v>11398.58</v>
      </c>
      <c r="BA5" s="2933">
        <f t="shared" si="1"/>
        <v>11398.58</v>
      </c>
      <c r="BB5" s="2933">
        <f t="shared" si="1"/>
        <v>9942.7999999999993</v>
      </c>
      <c r="BC5" s="2933">
        <f t="shared" si="1"/>
        <v>1394.4</v>
      </c>
      <c r="BD5" s="2933">
        <f t="shared" si="1"/>
        <v>61.38</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2.75">
      <c r="A6" s="1970" t="s">
        <v>431</v>
      </c>
      <c r="B6" s="2874"/>
      <c r="C6" s="2874"/>
      <c r="D6" s="2875"/>
      <c r="E6" s="2873">
        <f>H6+AC6+AT6</f>
        <v>3431.42</v>
      </c>
      <c r="F6" s="2873" t="s">
        <v>124</v>
      </c>
      <c r="G6" s="2873" t="s">
        <v>124</v>
      </c>
      <c r="H6" s="2876">
        <f>SUMIF(I$12:AB$12,"总值",I6:AB6)</f>
        <v>3431.42</v>
      </c>
      <c r="I6" s="2873">
        <f t="shared" ref="I6:AB6" si="2">ROUND($A$3*I5/$B$3,2)</f>
        <v>2993.17</v>
      </c>
      <c r="J6" s="2873">
        <f t="shared" si="2"/>
        <v>0</v>
      </c>
      <c r="K6" s="2873">
        <f t="shared" si="2"/>
        <v>419.77</v>
      </c>
      <c r="L6" s="2873">
        <f t="shared" si="2"/>
        <v>0</v>
      </c>
      <c r="M6" s="2873">
        <f t="shared" si="2"/>
        <v>18.48</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3431.42</v>
      </c>
      <c r="AZ6" s="2873" t="s">
        <v>124</v>
      </c>
      <c r="BA6" s="2873">
        <f>ROUND($AY$6*BA5/$AZ$5,2)</f>
        <v>3431.42</v>
      </c>
      <c r="BB6" s="2873">
        <f>ROUND($AY$6*BB5/$AZ$5,2)</f>
        <v>2993.17</v>
      </c>
      <c r="BC6" s="2873">
        <f t="shared" ref="BC6:BH6" si="4">ROUND($AY$6*BC5/$AZ$5,2)</f>
        <v>419.77</v>
      </c>
      <c r="BD6" s="2873">
        <f t="shared" si="4"/>
        <v>18.48</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4.75">
      <c r="A7" s="2877" t="s">
        <v>432</v>
      </c>
      <c r="B7" s="2877" t="s">
        <v>433</v>
      </c>
      <c r="C7" s="2877" t="s">
        <v>406</v>
      </c>
      <c r="D7" s="2877" t="s">
        <v>434</v>
      </c>
      <c r="E7" s="2877" t="s">
        <v>431</v>
      </c>
      <c r="F7" s="2877" t="s">
        <v>435</v>
      </c>
      <c r="G7" s="2296"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8"/>
      <c r="AU7" s="2878" t="s">
        <v>437</v>
      </c>
      <c r="AV7" s="2919" t="s">
        <v>432</v>
      </c>
      <c r="AW7" s="2316" t="s">
        <v>433</v>
      </c>
      <c r="AX7" s="2919" t="s">
        <v>406</v>
      </c>
      <c r="AY7" s="2199"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66"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8" t="s">
        <v>441</v>
      </c>
      <c r="AD8" s="2909"/>
      <c r="AE8" s="2910"/>
      <c r="AF8" s="295"/>
      <c r="AG8" s="295"/>
      <c r="AH8" s="295"/>
      <c r="AI8" s="295"/>
      <c r="AJ8" s="295"/>
      <c r="AK8" s="295"/>
      <c r="AL8" s="295"/>
      <c r="AM8" s="295"/>
      <c r="AN8" s="295"/>
      <c r="AO8" s="295"/>
      <c r="AP8" s="295"/>
      <c r="AQ8" s="295"/>
      <c r="AR8" s="295"/>
      <c r="AS8" s="295"/>
      <c r="AT8" s="1810" t="s">
        <v>442</v>
      </c>
      <c r="AU8" s="2879" t="s">
        <v>443</v>
      </c>
      <c r="AV8" s="1810"/>
      <c r="AW8" s="2276"/>
      <c r="AX8" s="1810"/>
      <c r="AY8" s="2316"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66" customFormat="1" ht="12.75">
      <c r="A9" s="2879"/>
      <c r="B9" s="2879"/>
      <c r="C9" s="2879"/>
      <c r="D9" s="2879"/>
      <c r="E9" s="2879"/>
      <c r="F9" s="2879"/>
      <c r="G9" s="1810"/>
      <c r="H9" s="2882" t="s">
        <v>444</v>
      </c>
      <c r="I9" s="2900" t="s">
        <v>445</v>
      </c>
      <c r="J9" s="2118"/>
      <c r="K9" s="2900" t="s">
        <v>446</v>
      </c>
      <c r="L9" s="2118"/>
      <c r="M9" s="2900" t="s">
        <v>445</v>
      </c>
      <c r="N9" s="2118"/>
      <c r="O9" s="2900"/>
      <c r="P9" s="2118"/>
      <c r="Q9" s="2900"/>
      <c r="R9" s="2118"/>
      <c r="S9" s="2900"/>
      <c r="T9" s="2118"/>
      <c r="U9" s="2900"/>
      <c r="V9" s="2118"/>
      <c r="W9" s="2900"/>
      <c r="X9" s="2907"/>
      <c r="Y9" s="2900"/>
      <c r="Z9" s="2118"/>
      <c r="AA9" s="2900"/>
      <c r="AB9" s="2118"/>
      <c r="AC9" s="2880" t="s">
        <v>444</v>
      </c>
      <c r="AD9" s="1970" t="s">
        <v>447</v>
      </c>
      <c r="AE9" s="1822"/>
      <c r="AF9" s="1970" t="s">
        <v>448</v>
      </c>
      <c r="AG9" s="1822"/>
      <c r="AH9" s="1970" t="s">
        <v>447</v>
      </c>
      <c r="AI9" s="1822"/>
      <c r="AJ9" s="1970" t="s">
        <v>448</v>
      </c>
      <c r="AK9" s="1822"/>
      <c r="AL9" s="1970" t="s">
        <v>447</v>
      </c>
      <c r="AM9" s="1822"/>
      <c r="AN9" s="1970" t="s">
        <v>448</v>
      </c>
      <c r="AO9" s="1822"/>
      <c r="AP9" s="1970" t="s">
        <v>447</v>
      </c>
      <c r="AQ9" s="1822"/>
      <c r="AR9" s="1970" t="s">
        <v>448</v>
      </c>
      <c r="AS9" s="2920"/>
      <c r="AT9" s="2879"/>
      <c r="AU9" s="2879" t="s">
        <v>449</v>
      </c>
      <c r="AV9" s="1810"/>
      <c r="AW9" s="2276"/>
      <c r="AX9" s="1810"/>
      <c r="AY9" s="2883"/>
      <c r="AZ9" s="2883" t="s">
        <v>439</v>
      </c>
      <c r="BA9" s="2935" t="s">
        <v>450</v>
      </c>
      <c r="BB9" s="2936"/>
      <c r="BC9" s="1868"/>
      <c r="BD9" s="1868"/>
      <c r="BE9" s="1868"/>
      <c r="BF9" s="1868"/>
      <c r="BG9" s="1868"/>
      <c r="BH9" s="1868"/>
      <c r="BI9" s="1868"/>
      <c r="BJ9" s="1868"/>
      <c r="BK9" s="2941"/>
      <c r="BL9" s="1970" t="s">
        <v>451</v>
      </c>
      <c r="BM9" s="295"/>
      <c r="BN9" s="2899"/>
      <c r="BO9" s="295"/>
      <c r="BP9" s="295"/>
      <c r="BQ9" s="295"/>
      <c r="BR9" s="295"/>
      <c r="BS9" s="295"/>
      <c r="BT9" s="1856"/>
    </row>
    <row r="10" spans="1:72" s="2566" customFormat="1" ht="12.75">
      <c r="A10" s="2879"/>
      <c r="B10" s="2879"/>
      <c r="C10" s="2879"/>
      <c r="D10" s="2879"/>
      <c r="E10" s="2879"/>
      <c r="F10" s="2879"/>
      <c r="G10" s="1810"/>
      <c r="H10" s="2883"/>
      <c r="I10" s="2900" t="s">
        <v>452</v>
      </c>
      <c r="J10" s="2118"/>
      <c r="K10" s="2901" t="s">
        <v>453</v>
      </c>
      <c r="L10" s="2118"/>
      <c r="M10" s="2901" t="s">
        <v>452</v>
      </c>
      <c r="N10" s="2118"/>
      <c r="O10" s="2901"/>
      <c r="P10" s="2118"/>
      <c r="Q10" s="2901"/>
      <c r="R10" s="2118"/>
      <c r="S10" s="2901"/>
      <c r="T10" s="2118"/>
      <c r="U10" s="2901"/>
      <c r="V10" s="2118"/>
      <c r="W10" s="2901"/>
      <c r="X10" s="2118"/>
      <c r="Y10" s="2901"/>
      <c r="Z10" s="2118"/>
      <c r="AA10" s="2901"/>
      <c r="AB10" s="2118"/>
      <c r="AC10" s="1810"/>
      <c r="AD10" s="1970" t="s">
        <v>454</v>
      </c>
      <c r="AE10" s="2911"/>
      <c r="AF10" s="1970" t="s">
        <v>454</v>
      </c>
      <c r="AG10" s="2911"/>
      <c r="AH10" s="1970" t="s">
        <v>455</v>
      </c>
      <c r="AI10" s="2911"/>
      <c r="AJ10" s="1970" t="s">
        <v>455</v>
      </c>
      <c r="AK10" s="2911"/>
      <c r="AL10" s="1970" t="s">
        <v>456</v>
      </c>
      <c r="AM10" s="1822"/>
      <c r="AN10" s="1970" t="s">
        <v>456</v>
      </c>
      <c r="AO10" s="1822"/>
      <c r="AP10" s="1970" t="s">
        <v>457</v>
      </c>
      <c r="AQ10" s="1822"/>
      <c r="AR10" s="1970" t="s">
        <v>457</v>
      </c>
      <c r="AS10" s="1822"/>
      <c r="AT10" s="2879"/>
      <c r="AU10" s="2879"/>
      <c r="AV10" s="1810"/>
      <c r="AW10" s="2276"/>
      <c r="AX10" s="1810"/>
      <c r="AY10" s="2883"/>
      <c r="AZ10" s="2883"/>
      <c r="BA10" s="2884" t="s">
        <v>444</v>
      </c>
      <c r="BB10" s="2937" t="str">
        <f>I9</f>
        <v>地上</v>
      </c>
      <c r="BC10" s="1880" t="str">
        <f>K9</f>
        <v>地下</v>
      </c>
      <c r="BD10" s="1880" t="str">
        <f>M9</f>
        <v>地上</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66" customFormat="1" ht="12.75">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458</v>
      </c>
      <c r="AE11" s="352"/>
      <c r="AF11" s="2912" t="s">
        <v>458</v>
      </c>
      <c r="AG11" s="352"/>
      <c r="AH11" s="2912" t="s">
        <v>459</v>
      </c>
      <c r="AI11" s="2916"/>
      <c r="AJ11" s="2912" t="s">
        <v>459</v>
      </c>
      <c r="AK11" s="352"/>
      <c r="AL11" s="294"/>
      <c r="AM11" s="352"/>
      <c r="AN11" s="294"/>
      <c r="AO11" s="352"/>
      <c r="AP11" s="294"/>
      <c r="AQ11" s="352"/>
      <c r="AR11" s="294"/>
      <c r="AS11" s="352"/>
      <c r="AT11" s="2276"/>
      <c r="AU11" s="2879"/>
      <c r="AV11" s="1810"/>
      <c r="AW11" s="2276"/>
      <c r="AX11" s="1810"/>
      <c r="AY11" s="2883"/>
      <c r="AZ11" s="2883"/>
      <c r="BA11" s="2883"/>
      <c r="BB11" s="2908" t="str">
        <f>I10</f>
        <v>办公</v>
      </c>
      <c r="BC11" s="2908" t="str">
        <f>K10</f>
        <v>仓储</v>
      </c>
      <c r="BD11" s="2908" t="str">
        <f>M10</f>
        <v>办公</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2.75">
      <c r="A12" s="2885"/>
      <c r="B12" s="2885"/>
      <c r="C12" s="2885"/>
      <c r="D12" s="2885"/>
      <c r="E12" s="2885"/>
      <c r="F12" s="2885"/>
      <c r="G12" s="638"/>
      <c r="H12" s="2886"/>
      <c r="I12" s="2328" t="s">
        <v>460</v>
      </c>
      <c r="J12" s="296" t="s">
        <v>461</v>
      </c>
      <c r="K12" s="296" t="s">
        <v>460</v>
      </c>
      <c r="L12" s="296" t="s">
        <v>461</v>
      </c>
      <c r="M12" s="296" t="s">
        <v>460</v>
      </c>
      <c r="N12" s="296" t="s">
        <v>461</v>
      </c>
      <c r="O12" s="296" t="s">
        <v>460</v>
      </c>
      <c r="P12" s="296" t="s">
        <v>461</v>
      </c>
      <c r="Q12" s="296" t="s">
        <v>460</v>
      </c>
      <c r="R12" s="296" t="s">
        <v>461</v>
      </c>
      <c r="S12" s="296" t="s">
        <v>460</v>
      </c>
      <c r="T12" s="296" t="s">
        <v>461</v>
      </c>
      <c r="U12" s="296" t="s">
        <v>460</v>
      </c>
      <c r="V12" s="2198" t="s">
        <v>461</v>
      </c>
      <c r="W12" s="296" t="s">
        <v>460</v>
      </c>
      <c r="X12" s="296" t="s">
        <v>461</v>
      </c>
      <c r="Y12" s="296" t="s">
        <v>460</v>
      </c>
      <c r="Z12" s="296" t="s">
        <v>461</v>
      </c>
      <c r="AA12" s="296" t="s">
        <v>460</v>
      </c>
      <c r="AB12" s="296" t="s">
        <v>461</v>
      </c>
      <c r="AC12" s="2913"/>
      <c r="AD12" s="2328" t="s">
        <v>460</v>
      </c>
      <c r="AE12" s="296" t="s">
        <v>461</v>
      </c>
      <c r="AF12" s="296" t="s">
        <v>460</v>
      </c>
      <c r="AG12" s="296" t="s">
        <v>461</v>
      </c>
      <c r="AH12" s="296" t="s">
        <v>460</v>
      </c>
      <c r="AI12" s="296" t="s">
        <v>461</v>
      </c>
      <c r="AJ12" s="296" t="s">
        <v>460</v>
      </c>
      <c r="AK12" s="296" t="s">
        <v>461</v>
      </c>
      <c r="AL12" s="296" t="s">
        <v>460</v>
      </c>
      <c r="AM12" s="296" t="s">
        <v>461</v>
      </c>
      <c r="AN12" s="296" t="s">
        <v>460</v>
      </c>
      <c r="AO12" s="296" t="s">
        <v>461</v>
      </c>
      <c r="AP12" s="296" t="s">
        <v>460</v>
      </c>
      <c r="AQ12" s="296" t="s">
        <v>461</v>
      </c>
      <c r="AR12" s="638" t="s">
        <v>460</v>
      </c>
      <c r="AS12" s="2885" t="s">
        <v>461</v>
      </c>
      <c r="AT12" s="2921"/>
      <c r="AU12" s="2885"/>
      <c r="AV12" s="2922"/>
      <c r="AW12" s="2316"/>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2.75">
      <c r="A13" s="2887"/>
      <c r="B13" s="2887"/>
      <c r="C13" s="2887"/>
      <c r="D13" s="2888" t="s">
        <v>462</v>
      </c>
      <c r="E13" s="2873">
        <f>IF($C$3="是",ROUND($A$3*G13/$B$3,2),ROUND($A$3*(G13-AT13)/$B$3,2))</f>
        <v>3431.42</v>
      </c>
      <c r="F13" s="2889"/>
      <c r="G13" s="2890">
        <f>H13+AC13+AT13</f>
        <v>11398.58</v>
      </c>
      <c r="H13" s="2876">
        <f>SUMIF(I$12:AB$12,"总值",I13:AB13)</f>
        <v>11398.58</v>
      </c>
      <c r="I13" s="2904">
        <v>9942.7999999999993</v>
      </c>
      <c r="J13" s="2904"/>
      <c r="K13" s="3576">
        <v>1394.4</v>
      </c>
      <c r="L13" s="2904"/>
      <c r="M13" s="2904">
        <v>61.38</v>
      </c>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8">
        <f>ROUND($AY$6*AZ13/$AZ$5,2)</f>
        <v>3431.42</v>
      </c>
      <c r="AZ13" s="2873">
        <f>BA13+BL13</f>
        <v>11398.58</v>
      </c>
      <c r="BA13" s="2873">
        <f>SUM(BB13:BK13)</f>
        <v>11398.58</v>
      </c>
      <c r="BB13" s="2873">
        <f>IF($D13="是",I13-J13,0)</f>
        <v>9942.7999999999993</v>
      </c>
      <c r="BC13" s="2873">
        <f>IF($D13="是",K13-L13,0)</f>
        <v>1394.4</v>
      </c>
      <c r="BD13" s="2873">
        <f>IF($D13="是",M13-N13,0)</f>
        <v>61.38</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2.75">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8">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2.75">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8">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2.75">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8">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2.75">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8">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5" customWidth="1"/>
    <col min="2" max="2" width="10.625" style="2855" customWidth="1"/>
    <col min="3" max="3" width="15.75" style="2855" customWidth="1"/>
    <col min="4" max="7" width="9.5" style="2855" customWidth="1"/>
    <col min="8" max="13" width="9.125" style="2855" customWidth="1"/>
    <col min="14" max="16384" width="9" style="2855"/>
  </cols>
  <sheetData>
    <row r="1" spans="1:13" ht="14.25">
      <c r="A1" s="3299" t="s">
        <v>463</v>
      </c>
      <c r="B1" s="3299" t="s">
        <v>464</v>
      </c>
      <c r="C1" s="3299" t="s">
        <v>465</v>
      </c>
      <c r="D1" s="3298" t="s">
        <v>466</v>
      </c>
      <c r="E1" s="3298" t="s">
        <v>467</v>
      </c>
      <c r="F1" s="3298"/>
      <c r="G1" s="3298"/>
      <c r="H1" s="3298"/>
      <c r="I1" s="3298"/>
      <c r="J1" s="3298"/>
      <c r="K1" s="3298"/>
      <c r="L1" s="3298"/>
      <c r="M1" s="3298"/>
    </row>
    <row r="2" spans="1:13" ht="27" customHeight="1">
      <c r="A2" s="3299"/>
      <c r="B2" s="3299"/>
      <c r="C2" s="3299"/>
      <c r="D2" s="3298"/>
      <c r="E2" s="3298" t="s">
        <v>468</v>
      </c>
      <c r="F2" s="3298" t="s">
        <v>469</v>
      </c>
      <c r="G2" s="3298"/>
      <c r="H2" s="3298"/>
      <c r="I2" s="3298"/>
      <c r="J2" s="3298" t="s">
        <v>470</v>
      </c>
      <c r="K2" s="3298"/>
      <c r="L2" s="3298"/>
      <c r="M2" s="3298"/>
    </row>
    <row r="3" spans="1:13" ht="28.5">
      <c r="A3" s="3299"/>
      <c r="B3" s="3299"/>
      <c r="C3" s="3299"/>
      <c r="D3" s="3298"/>
      <c r="E3" s="3298"/>
      <c r="F3" s="2857" t="s">
        <v>471</v>
      </c>
      <c r="G3" s="2857" t="s">
        <v>472</v>
      </c>
      <c r="H3" s="2857" t="s">
        <v>473</v>
      </c>
      <c r="I3" s="2857" t="s">
        <v>474</v>
      </c>
      <c r="J3" s="2857" t="s">
        <v>471</v>
      </c>
      <c r="K3" s="2857" t="s">
        <v>475</v>
      </c>
      <c r="L3" s="2857" t="s">
        <v>476</v>
      </c>
      <c r="M3" s="2857" t="s">
        <v>477</v>
      </c>
    </row>
    <row r="4" spans="1:13" ht="42.75">
      <c r="A4" s="2857" t="s">
        <v>478</v>
      </c>
      <c r="B4" s="2857" t="s">
        <v>479</v>
      </c>
      <c r="C4" s="2857" t="s">
        <v>480</v>
      </c>
      <c r="D4" s="2856">
        <v>3807.94</v>
      </c>
      <c r="E4" s="2856">
        <v>20666.91</v>
      </c>
      <c r="F4" s="2856">
        <v>19673</v>
      </c>
      <c r="G4" s="2856">
        <v>0</v>
      </c>
      <c r="H4" s="2856">
        <v>19673</v>
      </c>
      <c r="I4" s="2856">
        <v>0</v>
      </c>
      <c r="J4" s="2856">
        <v>993.91</v>
      </c>
      <c r="K4" s="2856">
        <v>0</v>
      </c>
      <c r="L4" s="2856">
        <v>0</v>
      </c>
      <c r="M4" s="2856">
        <v>993.91</v>
      </c>
    </row>
    <row r="5" spans="1:13" ht="42.75">
      <c r="A5" s="2857" t="s">
        <v>478</v>
      </c>
      <c r="B5" s="2857" t="s">
        <v>481</v>
      </c>
      <c r="C5" s="2857" t="s">
        <v>482</v>
      </c>
      <c r="D5" s="2856">
        <v>3667.86</v>
      </c>
      <c r="E5" s="2856">
        <v>19906.61</v>
      </c>
      <c r="F5" s="2856">
        <v>18792.87</v>
      </c>
      <c r="G5" s="2856">
        <v>18792.87</v>
      </c>
      <c r="H5" s="2856">
        <v>0</v>
      </c>
      <c r="I5" s="2856">
        <v>0</v>
      </c>
      <c r="J5" s="2856">
        <v>1113.74</v>
      </c>
      <c r="K5" s="2856">
        <v>55.59</v>
      </c>
      <c r="L5" s="2856">
        <v>0</v>
      </c>
      <c r="M5" s="2856">
        <v>1058.1500000000001</v>
      </c>
    </row>
    <row r="6" spans="1:13" ht="42.75">
      <c r="A6" s="2857" t="s">
        <v>478</v>
      </c>
      <c r="B6" s="2857" t="s">
        <v>481</v>
      </c>
      <c r="C6" s="2857" t="s">
        <v>483</v>
      </c>
      <c r="D6" s="2856">
        <v>2067.52</v>
      </c>
      <c r="E6" s="2856">
        <v>11221.06</v>
      </c>
      <c r="F6" s="2856">
        <v>9934.1299999999992</v>
      </c>
      <c r="G6" s="2856">
        <v>9934.1299999999992</v>
      </c>
      <c r="H6" s="2856">
        <v>0</v>
      </c>
      <c r="I6" s="2856">
        <v>0</v>
      </c>
      <c r="J6" s="2856">
        <v>1286.93</v>
      </c>
      <c r="K6" s="2856">
        <v>0</v>
      </c>
      <c r="L6" s="2856">
        <v>0</v>
      </c>
      <c r="M6" s="2856">
        <v>1286.93</v>
      </c>
    </row>
    <row r="7" spans="1:13" ht="42.75">
      <c r="A7" s="2857" t="s">
        <v>478</v>
      </c>
      <c r="B7" s="2857" t="s">
        <v>481</v>
      </c>
      <c r="C7" s="2857" t="s">
        <v>484</v>
      </c>
      <c r="D7" s="2856">
        <v>8.18</v>
      </c>
      <c r="E7" s="2856">
        <v>44.41</v>
      </c>
      <c r="F7" s="2856">
        <v>0</v>
      </c>
      <c r="G7" s="2856">
        <v>0</v>
      </c>
      <c r="H7" s="2856">
        <v>0</v>
      </c>
      <c r="I7" s="2856">
        <v>0</v>
      </c>
      <c r="J7" s="2856">
        <v>44.41</v>
      </c>
      <c r="K7" s="2856">
        <v>44.41</v>
      </c>
      <c r="L7" s="2856">
        <v>0</v>
      </c>
      <c r="M7" s="2856">
        <v>0</v>
      </c>
    </row>
    <row r="8" spans="1:13" ht="42.75">
      <c r="A8" s="2857" t="s">
        <v>478</v>
      </c>
      <c r="B8" s="2857" t="s">
        <v>481</v>
      </c>
      <c r="C8" s="2857" t="s">
        <v>474</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485</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769" customWidth="1"/>
    <col min="2" max="2" width="10.25" style="2769" customWidth="1"/>
    <col min="3" max="3" width="18.5" style="2769" customWidth="1"/>
    <col min="4" max="4" width="11.625" style="2769" customWidth="1"/>
    <col min="5" max="5" width="13.375" style="2769" customWidth="1"/>
    <col min="6" max="8" width="11.5" style="2769" customWidth="1"/>
    <col min="9" max="9" width="11.125" style="2769" customWidth="1"/>
    <col min="10" max="10" width="3.125" style="2770" customWidth="1"/>
    <col min="11" max="16" width="10" style="2769" customWidth="1"/>
    <col min="17" max="17" width="2.625" style="2769" customWidth="1"/>
    <col min="18" max="18" width="9.375" style="2769" customWidth="1"/>
    <col min="19" max="19" width="10.5" style="2769" customWidth="1"/>
    <col min="20" max="16384" width="9.25" style="2769"/>
  </cols>
  <sheetData>
    <row r="1" spans="1:16" ht="18.75">
      <c r="A1" s="2189" t="s">
        <v>486</v>
      </c>
      <c r="B1" s="2263"/>
      <c r="C1" s="2263"/>
      <c r="D1" s="2263"/>
      <c r="E1" s="2263"/>
      <c r="F1" s="2263"/>
      <c r="G1" s="2263"/>
      <c r="H1" s="2263"/>
      <c r="I1" s="2263"/>
      <c r="J1" s="2263"/>
      <c r="K1" s="2263"/>
      <c r="L1" s="2263"/>
      <c r="M1" s="2263"/>
      <c r="N1" s="2263"/>
      <c r="O1" s="2263"/>
      <c r="P1" s="2263"/>
    </row>
    <row r="2" spans="1:16" ht="15">
      <c r="A2" s="3300" t="s">
        <v>487</v>
      </c>
      <c r="B2" s="3300"/>
      <c r="C2" s="3300"/>
      <c r="D2" s="2102" t="s">
        <v>488</v>
      </c>
      <c r="E2" s="2771" t="s">
        <v>489</v>
      </c>
      <c r="F2" s="2772"/>
      <c r="G2" s="2773"/>
      <c r="H2" s="2774"/>
      <c r="I2" s="2415" t="s">
        <v>490</v>
      </c>
      <c r="J2" s="2772"/>
      <c r="K2" s="2772"/>
      <c r="L2" s="2772"/>
      <c r="M2" s="2772"/>
      <c r="N2" s="1246"/>
      <c r="O2" s="2772"/>
      <c r="P2" s="2772"/>
    </row>
    <row r="3" spans="1:16" ht="15">
      <c r="A3" s="3301" t="s">
        <v>491</v>
      </c>
      <c r="B3" s="3301"/>
      <c r="C3" s="3301"/>
      <c r="D3" s="2775">
        <f>'数据-基础表'!AY6</f>
        <v>3431.42</v>
      </c>
      <c r="E3" s="2775">
        <f>'数据-基础表'!AZ5</f>
        <v>11398.58</v>
      </c>
      <c r="F3" s="2772"/>
      <c r="G3" s="2776"/>
      <c r="H3" s="2215" t="s">
        <v>492</v>
      </c>
      <c r="I3" s="2836">
        <f>ROUND('数据-基础表'!B3/'数据-基础表'!A3,2)</f>
        <v>3.32</v>
      </c>
      <c r="J3" s="2772"/>
      <c r="K3" s="2772"/>
      <c r="L3" s="2772"/>
      <c r="M3" s="2772"/>
      <c r="N3" s="1246"/>
      <c r="O3" s="2772"/>
      <c r="P3" s="2772"/>
    </row>
    <row r="4" spans="1:16" ht="15">
      <c r="A4" s="3302"/>
      <c r="B4" s="3303"/>
      <c r="C4" s="3304"/>
      <c r="D4" s="2777" t="s">
        <v>488</v>
      </c>
      <c r="E4" s="2778" t="s">
        <v>489</v>
      </c>
      <c r="F4" s="2772"/>
      <c r="G4" s="2779" t="s">
        <v>493</v>
      </c>
      <c r="H4" s="2215" t="s">
        <v>494</v>
      </c>
      <c r="I4" s="2836">
        <f>ROUND(SUMIF('数据-基础表'!I9:AS9,"地上",'数据-基础表'!I5:AS5)/'数据-基础表'!A3,2)</f>
        <v>2.92</v>
      </c>
      <c r="J4" s="2772"/>
      <c r="K4" s="2772"/>
      <c r="L4" s="2772"/>
      <c r="M4" s="2772"/>
      <c r="N4" s="1246"/>
      <c r="O4" s="2772"/>
      <c r="P4" s="2772"/>
    </row>
    <row r="5" spans="1:16">
      <c r="A5" s="2780" t="s">
        <v>495</v>
      </c>
      <c r="B5" s="3305" t="s">
        <v>496</v>
      </c>
      <c r="C5" s="3305"/>
      <c r="D5" s="2781">
        <f>ROUND($D$3*E5/$E$3,2)</f>
        <v>0</v>
      </c>
      <c r="E5" s="2782">
        <f>SUMIF('数据-基础表'!$11:$11,"住宅",'数据-基础表'!$5:$5)</f>
        <v>0</v>
      </c>
      <c r="F5" s="2772"/>
      <c r="G5" s="2776"/>
      <c r="H5" s="2215" t="s">
        <v>492</v>
      </c>
      <c r="I5" s="2836">
        <f>ROUND(E31/D31,2)</f>
        <v>3.32</v>
      </c>
      <c r="J5" s="2772"/>
      <c r="K5" s="2772"/>
      <c r="L5" s="2772"/>
      <c r="M5" s="2772"/>
      <c r="N5" s="2772"/>
      <c r="O5" s="2772"/>
      <c r="P5" s="2772"/>
    </row>
    <row r="6" spans="1:16">
      <c r="A6" s="2783"/>
      <c r="B6" s="3305" t="s">
        <v>497</v>
      </c>
      <c r="C6" s="3305"/>
      <c r="D6" s="2781">
        <f>ROUND($D$3*E6/$E$3,2)</f>
        <v>3431.42</v>
      </c>
      <c r="E6" s="2782">
        <f>E3-E5</f>
        <v>11398.58</v>
      </c>
      <c r="F6" s="2772"/>
      <c r="G6" s="2784" t="s">
        <v>498</v>
      </c>
      <c r="H6" s="2785" t="s">
        <v>494</v>
      </c>
      <c r="I6" s="2837">
        <f>ROUND(F31/D31,2)</f>
        <v>2.92</v>
      </c>
      <c r="J6" s="2772"/>
      <c r="K6" s="2772"/>
      <c r="L6" s="2772"/>
      <c r="M6" s="2772"/>
      <c r="N6" s="2772"/>
      <c r="O6" s="2772"/>
      <c r="P6" s="2772"/>
    </row>
    <row r="7" spans="1:16" ht="15">
      <c r="A7" s="3306"/>
      <c r="B7" s="3307"/>
      <c r="C7" s="3308"/>
      <c r="D7" s="2777" t="s">
        <v>488</v>
      </c>
      <c r="E7" s="2786" t="s">
        <v>499</v>
      </c>
      <c r="F7" s="2772"/>
      <c r="G7" s="2787" t="s">
        <v>500</v>
      </c>
      <c r="H7" s="2788"/>
      <c r="I7" s="2838"/>
      <c r="J7" s="2772"/>
      <c r="K7" s="2772"/>
      <c r="L7" s="2772"/>
      <c r="M7" s="2772"/>
      <c r="N7" s="2772"/>
      <c r="O7" s="2772"/>
      <c r="P7" s="2772"/>
    </row>
    <row r="8" spans="1:16">
      <c r="A8" s="2780" t="s">
        <v>501</v>
      </c>
      <c r="B8" s="2789" t="s">
        <v>502</v>
      </c>
      <c r="C8" s="2781" t="s">
        <v>503</v>
      </c>
      <c r="D8" s="2781">
        <f t="shared" ref="D8:D15" si="0">ROUND($D$3*E8/$E$3,2)</f>
        <v>3011.65</v>
      </c>
      <c r="E8" s="2790">
        <f>SUMIF('数据-基础表'!BB10:BK10,"地上",'数据-基础表'!BB5:BK5)</f>
        <v>10004.18</v>
      </c>
      <c r="F8" s="2772"/>
      <c r="G8" s="2791"/>
      <c r="H8" s="2791"/>
      <c r="I8" s="2772"/>
      <c r="J8" s="2772"/>
      <c r="K8" s="2772"/>
      <c r="L8" s="2772"/>
      <c r="M8" s="2772"/>
      <c r="N8" s="2772"/>
      <c r="O8" s="2772"/>
      <c r="P8" s="2772"/>
    </row>
    <row r="9" spans="1:16">
      <c r="A9" s="2792"/>
      <c r="B9" s="2793"/>
      <c r="C9" s="2781" t="s">
        <v>504</v>
      </c>
      <c r="D9" s="2781">
        <f t="shared" si="0"/>
        <v>0</v>
      </c>
      <c r="E9" s="2794">
        <v>0</v>
      </c>
      <c r="F9" s="2772"/>
      <c r="G9" s="2791"/>
      <c r="H9" s="2791"/>
      <c r="I9" s="2772"/>
      <c r="J9" s="2772"/>
      <c r="K9" s="2772"/>
      <c r="L9" s="2772"/>
      <c r="M9" s="2772"/>
      <c r="N9" s="2772"/>
      <c r="O9" s="2772"/>
      <c r="P9" s="2772"/>
    </row>
    <row r="10" spans="1:16">
      <c r="A10" s="2792"/>
      <c r="B10" s="2793"/>
      <c r="C10" s="2781" t="s">
        <v>505</v>
      </c>
      <c r="D10" s="2781">
        <f t="shared" si="0"/>
        <v>0</v>
      </c>
      <c r="E10" s="2790">
        <f>SUMPRODUCT(('数据-基础表'!BB10:BK10="地下")*('数据-基础表'!BB11:BK11="商业")*('数据-基础表'!BB5:BK5))</f>
        <v>0</v>
      </c>
      <c r="F10" s="2772"/>
      <c r="G10" s="2791"/>
      <c r="H10" s="2791"/>
      <c r="I10" s="2772"/>
      <c r="J10" s="2772"/>
      <c r="K10" s="2772"/>
      <c r="L10" s="2772"/>
      <c r="M10" s="2772"/>
      <c r="N10" s="2772"/>
      <c r="O10" s="2772"/>
      <c r="P10" s="2772"/>
    </row>
    <row r="11" spans="1:16">
      <c r="A11" s="2792"/>
      <c r="B11" s="2793"/>
      <c r="C11" s="2781" t="s">
        <v>506</v>
      </c>
      <c r="D11" s="2781">
        <f t="shared" si="0"/>
        <v>0</v>
      </c>
      <c r="E11" s="2790">
        <f>SUMPRODUCT(('数据-基础表'!BB10:BK10="地下")*('数据-基础表'!BB11:BK11="办公")*('数据-基础表'!BB5:BK5))+'数据-基础表'!BP5</f>
        <v>0</v>
      </c>
      <c r="F11" s="2772"/>
      <c r="G11" s="2791"/>
      <c r="H11" s="2791"/>
      <c r="I11" s="2772"/>
      <c r="J11" s="2772"/>
      <c r="K11" s="2772"/>
      <c r="L11" s="2772"/>
      <c r="M11" s="2772"/>
      <c r="N11" s="2772"/>
      <c r="O11" s="2772"/>
      <c r="P11" s="2772"/>
    </row>
    <row r="12" spans="1:16">
      <c r="A12" s="2792"/>
      <c r="B12" s="2793"/>
      <c r="C12" s="2781" t="s">
        <v>507</v>
      </c>
      <c r="D12" s="2781">
        <f t="shared" si="0"/>
        <v>419.77</v>
      </c>
      <c r="E12" s="2790">
        <f>SUMPRODUCT(('数据-基础表'!BB10:BK10="地下")*('数据-基础表'!BB11:BK11="仓储")*('数据-基础表'!BB5:BK5))</f>
        <v>1394.4</v>
      </c>
      <c r="F12" s="2772"/>
      <c r="G12" s="2791"/>
      <c r="H12" s="2791"/>
      <c r="I12" s="2772"/>
      <c r="J12" s="2772"/>
      <c r="K12" s="2772"/>
      <c r="L12" s="2772"/>
      <c r="M12" s="2772"/>
      <c r="N12" s="2772"/>
      <c r="O12" s="2772"/>
      <c r="P12" s="2772"/>
    </row>
    <row r="13" spans="1:16">
      <c r="A13" s="2792"/>
      <c r="B13" s="2793"/>
      <c r="C13" s="2781" t="s">
        <v>508</v>
      </c>
      <c r="D13" s="2781">
        <f t="shared" si="0"/>
        <v>0</v>
      </c>
      <c r="E13" s="2790">
        <f>SUMPRODUCT(('数据-基础表'!BB10:BK10="地下")*('数据-基础表'!BB11:BK11="车库")*('数据-基础表'!BB5:BK5))</f>
        <v>0</v>
      </c>
      <c r="F13" s="2772"/>
      <c r="G13" s="2791"/>
      <c r="H13" s="2791"/>
      <c r="I13" s="2772"/>
      <c r="J13" s="2772"/>
      <c r="K13" s="2772"/>
      <c r="L13" s="2772"/>
      <c r="M13" s="2772"/>
      <c r="N13" s="2772"/>
      <c r="O13" s="2772"/>
      <c r="P13" s="2772"/>
    </row>
    <row r="14" spans="1:16">
      <c r="A14" s="2792"/>
      <c r="B14" s="2793"/>
      <c r="C14" s="2781" t="s">
        <v>509</v>
      </c>
      <c r="D14" s="2781">
        <f t="shared" si="0"/>
        <v>0</v>
      </c>
      <c r="E14" s="2790">
        <f>SUMPRODUCT(('数据-基础表'!BB10:BK10="地下")*('数据-基础表'!BB11:BK11="车库—商业")*('数据-基础表'!BB5:BK5))</f>
        <v>0</v>
      </c>
      <c r="F14" s="2772"/>
      <c r="G14" s="2791"/>
      <c r="H14" s="2791"/>
      <c r="I14" s="2772"/>
      <c r="J14" s="2772"/>
      <c r="K14" s="2772"/>
      <c r="L14" s="2772"/>
      <c r="M14" s="2772"/>
      <c r="N14" s="2772"/>
      <c r="O14" s="2772"/>
      <c r="P14" s="2772"/>
    </row>
    <row r="15" spans="1:16">
      <c r="A15" s="2792"/>
      <c r="B15" s="2793"/>
      <c r="C15" s="2781" t="s">
        <v>510</v>
      </c>
      <c r="D15" s="2781">
        <f t="shared" si="0"/>
        <v>0</v>
      </c>
      <c r="E15" s="2790">
        <f>SUMPRODUCT(('数据-基础表'!BB10:BK10="地下")*('数据-基础表'!BB11:BK11="车库—办公")*('数据-基础表'!BB5:BK5))</f>
        <v>0</v>
      </c>
      <c r="F15" s="2772"/>
      <c r="G15" s="2791"/>
      <c r="H15" s="2791"/>
      <c r="I15" s="2772"/>
      <c r="J15" s="2772"/>
      <c r="K15" s="2772"/>
      <c r="L15" s="2772"/>
      <c r="M15" s="2772"/>
      <c r="N15" s="2772"/>
      <c r="O15" s="2772"/>
      <c r="P15" s="2772"/>
    </row>
    <row r="16" spans="1:16" ht="15">
      <c r="A16" s="2783"/>
      <c r="B16" s="2793"/>
      <c r="C16" s="2789" t="s">
        <v>511</v>
      </c>
      <c r="D16" s="2789">
        <f>SUM(D8:D15)</f>
        <v>3431.42</v>
      </c>
      <c r="E16" s="2795">
        <f>SUM(E8:E15)</f>
        <v>11398.58</v>
      </c>
      <c r="F16" s="2772"/>
      <c r="G16" s="2791"/>
      <c r="H16" s="2796" t="s">
        <v>512</v>
      </c>
      <c r="I16" s="2839"/>
      <c r="J16" s="2263"/>
      <c r="K16" s="3309" t="s">
        <v>512</v>
      </c>
      <c r="L16" s="3310"/>
      <c r="M16" s="3310"/>
      <c r="N16" s="3310"/>
      <c r="O16" s="3310"/>
      <c r="P16" s="3311"/>
    </row>
    <row r="17" spans="1:19" ht="15">
      <c r="A17" s="2726" t="s">
        <v>513</v>
      </c>
      <c r="B17" s="2797" t="s">
        <v>514</v>
      </c>
      <c r="C17" s="2725" t="s">
        <v>515</v>
      </c>
      <c r="D17" s="2798" t="s">
        <v>488</v>
      </c>
      <c r="E17" s="2799" t="s">
        <v>489</v>
      </c>
      <c r="F17" s="2800"/>
      <c r="G17" s="2801"/>
      <c r="H17" s="2802" t="s">
        <v>516</v>
      </c>
      <c r="I17" s="2840" t="s">
        <v>517</v>
      </c>
      <c r="J17" s="2263"/>
      <c r="K17" s="3312" t="s">
        <v>518</v>
      </c>
      <c r="L17" s="3313"/>
      <c r="M17" s="3314"/>
      <c r="N17" s="3312" t="s">
        <v>519</v>
      </c>
      <c r="O17" s="3313"/>
      <c r="P17" s="3314"/>
      <c r="R17" s="2853" t="s">
        <v>520</v>
      </c>
      <c r="S17" s="2204"/>
    </row>
    <row r="18" spans="1:19" ht="15">
      <c r="A18" s="2792"/>
      <c r="B18" s="2803"/>
      <c r="C18" s="2804"/>
      <c r="D18" s="2805"/>
      <c r="E18" s="2806" t="s">
        <v>521</v>
      </c>
      <c r="F18" s="2807" t="s">
        <v>494</v>
      </c>
      <c r="G18" s="2808" t="s">
        <v>522</v>
      </c>
      <c r="H18" s="2731" t="s">
        <v>523</v>
      </c>
      <c r="I18" s="2841" t="s">
        <v>524</v>
      </c>
      <c r="J18" s="2263"/>
      <c r="K18" s="2731" t="s">
        <v>525</v>
      </c>
      <c r="L18" s="2428" t="s">
        <v>526</v>
      </c>
      <c r="M18" s="2836" t="s">
        <v>527</v>
      </c>
      <c r="N18" s="2731" t="s">
        <v>525</v>
      </c>
      <c r="O18" s="2428" t="s">
        <v>526</v>
      </c>
      <c r="P18" s="2836" t="s">
        <v>527</v>
      </c>
      <c r="R18" s="2215" t="s">
        <v>523</v>
      </c>
      <c r="S18" s="2215" t="s">
        <v>524</v>
      </c>
    </row>
    <row r="19" spans="1:19">
      <c r="A19" s="2809"/>
      <c r="B19" s="2789" t="s">
        <v>528</v>
      </c>
      <c r="C19" s="2810" t="s">
        <v>529</v>
      </c>
      <c r="D19" s="2781">
        <f>ROUND($D$3*E19/$E$3,2)</f>
        <v>3431.42</v>
      </c>
      <c r="E19" s="2811">
        <f t="shared" ref="E19:E26" si="1">SUM(F19:G19)</f>
        <v>11398.58</v>
      </c>
      <c r="F19" s="2812">
        <f>'数据-基础表'!I13+'数据-基础表'!M13</f>
        <v>10004.18</v>
      </c>
      <c r="G19" s="2813">
        <f>'数据-基础表'!K13</f>
        <v>1394.4</v>
      </c>
      <c r="H19" s="2715">
        <f>ROUND($D$3*I19/$E$3,2)</f>
        <v>0</v>
      </c>
      <c r="I19" s="2790">
        <f t="shared" ref="I19:I26" si="2">IF($I$17="自定义",P19,M19)</f>
        <v>0</v>
      </c>
      <c r="J19" s="2263"/>
      <c r="K19" s="2842">
        <f t="shared" ref="K19:K26" si="3">ROUND(E$28*E19/E$27,2)</f>
        <v>0</v>
      </c>
      <c r="L19" s="2215">
        <f t="shared" ref="L19:L26" si="4">ROUND(IF(COUNTIF(C19,"*住宅*")&gt;0,E$29*E19/E$32,0),2)</f>
        <v>0</v>
      </c>
      <c r="M19" s="2843">
        <f>K19+L19</f>
        <v>0</v>
      </c>
      <c r="N19" s="2844"/>
      <c r="O19" s="2845"/>
      <c r="P19" s="2843">
        <f>N19+O19</f>
        <v>0</v>
      </c>
      <c r="R19" s="2215">
        <f t="shared" ref="R19:S26" si="5">D19+H19</f>
        <v>3431.42</v>
      </c>
      <c r="S19" s="2854">
        <f t="shared" si="5"/>
        <v>11398.58</v>
      </c>
    </row>
    <row r="20" spans="1:19">
      <c r="A20" s="2814"/>
      <c r="B20" s="2789" t="s">
        <v>528</v>
      </c>
      <c r="C20" s="2815"/>
      <c r="D20" s="2781">
        <f t="shared" ref="D20:D26" si="6">ROUND($D$3*E20/$E$3,2)</f>
        <v>0</v>
      </c>
      <c r="E20" s="2811">
        <f t="shared" si="1"/>
        <v>0</v>
      </c>
      <c r="F20" s="2812"/>
      <c r="G20" s="2813"/>
      <c r="H20" s="2715">
        <f t="shared" ref="H20:H26" si="7">ROUND($D$3*I20/$E$3,2)</f>
        <v>0</v>
      </c>
      <c r="I20" s="2790">
        <f t="shared" si="2"/>
        <v>0</v>
      </c>
      <c r="J20" s="2263"/>
      <c r="K20" s="2842">
        <f t="shared" si="3"/>
        <v>0</v>
      </c>
      <c r="L20" s="2215">
        <f t="shared" si="4"/>
        <v>0</v>
      </c>
      <c r="M20" s="2843">
        <f t="shared" ref="M20:M26" si="8">K20+L20</f>
        <v>0</v>
      </c>
      <c r="N20" s="2844"/>
      <c r="O20" s="2845"/>
      <c r="P20" s="2843">
        <f t="shared" ref="P20:P26" si="9">N20+O20</f>
        <v>0</v>
      </c>
      <c r="R20" s="2215">
        <f t="shared" si="5"/>
        <v>0</v>
      </c>
      <c r="S20" s="2854">
        <f t="shared" si="5"/>
        <v>0</v>
      </c>
    </row>
    <row r="21" spans="1:19">
      <c r="A21" s="2814"/>
      <c r="B21" s="2789" t="s">
        <v>528</v>
      </c>
      <c r="C21" s="2815"/>
      <c r="D21" s="2781">
        <f t="shared" si="6"/>
        <v>0</v>
      </c>
      <c r="E21" s="2811">
        <f t="shared" si="1"/>
        <v>0</v>
      </c>
      <c r="F21" s="2812"/>
      <c r="G21" s="2813"/>
      <c r="H21" s="2715">
        <f t="shared" si="7"/>
        <v>0</v>
      </c>
      <c r="I21" s="2790">
        <f t="shared" si="2"/>
        <v>0</v>
      </c>
      <c r="J21" s="2263"/>
      <c r="K21" s="2842">
        <f t="shared" si="3"/>
        <v>0</v>
      </c>
      <c r="L21" s="2215">
        <f t="shared" si="4"/>
        <v>0</v>
      </c>
      <c r="M21" s="2843">
        <f t="shared" si="8"/>
        <v>0</v>
      </c>
      <c r="N21" s="2844"/>
      <c r="O21" s="2845"/>
      <c r="P21" s="2843">
        <f t="shared" si="9"/>
        <v>0</v>
      </c>
      <c r="R21" s="2215">
        <f t="shared" si="5"/>
        <v>0</v>
      </c>
      <c r="S21" s="2854">
        <f t="shared" si="5"/>
        <v>0</v>
      </c>
    </row>
    <row r="22" spans="1:19">
      <c r="A22" s="2814"/>
      <c r="B22" s="2789" t="s">
        <v>528</v>
      </c>
      <c r="C22" s="2816"/>
      <c r="D22" s="2781">
        <f t="shared" si="6"/>
        <v>0</v>
      </c>
      <c r="E22" s="2811">
        <f t="shared" si="1"/>
        <v>0</v>
      </c>
      <c r="F22" s="2817"/>
      <c r="G22" s="2818"/>
      <c r="H22" s="2715">
        <f t="shared" si="7"/>
        <v>0</v>
      </c>
      <c r="I22" s="2790">
        <f t="shared" si="2"/>
        <v>0</v>
      </c>
      <c r="J22" s="2263"/>
      <c r="K22" s="2842">
        <f t="shared" si="3"/>
        <v>0</v>
      </c>
      <c r="L22" s="2215">
        <f t="shared" si="4"/>
        <v>0</v>
      </c>
      <c r="M22" s="2843">
        <f t="shared" si="8"/>
        <v>0</v>
      </c>
      <c r="N22" s="2844"/>
      <c r="O22" s="2845"/>
      <c r="P22" s="2843">
        <f t="shared" si="9"/>
        <v>0</v>
      </c>
      <c r="R22" s="2215">
        <f t="shared" si="5"/>
        <v>0</v>
      </c>
      <c r="S22" s="2854">
        <f t="shared" si="5"/>
        <v>0</v>
      </c>
    </row>
    <row r="23" spans="1:19">
      <c r="A23" s="2814"/>
      <c r="B23" s="2789" t="s">
        <v>528</v>
      </c>
      <c r="C23" s="2816"/>
      <c r="D23" s="2781">
        <f t="shared" si="6"/>
        <v>0</v>
      </c>
      <c r="E23" s="2811">
        <f t="shared" si="1"/>
        <v>0</v>
      </c>
      <c r="F23" s="2817"/>
      <c r="G23" s="2818"/>
      <c r="H23" s="2715">
        <f t="shared" si="7"/>
        <v>0</v>
      </c>
      <c r="I23" s="2790">
        <f t="shared" si="2"/>
        <v>0</v>
      </c>
      <c r="J23" s="2263"/>
      <c r="K23" s="2842">
        <f t="shared" si="3"/>
        <v>0</v>
      </c>
      <c r="L23" s="2215">
        <f t="shared" si="4"/>
        <v>0</v>
      </c>
      <c r="M23" s="2843">
        <f t="shared" si="8"/>
        <v>0</v>
      </c>
      <c r="N23" s="2844"/>
      <c r="O23" s="2845"/>
      <c r="P23" s="2843">
        <f t="shared" si="9"/>
        <v>0</v>
      </c>
      <c r="R23" s="2215">
        <f t="shared" si="5"/>
        <v>0</v>
      </c>
      <c r="S23" s="2854">
        <f t="shared" si="5"/>
        <v>0</v>
      </c>
    </row>
    <row r="24" spans="1:19">
      <c r="A24" s="2814"/>
      <c r="B24" s="2789" t="s">
        <v>528</v>
      </c>
      <c r="C24" s="2816"/>
      <c r="D24" s="2781">
        <f t="shared" si="6"/>
        <v>0</v>
      </c>
      <c r="E24" s="2811">
        <f t="shared" si="1"/>
        <v>0</v>
      </c>
      <c r="F24" s="2817"/>
      <c r="G24" s="2818"/>
      <c r="H24" s="2715">
        <f t="shared" si="7"/>
        <v>0</v>
      </c>
      <c r="I24" s="2790">
        <f t="shared" si="2"/>
        <v>0</v>
      </c>
      <c r="J24" s="2263"/>
      <c r="K24" s="2842">
        <f t="shared" si="3"/>
        <v>0</v>
      </c>
      <c r="L24" s="2215">
        <f t="shared" si="4"/>
        <v>0</v>
      </c>
      <c r="M24" s="2843">
        <f t="shared" si="8"/>
        <v>0</v>
      </c>
      <c r="N24" s="2844"/>
      <c r="O24" s="2845"/>
      <c r="P24" s="2843">
        <f t="shared" si="9"/>
        <v>0</v>
      </c>
      <c r="R24" s="2215">
        <f t="shared" si="5"/>
        <v>0</v>
      </c>
      <c r="S24" s="2854">
        <f t="shared" si="5"/>
        <v>0</v>
      </c>
    </row>
    <row r="25" spans="1:19">
      <c r="A25" s="2814"/>
      <c r="B25" s="2789" t="s">
        <v>528</v>
      </c>
      <c r="C25" s="2816"/>
      <c r="D25" s="2781">
        <f t="shared" si="6"/>
        <v>0</v>
      </c>
      <c r="E25" s="2811">
        <f t="shared" si="1"/>
        <v>0</v>
      </c>
      <c r="F25" s="2817"/>
      <c r="G25" s="2818"/>
      <c r="H25" s="2780">
        <f t="shared" si="7"/>
        <v>0</v>
      </c>
      <c r="I25" s="2790">
        <f t="shared" si="2"/>
        <v>0</v>
      </c>
      <c r="J25" s="2263"/>
      <c r="K25" s="2842">
        <f t="shared" si="3"/>
        <v>0</v>
      </c>
      <c r="L25" s="2215">
        <f t="shared" si="4"/>
        <v>0</v>
      </c>
      <c r="M25" s="2843">
        <f t="shared" si="8"/>
        <v>0</v>
      </c>
      <c r="N25" s="2844"/>
      <c r="O25" s="2845"/>
      <c r="P25" s="2843">
        <f t="shared" si="9"/>
        <v>0</v>
      </c>
      <c r="R25" s="2215">
        <f t="shared" si="5"/>
        <v>0</v>
      </c>
      <c r="S25" s="2854">
        <f t="shared" si="5"/>
        <v>0</v>
      </c>
    </row>
    <row r="26" spans="1:19">
      <c r="A26" s="2814"/>
      <c r="B26" s="2789" t="s">
        <v>528</v>
      </c>
      <c r="C26" s="2819"/>
      <c r="D26" s="2781">
        <f t="shared" si="6"/>
        <v>0</v>
      </c>
      <c r="E26" s="2811">
        <f t="shared" si="1"/>
        <v>0</v>
      </c>
      <c r="F26" s="2817"/>
      <c r="G26" s="2818"/>
      <c r="H26" s="2780">
        <f t="shared" si="7"/>
        <v>0</v>
      </c>
      <c r="I26" s="2790">
        <f t="shared" si="2"/>
        <v>0</v>
      </c>
      <c r="J26" s="2263"/>
      <c r="K26" s="2776">
        <f t="shared" si="3"/>
        <v>0</v>
      </c>
      <c r="L26" s="2785">
        <f t="shared" si="4"/>
        <v>0</v>
      </c>
      <c r="M26" s="2826">
        <f t="shared" si="8"/>
        <v>0</v>
      </c>
      <c r="N26" s="2846"/>
      <c r="O26" s="2847"/>
      <c r="P26" s="2826">
        <f t="shared" si="9"/>
        <v>0</v>
      </c>
      <c r="R26" s="2215">
        <f t="shared" si="5"/>
        <v>0</v>
      </c>
      <c r="S26" s="2854">
        <f t="shared" si="5"/>
        <v>0</v>
      </c>
    </row>
    <row r="27" spans="1:19" ht="15">
      <c r="A27" s="2814"/>
      <c r="B27" s="2781"/>
      <c r="C27" s="2418" t="s">
        <v>530</v>
      </c>
      <c r="D27" s="2820">
        <f>SUM(D19:D26)</f>
        <v>3431.42</v>
      </c>
      <c r="E27" s="2821">
        <f>IF(SUM(E19:E26)='数据-基础表'!BA5,SUM(E19:E26),IF(F27="地上面积有误","面积有误","地下面积有误"))</f>
        <v>11398.58</v>
      </c>
      <c r="F27" s="2820">
        <f>IF(SUM(F19:F26)=E8,SUM(F19:F26),"地上面积有误")</f>
        <v>10004.18</v>
      </c>
      <c r="G27" s="2822">
        <f>SUM(G19:G26)</f>
        <v>1394.4</v>
      </c>
      <c r="H27" s="2823">
        <f>SUM(H19:H26)</f>
        <v>0</v>
      </c>
      <c r="I27" s="2848">
        <f>SUM(I19:I26)</f>
        <v>0</v>
      </c>
      <c r="J27" s="2263"/>
      <c r="K27" s="2849">
        <f>SUM(K19:K26)</f>
        <v>0</v>
      </c>
      <c r="L27" s="2850">
        <f>SUM(L19:L26)</f>
        <v>0</v>
      </c>
      <c r="M27" s="2851">
        <f>SUM(M19:M26)</f>
        <v>0</v>
      </c>
      <c r="N27" s="2849">
        <f t="shared" ref="N27:P27" si="10">SUM(N19:N26)</f>
        <v>0</v>
      </c>
      <c r="O27" s="2850">
        <f t="shared" si="10"/>
        <v>0</v>
      </c>
      <c r="P27" s="2852">
        <f t="shared" si="10"/>
        <v>0</v>
      </c>
      <c r="R27" s="2763">
        <f>IF(SUM(R19:R26)=$D$3,SUM(R19:R26),SUM(R19:R26)&amp;"误差"&amp;ROUND(SUM(R19:R26)-$D$3,2))</f>
        <v>3431.42</v>
      </c>
      <c r="S27" s="2215">
        <f>IF(SUM(S19:S26)=$E$3,SUM(S19:S26),SUM(S19:S26)&amp;"误差"&amp;ROUND(SUM(S19:S26)-E3,2))</f>
        <v>11398.58</v>
      </c>
    </row>
    <row r="28" spans="1:19">
      <c r="A28" s="2814"/>
      <c r="B28" s="2789" t="s">
        <v>531</v>
      </c>
      <c r="C28" s="2737" t="s">
        <v>532</v>
      </c>
      <c r="D28" s="2781">
        <f>ROUND($D$3*E28/$E$3,2)</f>
        <v>0</v>
      </c>
      <c r="E28" s="2811">
        <f>SUM(F28:G28)</f>
        <v>0</v>
      </c>
      <c r="F28" s="2204">
        <f>'数据-基础表'!BQ5+'数据-基础表'!BS5</f>
        <v>0</v>
      </c>
      <c r="G28" s="2824">
        <f>'数据-基础表'!BR5+'数据-基础表'!BT5</f>
        <v>0</v>
      </c>
      <c r="H28" s="2772"/>
      <c r="I28" s="2772"/>
      <c r="J28" s="2772"/>
      <c r="K28" s="2772"/>
      <c r="L28" s="2772"/>
      <c r="M28" s="2772"/>
      <c r="N28" s="2772"/>
      <c r="O28" s="2772"/>
      <c r="P28" s="2772"/>
    </row>
    <row r="29" spans="1:19">
      <c r="A29" s="2814"/>
      <c r="B29" s="2789" t="s">
        <v>531</v>
      </c>
      <c r="C29" s="2261" t="s">
        <v>533</v>
      </c>
      <c r="D29" s="2781">
        <f>ROUND($D$3*E29/$E$3,2)</f>
        <v>0</v>
      </c>
      <c r="E29" s="2811">
        <f>SUM(F29:G29)</f>
        <v>0</v>
      </c>
      <c r="F29" s="2825">
        <f>'数据-基础表'!BM5+'数据-基础表'!BO5</f>
        <v>0</v>
      </c>
      <c r="G29" s="2826">
        <f>'数据-基础表'!BN5+'数据-基础表'!BP5</f>
        <v>0</v>
      </c>
      <c r="H29" s="2772"/>
      <c r="I29" s="2772"/>
      <c r="J29" s="2772"/>
      <c r="K29" s="2772"/>
      <c r="L29" s="2772"/>
      <c r="M29" s="2772"/>
      <c r="N29" s="2772"/>
      <c r="O29" s="2772"/>
      <c r="P29" s="2772"/>
    </row>
    <row r="30" spans="1:19" ht="15">
      <c r="A30" s="2814"/>
      <c r="B30" s="2789"/>
      <c r="C30" s="2827" t="s">
        <v>530</v>
      </c>
      <c r="D30" s="2820">
        <f>SUM(D28:D29)</f>
        <v>0</v>
      </c>
      <c r="E30" s="2820">
        <f>SUM(E28:E29)</f>
        <v>0</v>
      </c>
      <c r="F30" s="2820">
        <f>SUM(F28:F29)</f>
        <v>0</v>
      </c>
      <c r="G30" s="2822">
        <f>SUM(G28:G29)</f>
        <v>0</v>
      </c>
      <c r="H30" s="2772"/>
      <c r="I30" s="2772"/>
      <c r="J30" s="2772"/>
      <c r="K30" s="2772"/>
      <c r="L30" s="2772"/>
      <c r="M30" s="2772"/>
      <c r="N30" s="2772"/>
      <c r="O30" s="2772"/>
      <c r="P30" s="2772"/>
    </row>
    <row r="31" spans="1:19" ht="15">
      <c r="A31" s="2828"/>
      <c r="B31" s="2829"/>
      <c r="C31" s="2145" t="s">
        <v>534</v>
      </c>
      <c r="D31" s="2830">
        <f>D27+D30</f>
        <v>3431.42</v>
      </c>
      <c r="E31" s="2830">
        <f>E27+E30</f>
        <v>11398.58</v>
      </c>
      <c r="F31" s="2831">
        <f>F27+F30</f>
        <v>10004.18</v>
      </c>
      <c r="G31" s="2832">
        <f>G27+G30</f>
        <v>1394.4</v>
      </c>
      <c r="H31" s="2772"/>
      <c r="I31" s="2772"/>
      <c r="J31" s="2772"/>
      <c r="K31" s="2772"/>
      <c r="L31" s="2772"/>
      <c r="M31" s="2772"/>
      <c r="N31" s="2772"/>
      <c r="O31" s="2772"/>
      <c r="P31" s="2772"/>
    </row>
    <row r="32" spans="1:19">
      <c r="A32" s="2833"/>
      <c r="B32" s="2833" t="s">
        <v>535</v>
      </c>
      <c r="C32" s="2833"/>
      <c r="D32" s="2833"/>
      <c r="E32" s="2834">
        <f>SUMIF(C19:C26,"*住宅*",E19:E26)</f>
        <v>0</v>
      </c>
      <c r="F32" s="2833"/>
      <c r="G32" s="2833"/>
      <c r="H32" s="2772"/>
      <c r="I32" s="2772"/>
      <c r="J32" s="2772"/>
      <c r="K32" s="2772"/>
      <c r="L32" s="2772"/>
      <c r="M32" s="2772"/>
      <c r="N32" s="2772"/>
      <c r="O32" s="2772"/>
      <c r="P32" s="2772"/>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P6" activePane="bottomRight" state="frozen"/>
      <selection pane="topRight"/>
      <selection pane="bottomLeft"/>
      <selection pane="bottomRight" activeCell="R22" sqref="R22"/>
    </sheetView>
  </sheetViews>
  <sheetFormatPr defaultColWidth="13.75" defaultRowHeight="12.75"/>
  <cols>
    <col min="1" max="1" width="25.375" style="2563" customWidth="1"/>
    <col min="2" max="2" width="12" style="2564" customWidth="1"/>
    <col min="3" max="3" width="12.75" style="2564" customWidth="1"/>
    <col min="4" max="4" width="9.125" style="2565" customWidth="1"/>
    <col min="5" max="5" width="15" style="2564" customWidth="1"/>
    <col min="6" max="10" width="8.875" style="2564" customWidth="1"/>
    <col min="11" max="12" width="12.375" style="2566" customWidth="1"/>
    <col min="13" max="13" width="8.625" style="2564" customWidth="1"/>
    <col min="14" max="14" width="11.875" style="2564" customWidth="1"/>
    <col min="15" max="15" width="8.5" style="2564" customWidth="1"/>
    <col min="16" max="17" width="10.875" style="2564" customWidth="1"/>
    <col min="18" max="19" width="12.5" style="2564" customWidth="1"/>
    <col min="20" max="20" width="12.125" style="2564" customWidth="1"/>
    <col min="21" max="21" width="7.5" style="2564" customWidth="1"/>
    <col min="22" max="22" width="6.375" style="2564" customWidth="1"/>
    <col min="23" max="30" width="6.75" style="2564" customWidth="1"/>
    <col min="31" max="31" width="8" style="2564" customWidth="1"/>
    <col min="32" max="34" width="7.25" style="2564" customWidth="1"/>
    <col min="35" max="39" width="8" style="2564" customWidth="1"/>
    <col min="40" max="40" width="13.75" style="2562"/>
    <col min="41" max="41" width="11.625" style="2562" customWidth="1"/>
    <col min="42" max="42" width="9.75" style="2562" customWidth="1"/>
    <col min="43" max="67" width="13.75" style="2562"/>
    <col min="68" max="16384" width="13.75" style="2564"/>
  </cols>
  <sheetData>
    <row r="1" spans="1:67" ht="18.75">
      <c r="A1" s="2567" t="s">
        <v>536</v>
      </c>
      <c r="B1" s="2568"/>
      <c r="C1" s="1894"/>
      <c r="D1" s="2569"/>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59" customFormat="1" ht="15">
      <c r="A2" s="2570" t="s">
        <v>537</v>
      </c>
      <c r="B2" s="2571">
        <f>项目基本情况!D3</f>
        <v>44889</v>
      </c>
      <c r="C2" s="2572"/>
      <c r="D2" s="2573"/>
      <c r="E2" s="2572"/>
      <c r="F2" s="2572"/>
      <c r="G2" s="2572"/>
      <c r="H2" s="2572"/>
      <c r="I2" s="2572"/>
      <c r="J2" s="2572"/>
      <c r="K2" s="2670"/>
      <c r="L2" s="2670"/>
      <c r="M2" s="2572"/>
      <c r="N2" s="2572"/>
      <c r="O2" s="2572"/>
      <c r="P2" s="2572"/>
      <c r="Q2" s="2572"/>
      <c r="R2" s="2572"/>
      <c r="S2" s="2572"/>
      <c r="T2" s="2572"/>
      <c r="U2" s="2572"/>
      <c r="V2" s="2572"/>
      <c r="W2" s="2572"/>
      <c r="X2" s="2572"/>
      <c r="Y2" s="2572"/>
      <c r="Z2" s="2572"/>
      <c r="AA2" s="2572"/>
      <c r="AB2" s="2572"/>
      <c r="AC2" s="2572"/>
      <c r="AD2" s="2572"/>
      <c r="AE2" s="2572"/>
      <c r="AF2" s="2572"/>
      <c r="AG2" s="2572"/>
      <c r="AH2" s="2572"/>
      <c r="AI2" s="2572"/>
      <c r="AJ2" s="2572"/>
      <c r="AK2" s="2572"/>
      <c r="AL2" s="2572"/>
      <c r="AM2" s="2572"/>
      <c r="AN2" s="2605"/>
      <c r="AO2" s="2605"/>
      <c r="AP2" s="2605"/>
      <c r="AQ2" s="2605"/>
      <c r="AR2" s="2605"/>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59" customFormat="1" ht="14.25">
      <c r="A3" s="2574"/>
      <c r="B3" s="2575"/>
      <c r="C3" s="2572"/>
      <c r="D3" s="2573"/>
      <c r="E3" s="2572"/>
      <c r="F3" s="2572"/>
      <c r="G3" s="2572"/>
      <c r="H3" s="2572"/>
      <c r="I3" s="2572"/>
      <c r="J3" s="2572"/>
      <c r="K3" s="2670"/>
      <c r="L3" s="2670"/>
      <c r="M3" s="2572"/>
      <c r="N3" s="2572"/>
      <c r="O3" s="2572"/>
      <c r="P3" s="2572"/>
      <c r="Q3" s="2572"/>
      <c r="R3" s="2572"/>
      <c r="S3" s="2572"/>
      <c r="T3" s="2572"/>
      <c r="U3" s="2572"/>
      <c r="V3" s="2572"/>
      <c r="W3" s="2572"/>
      <c r="X3" s="2572"/>
      <c r="Y3" s="2572"/>
      <c r="Z3" s="2572"/>
      <c r="AA3" s="2572"/>
      <c r="AB3" s="2572"/>
      <c r="AC3" s="2572"/>
      <c r="AD3" s="2572"/>
      <c r="AE3" s="2572"/>
      <c r="AF3" s="2572"/>
      <c r="AG3" s="2572"/>
      <c r="AH3" s="2572"/>
      <c r="AI3" s="2572"/>
      <c r="AJ3" s="2572"/>
      <c r="AK3" s="2572"/>
      <c r="AL3" s="2572"/>
      <c r="AM3" s="2572"/>
      <c r="AN3" s="2605"/>
      <c r="AO3" s="2605"/>
      <c r="AP3" s="2605"/>
      <c r="AQ3" s="2605"/>
      <c r="AR3" s="2605"/>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59" customFormat="1" ht="14.25">
      <c r="A4" s="1365" t="s">
        <v>538</v>
      </c>
      <c r="B4" s="2222"/>
      <c r="C4" s="2576"/>
      <c r="D4" s="2577"/>
      <c r="E4" s="2576" t="s">
        <v>539</v>
      </c>
      <c r="F4" s="2576"/>
      <c r="G4" s="2576"/>
      <c r="H4" s="2576"/>
      <c r="I4" s="2576"/>
      <c r="J4" s="2671"/>
      <c r="K4" s="2672"/>
      <c r="L4" s="2673"/>
      <c r="M4" s="2576"/>
      <c r="N4" s="2576" t="s">
        <v>540</v>
      </c>
      <c r="O4" s="2576"/>
      <c r="P4" s="2576"/>
      <c r="Q4" s="2576"/>
      <c r="R4" s="2576"/>
      <c r="S4" s="2671"/>
      <c r="T4" s="2698" t="str">
        <f>'数据-汇总表'!I17</f>
        <v>按面积比例</v>
      </c>
      <c r="U4" s="2222" t="s">
        <v>541</v>
      </c>
      <c r="V4" s="2576"/>
      <c r="W4" s="2576"/>
      <c r="X4" s="2576"/>
      <c r="Y4" s="2671"/>
      <c r="Z4" s="2725" t="s">
        <v>542</v>
      </c>
      <c r="AA4" s="2725"/>
      <c r="AB4" s="2725"/>
      <c r="AC4" s="2725"/>
      <c r="AD4" s="2725"/>
      <c r="AE4" s="2726" t="s">
        <v>543</v>
      </c>
      <c r="AF4" s="2725"/>
      <c r="AG4" s="2741"/>
      <c r="AH4" s="2222"/>
      <c r="AI4" s="2576"/>
      <c r="AJ4" s="2576"/>
      <c r="AK4" s="2576"/>
      <c r="AL4" s="2576"/>
      <c r="AM4" s="2671"/>
      <c r="AN4" s="2605"/>
      <c r="AO4" s="2605"/>
      <c r="AP4" s="2605"/>
      <c r="AQ4" s="2605"/>
      <c r="AR4" s="2605"/>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60" customFormat="1" ht="42">
      <c r="A5" s="2578" t="s">
        <v>515</v>
      </c>
      <c r="B5" s="2579" t="s">
        <v>514</v>
      </c>
      <c r="C5" s="2580" t="s">
        <v>544</v>
      </c>
      <c r="D5" s="2581" t="s">
        <v>545</v>
      </c>
      <c r="E5" s="2582" t="s">
        <v>546</v>
      </c>
      <c r="F5" s="2583" t="s">
        <v>547</v>
      </c>
      <c r="G5" s="2582" t="s">
        <v>548</v>
      </c>
      <c r="H5" s="2582" t="s">
        <v>549</v>
      </c>
      <c r="I5" s="2582" t="s">
        <v>550</v>
      </c>
      <c r="J5" s="2674" t="s">
        <v>551</v>
      </c>
      <c r="K5" s="2675" t="s">
        <v>524</v>
      </c>
      <c r="L5" s="2676" t="s">
        <v>552</v>
      </c>
      <c r="M5" s="2677" t="s">
        <v>553</v>
      </c>
      <c r="N5" s="2678" t="s">
        <v>554</v>
      </c>
      <c r="O5" s="2676" t="s">
        <v>555</v>
      </c>
      <c r="P5" s="2679" t="s">
        <v>556</v>
      </c>
      <c r="Q5" s="1253" t="s">
        <v>557</v>
      </c>
      <c r="R5" s="2699" t="s">
        <v>558</v>
      </c>
      <c r="S5" s="2700" t="s">
        <v>559</v>
      </c>
      <c r="T5" s="2701" t="s">
        <v>560</v>
      </c>
      <c r="U5" s="2702" t="s">
        <v>561</v>
      </c>
      <c r="V5" s="2582" t="s">
        <v>562</v>
      </c>
      <c r="W5" s="2582" t="s">
        <v>563</v>
      </c>
      <c r="X5" s="939"/>
      <c r="Y5" s="1382" t="s">
        <v>564</v>
      </c>
      <c r="Z5" s="2727" t="s">
        <v>561</v>
      </c>
      <c r="AA5" s="2582" t="s">
        <v>562</v>
      </c>
      <c r="AB5" s="2582" t="s">
        <v>563</v>
      </c>
      <c r="AC5" s="939"/>
      <c r="AD5" s="939" t="s">
        <v>564</v>
      </c>
      <c r="AE5" s="2702" t="s">
        <v>565</v>
      </c>
      <c r="AF5" s="2582" t="s">
        <v>566</v>
      </c>
      <c r="AG5" s="1382" t="s">
        <v>567</v>
      </c>
      <c r="AH5" s="2702" t="s">
        <v>568</v>
      </c>
      <c r="AI5" s="2727" t="s">
        <v>569</v>
      </c>
      <c r="AJ5" s="2727" t="s">
        <v>570</v>
      </c>
      <c r="AK5" s="2582" t="s">
        <v>571</v>
      </c>
      <c r="AL5" s="2582" t="s">
        <v>572</v>
      </c>
      <c r="AM5" s="1382" t="s">
        <v>573</v>
      </c>
      <c r="AN5" s="2742" t="s">
        <v>574</v>
      </c>
      <c r="AO5" s="2762" t="s">
        <v>575</v>
      </c>
      <c r="AP5" s="2763" t="s">
        <v>576</v>
      </c>
      <c r="AQ5" s="2764" t="s">
        <v>577</v>
      </c>
      <c r="AR5" s="2764" t="s">
        <v>578</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59" customFormat="1" ht="14.25">
      <c r="A6" s="2584" t="str">
        <f>'数据-汇总表'!C19</f>
        <v>综合楼</v>
      </c>
      <c r="B6" s="2585" t="str">
        <f>IF(A6=0,"","经营性")</f>
        <v>经营性</v>
      </c>
      <c r="C6" s="2586" t="s">
        <v>452</v>
      </c>
      <c r="D6" s="2587">
        <f>SUMIF(项目基本情况!D$12:I$12,C6,项目基本情况!D$14:I$14)</f>
        <v>50</v>
      </c>
      <c r="E6" s="2588">
        <f>IF(B6="","",SUMIF(项目基本情况!D$12:I$12,C6,项目基本情况!D$13:I$13))</f>
        <v>56957</v>
      </c>
      <c r="F6" s="2589">
        <f>SUMIF(项目基本情况!D$12:I$12,C6,项目基本情况!D$15:I$15)</f>
        <v>33.06</v>
      </c>
      <c r="G6" s="2590">
        <f>IF(ISERROR(ROUND(POWER(1+H6,D6-F6)*(POWER(1+H6,F6)-1)/(POWER(1+H6,D6)-1),3)),0,ROUND(POWER(1+H6,D6-F6)*(POWER(1+H6,F6)-1)/(POWER(1+H6,D6)-1),3))</f>
        <v>0.877</v>
      </c>
      <c r="H6" s="2591">
        <v>0.05</v>
      </c>
      <c r="I6" s="2591">
        <v>5.5E-2</v>
      </c>
      <c r="J6" s="2592">
        <v>7.4999999999999997E-2</v>
      </c>
      <c r="K6" s="2680">
        <f>SUMIF('数据-汇总表'!C$19:C$33,A6,'数据-汇总表'!E$19:E$33)</f>
        <v>11398.58</v>
      </c>
      <c r="L6" s="2681">
        <v>5000</v>
      </c>
      <c r="M6" s="2682">
        <f t="shared" ref="M6:M14" si="0">ROUND(K6*L6/10000,0)</f>
        <v>5699</v>
      </c>
      <c r="N6" s="2683">
        <f>N24</f>
        <v>0.98</v>
      </c>
      <c r="O6" s="2682" t="str">
        <f>IF($N$5="成新度","——",ROUND(M6*N6,0))</f>
        <v>——</v>
      </c>
      <c r="P6" s="2684" t="str">
        <f>IF($N$5="成新度","——",M6-O6)</f>
        <v>——</v>
      </c>
      <c r="Q6" s="2703">
        <v>0.15</v>
      </c>
      <c r="R6" s="2704">
        <f ca="1">SUMIF('数据-汇总表'!C$19:C$33,A6,'数据-汇总表'!R$19:R$27)</f>
        <v>3431.42</v>
      </c>
      <c r="S6" s="2705">
        <f>IF('数据-汇总表'!$I$17="按面积比例",SUMIF('数据-汇总表'!C$19:C$33,A6,'数据-汇总表'!K$19:K$33),SUMIF('数据-汇总表'!C$19:C$33,A6,'数据-汇总表'!N$19:N$33))</f>
        <v>0</v>
      </c>
      <c r="T6" s="2706">
        <f>ROUND($L$14*S6/10000,0)</f>
        <v>0</v>
      </c>
      <c r="U6" s="2707">
        <v>4.05</v>
      </c>
      <c r="V6" s="2708">
        <v>0</v>
      </c>
      <c r="W6" s="2708">
        <v>0</v>
      </c>
      <c r="X6" s="2709"/>
      <c r="Y6" s="2728">
        <f>N6</f>
        <v>0.98</v>
      </c>
      <c r="Z6" s="2729">
        <v>4.38</v>
      </c>
      <c r="AA6" s="2592">
        <v>0.03</v>
      </c>
      <c r="AB6" s="2592">
        <v>0.1</v>
      </c>
      <c r="AC6" s="2709"/>
      <c r="AD6" s="2730">
        <f>AD19</f>
        <v>0.77</v>
      </c>
      <c r="AE6" s="2731">
        <f ca="1">IF(AN6="",0,SUMIF(INDIRECT("'"&amp;AN6&amp;"'"&amp;"!E:E"),$AE$5,INDIRECT("'"&amp;AN6&amp;"'"&amp;"!F:F")))</f>
        <v>33.06</v>
      </c>
      <c r="AF6" s="2201">
        <v>12.77</v>
      </c>
      <c r="AG6" s="1556">
        <f ca="1">IF(AF6="",0,AE6-AF6)</f>
        <v>20.290000000000003</v>
      </c>
      <c r="AH6" s="2713"/>
      <c r="AI6" s="2743">
        <v>365</v>
      </c>
      <c r="AJ6" s="2744"/>
      <c r="AK6" s="2745">
        <v>0</v>
      </c>
      <c r="AL6" s="2746">
        <v>0</v>
      </c>
      <c r="AM6" s="2747">
        <v>5.0000000000000001E-3</v>
      </c>
      <c r="AN6" s="2748" t="s">
        <v>579</v>
      </c>
      <c r="AO6" s="1131">
        <f ca="1">SUMIF(INDIRECT("'"&amp;AN6&amp;"'"&amp;"!A:A"),"总价",INDIRECT("'"&amp;AN6&amp;"'"&amp;"!B:B"))</f>
        <v>23109</v>
      </c>
      <c r="AP6" s="2765">
        <f>IF(C6="住宅",K6*L6,0)</f>
        <v>0</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59" customFormat="1" ht="14.25">
      <c r="A7" s="2584">
        <f>'数据-汇总表'!C20</f>
        <v>0</v>
      </c>
      <c r="B7" s="2585" t="str">
        <f t="shared" ref="B7:B13" si="1">IF(A7=0,"","经营性")</f>
        <v/>
      </c>
      <c r="C7" s="2586"/>
      <c r="D7" s="2587">
        <f>SUMIF(项目基本情况!D$12:I$12,C7,项目基本情况!D$14:I$14)</f>
        <v>0</v>
      </c>
      <c r="E7" s="2588" t="str">
        <f>IF(B7="","",SUMIF(项目基本情况!D$12:I$12,C7,项目基本情况!D$13:I$13))</f>
        <v/>
      </c>
      <c r="F7" s="2589">
        <f>SUMIF(项目基本情况!D$12:I$12,C7,项目基本情况!D$15:I$15)</f>
        <v>0</v>
      </c>
      <c r="G7" s="2590">
        <f t="shared" ref="G7:G13" si="2">IF(ISERROR(ROUND(POWER(1+H7,D7-F7)*(POWER(1+H7,F7)-1)/(POWER(1+H7,D7)-1),3)),0,ROUND(POWER(1+H7,D7-F7)*(POWER(1+H7,F7)-1)/(POWER(1+H7,D7)-1),3))</f>
        <v>0</v>
      </c>
      <c r="H7" s="2591"/>
      <c r="I7" s="2591"/>
      <c r="J7" s="2592"/>
      <c r="K7" s="2680">
        <f>SUMIF('数据-汇总表'!C$19:C$33,A7,'数据-汇总表'!E$19:E$33)</f>
        <v>0</v>
      </c>
      <c r="L7" s="2685"/>
      <c r="M7" s="2682">
        <f t="shared" si="0"/>
        <v>0</v>
      </c>
      <c r="N7" s="2686"/>
      <c r="O7" s="2682" t="str">
        <f t="shared" ref="O7:O14" si="3">IF($N$5="成新度","——",ROUND(M7*N7,0))</f>
        <v>——</v>
      </c>
      <c r="P7" s="2684" t="str">
        <f t="shared" ref="P7:P14" si="4">IF($N$5="成新度","——",M7-O7)</f>
        <v>——</v>
      </c>
      <c r="Q7" s="2703"/>
      <c r="R7" s="2704">
        <f ca="1">SUMIF('数据-汇总表'!C$19:C$33,A7,'数据-汇总表'!R$19:R$27)</f>
        <v>0</v>
      </c>
      <c r="S7" s="2705">
        <f>IF('数据-汇总表'!$I$17="按面积比例",SUMIF('数据-汇总表'!C$19:C$33,A7,'数据-汇总表'!K$19:K$33),SUMIF('数据-汇总表'!C$19:C$33,A7,'数据-汇总表'!N$19:N$33))</f>
        <v>0</v>
      </c>
      <c r="T7" s="2706">
        <f t="shared" ref="T7:T13" si="5">ROUND($L$14*S7/10000,0)</f>
        <v>0</v>
      </c>
      <c r="U7" s="2707"/>
      <c r="V7" s="2708"/>
      <c r="W7" s="2708"/>
      <c r="X7" s="2709"/>
      <c r="Y7" s="2728"/>
      <c r="Z7" s="2732"/>
      <c r="AA7" s="2592"/>
      <c r="AB7" s="2592"/>
      <c r="AC7" s="2709"/>
      <c r="AD7" s="2733"/>
      <c r="AE7" s="2731">
        <f t="shared" ref="AE7:AE13" ca="1" si="6">IF(AN7="",0,SUMIF(INDIRECT("'"&amp;AN7&amp;"'"&amp;"!E:E"),$AE$5,INDIRECT("'"&amp;AN7&amp;"'"&amp;"!F:F")))</f>
        <v>0</v>
      </c>
      <c r="AF7" s="2201"/>
      <c r="AG7" s="1556">
        <f t="shared" ref="AG7:AG13" si="7">IF(AF7="",0,AE7-AF7)</f>
        <v>0</v>
      </c>
      <c r="AH7" s="2713"/>
      <c r="AI7" s="2743"/>
      <c r="AJ7" s="2744"/>
      <c r="AK7" s="2749"/>
      <c r="AL7" s="2750"/>
      <c r="AM7" s="2751"/>
      <c r="AN7" s="2748"/>
      <c r="AO7" s="1131" t="e">
        <f t="shared" ref="AO7:AO13" ca="1" si="8">SUMIF(INDIRECT("'"&amp;AN7&amp;"'"&amp;"!A:A"),"总价",INDIRECT("'"&amp;AN7&amp;"'"&amp;"!B:B"))</f>
        <v>#REF!</v>
      </c>
      <c r="AP7" s="2765">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59" customFormat="1" ht="14.25">
      <c r="A8" s="2584">
        <f>'数据-汇总表'!C21</f>
        <v>0</v>
      </c>
      <c r="B8" s="2585" t="str">
        <f t="shared" si="1"/>
        <v/>
      </c>
      <c r="C8" s="2586"/>
      <c r="D8" s="2587">
        <f>SUMIF(项目基本情况!D$12:I$12,C8,项目基本情况!D$14:I$14)</f>
        <v>0</v>
      </c>
      <c r="E8" s="2588" t="str">
        <f>IF(B8="","",SUMIF(项目基本情况!D$12:I$12,C8,项目基本情况!D$13:I$13))</f>
        <v/>
      </c>
      <c r="F8" s="2589">
        <f>SUMIF(项目基本情况!D$12:I$12,C8,项目基本情况!D$15:I$15)</f>
        <v>0</v>
      </c>
      <c r="G8" s="2590">
        <f t="shared" si="2"/>
        <v>0</v>
      </c>
      <c r="H8" s="2591"/>
      <c r="I8" s="2591"/>
      <c r="J8" s="2592"/>
      <c r="K8" s="2680">
        <f>SUMIF('数据-汇总表'!C$19:C$33,A8,'数据-汇总表'!E$19:E$33)</f>
        <v>0</v>
      </c>
      <c r="L8" s="2685"/>
      <c r="M8" s="2682">
        <f t="shared" si="0"/>
        <v>0</v>
      </c>
      <c r="N8" s="2686"/>
      <c r="O8" s="2682" t="str">
        <f t="shared" si="3"/>
        <v>——</v>
      </c>
      <c r="P8" s="2684" t="str">
        <f t="shared" si="4"/>
        <v>——</v>
      </c>
      <c r="Q8" s="2703"/>
      <c r="R8" s="2704">
        <f ca="1">SUMIF('数据-汇总表'!C$19:C$33,A8,'数据-汇总表'!R$19:R$27)</f>
        <v>0</v>
      </c>
      <c r="S8" s="2705">
        <f>IF('数据-汇总表'!$I$17="按面积比例",SUMIF('数据-汇总表'!C$19:C$33,A8,'数据-汇总表'!K$19:K$33),SUMIF('数据-汇总表'!C$19:C$33,A8,'数据-汇总表'!N$19:N$33))</f>
        <v>0</v>
      </c>
      <c r="T8" s="2706">
        <f t="shared" si="5"/>
        <v>0</v>
      </c>
      <c r="U8" s="2710"/>
      <c r="V8" s="2711"/>
      <c r="W8" s="2711"/>
      <c r="X8" s="2709"/>
      <c r="Y8" s="2734"/>
      <c r="Z8" s="2732"/>
      <c r="AA8" s="2592"/>
      <c r="AB8" s="2592"/>
      <c r="AC8" s="2709"/>
      <c r="AD8" s="2733"/>
      <c r="AE8" s="2731">
        <f t="shared" ca="1" si="6"/>
        <v>0</v>
      </c>
      <c r="AF8" s="2201"/>
      <c r="AG8" s="1556">
        <f t="shared" si="7"/>
        <v>0</v>
      </c>
      <c r="AH8" s="2752"/>
      <c r="AI8" s="2743"/>
      <c r="AJ8" s="2744"/>
      <c r="AK8" s="2753"/>
      <c r="AL8" s="2754"/>
      <c r="AM8" s="2755"/>
      <c r="AN8" s="2748"/>
      <c r="AO8" s="1131" t="e">
        <f t="shared" ca="1" si="8"/>
        <v>#REF!</v>
      </c>
      <c r="AP8" s="2765">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59" customFormat="1" ht="14.25">
      <c r="A9" s="2584">
        <f>'数据-汇总表'!C22</f>
        <v>0</v>
      </c>
      <c r="B9" s="2585" t="str">
        <f t="shared" si="1"/>
        <v/>
      </c>
      <c r="C9" s="2586"/>
      <c r="D9" s="2587">
        <f>SUMIF(项目基本情况!D$12:I$12,C9,项目基本情况!D$14:I$14)</f>
        <v>0</v>
      </c>
      <c r="E9" s="2588" t="str">
        <f>IF(B9="","",SUMIF(项目基本情况!D$12:I$12,C9,项目基本情况!D$13:I$13))</f>
        <v/>
      </c>
      <c r="F9" s="2589">
        <f>SUMIF(项目基本情况!D$12:I$12,C9,项目基本情况!D$15:I$15)</f>
        <v>0</v>
      </c>
      <c r="G9" s="2590">
        <f t="shared" si="2"/>
        <v>0</v>
      </c>
      <c r="H9" s="2592"/>
      <c r="I9" s="2592"/>
      <c r="J9" s="2592"/>
      <c r="K9" s="2680">
        <f>SUMIF('数据-汇总表'!C$19:C$33,A9,'数据-汇总表'!E$19:E$33)</f>
        <v>0</v>
      </c>
      <c r="L9" s="2685"/>
      <c r="M9" s="2682">
        <f t="shared" si="0"/>
        <v>0</v>
      </c>
      <c r="N9" s="2686"/>
      <c r="O9" s="2682" t="str">
        <f t="shared" si="3"/>
        <v>——</v>
      </c>
      <c r="P9" s="2684" t="str">
        <f t="shared" si="4"/>
        <v>——</v>
      </c>
      <c r="Q9" s="2712"/>
      <c r="R9" s="2704">
        <f ca="1">SUMIF('数据-汇总表'!C$19:C$33,A9,'数据-汇总表'!R$19:R$27)</f>
        <v>0</v>
      </c>
      <c r="S9" s="2705">
        <f>IF('数据-汇总表'!$I$17="按面积比例",SUMIF('数据-汇总表'!C$19:C$33,A9,'数据-汇总表'!K$19:K$33),SUMIF('数据-汇总表'!C$19:C$33,A9,'数据-汇总表'!N$19:N$33))</f>
        <v>0</v>
      </c>
      <c r="T9" s="2706">
        <f t="shared" si="5"/>
        <v>0</v>
      </c>
      <c r="U9" s="2707"/>
      <c r="V9" s="2708"/>
      <c r="W9" s="2708"/>
      <c r="X9" s="2709"/>
      <c r="Y9" s="2728"/>
      <c r="Z9" s="2732"/>
      <c r="AA9" s="2592"/>
      <c r="AB9" s="2592"/>
      <c r="AC9" s="2709"/>
      <c r="AD9" s="2733"/>
      <c r="AE9" s="2731">
        <f t="shared" ca="1" si="6"/>
        <v>0</v>
      </c>
      <c r="AF9" s="2201"/>
      <c r="AG9" s="1556">
        <f t="shared" si="7"/>
        <v>0</v>
      </c>
      <c r="AH9" s="2713"/>
      <c r="AI9" s="2743"/>
      <c r="AJ9" s="2744"/>
      <c r="AK9" s="2749"/>
      <c r="AL9" s="2750"/>
      <c r="AM9" s="2751"/>
      <c r="AN9" s="2748"/>
      <c r="AO9" s="1131" t="e">
        <f t="shared" ca="1" si="8"/>
        <v>#REF!</v>
      </c>
      <c r="AP9" s="2765">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59" customFormat="1" ht="14.25">
      <c r="A10" s="2584">
        <f>'数据-汇总表'!C23</f>
        <v>0</v>
      </c>
      <c r="B10" s="2585" t="str">
        <f t="shared" si="1"/>
        <v/>
      </c>
      <c r="C10" s="2586"/>
      <c r="D10" s="2587">
        <f>SUMIF(项目基本情况!D$12:I$12,C10,项目基本情况!D$14:I$14)</f>
        <v>0</v>
      </c>
      <c r="E10" s="2588" t="str">
        <f>IF(B10="","",SUMIF(项目基本情况!D$12:I$12,C10,项目基本情况!D$13:I$13))</f>
        <v/>
      </c>
      <c r="F10" s="2589">
        <f>SUMIF(项目基本情况!D$12:I$12,C10,项目基本情况!D$15:I$15)</f>
        <v>0</v>
      </c>
      <c r="G10" s="2590">
        <f t="shared" si="2"/>
        <v>0</v>
      </c>
      <c r="H10" s="2592"/>
      <c r="I10" s="2592"/>
      <c r="J10" s="2592"/>
      <c r="K10" s="2680">
        <f>SUMIF('数据-汇总表'!C$19:C$33,A10,'数据-汇总表'!E$19:E$33)</f>
        <v>0</v>
      </c>
      <c r="L10" s="2685"/>
      <c r="M10" s="2682">
        <f t="shared" si="0"/>
        <v>0</v>
      </c>
      <c r="N10" s="2686"/>
      <c r="O10" s="2682" t="str">
        <f t="shared" si="3"/>
        <v>——</v>
      </c>
      <c r="P10" s="2684"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8"/>
      <c r="Z10" s="2732"/>
      <c r="AA10" s="2592"/>
      <c r="AB10" s="2592"/>
      <c r="AC10" s="2709"/>
      <c r="AD10" s="2733"/>
      <c r="AE10" s="2731">
        <f t="shared" ca="1" si="6"/>
        <v>0</v>
      </c>
      <c r="AF10" s="2201"/>
      <c r="AG10" s="1556">
        <f t="shared" si="7"/>
        <v>0</v>
      </c>
      <c r="AH10" s="2713"/>
      <c r="AI10" s="2743"/>
      <c r="AJ10" s="2744"/>
      <c r="AK10" s="2749"/>
      <c r="AL10" s="2750"/>
      <c r="AM10" s="2751"/>
      <c r="AN10" s="2748"/>
      <c r="AO10" s="1131" t="e">
        <f t="shared" ca="1" si="8"/>
        <v>#REF!</v>
      </c>
      <c r="AP10" s="2765">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59" customFormat="1" ht="14.25">
      <c r="A11" s="2584">
        <f>'数据-汇总表'!C24</f>
        <v>0</v>
      </c>
      <c r="B11" s="2585" t="str">
        <f t="shared" si="1"/>
        <v/>
      </c>
      <c r="C11" s="2586"/>
      <c r="D11" s="2587">
        <f>SUMIF(项目基本情况!D$12:I$12,C11,项目基本情况!D$14:I$14)</f>
        <v>0</v>
      </c>
      <c r="E11" s="2588" t="str">
        <f>IF(B11="","",SUMIF(项目基本情况!D$12:I$12,C11,项目基本情况!D$13:I$13))</f>
        <v/>
      </c>
      <c r="F11" s="2589">
        <f>SUMIF(项目基本情况!D$12:I$12,C11,项目基本情况!D$15:I$15)</f>
        <v>0</v>
      </c>
      <c r="G11" s="2590">
        <f t="shared" si="2"/>
        <v>0</v>
      </c>
      <c r="H11" s="2592"/>
      <c r="I11" s="2592"/>
      <c r="J11" s="2592"/>
      <c r="K11" s="2680">
        <f>SUMIF('数据-汇总表'!C$19:C$33,A11,'数据-汇总表'!E$19:E$33)</f>
        <v>0</v>
      </c>
      <c r="L11" s="2687"/>
      <c r="M11" s="2682">
        <f t="shared" si="0"/>
        <v>0</v>
      </c>
      <c r="N11" s="2688"/>
      <c r="O11" s="2682" t="str">
        <f t="shared" si="3"/>
        <v>——</v>
      </c>
      <c r="P11" s="2684"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13"/>
      <c r="V11" s="2592"/>
      <c r="W11" s="2592"/>
      <c r="X11" s="2709"/>
      <c r="Y11" s="2728"/>
      <c r="Z11" s="2735"/>
      <c r="AA11" s="2592"/>
      <c r="AB11" s="2592"/>
      <c r="AC11" s="2709"/>
      <c r="AD11" s="2733"/>
      <c r="AE11" s="2731">
        <f t="shared" ca="1" si="6"/>
        <v>0</v>
      </c>
      <c r="AF11" s="2201"/>
      <c r="AG11" s="1556">
        <f t="shared" si="7"/>
        <v>0</v>
      </c>
      <c r="AH11" s="2713"/>
      <c r="AI11" s="2743"/>
      <c r="AJ11" s="2744"/>
      <c r="AK11" s="2756"/>
      <c r="AL11" s="2757"/>
      <c r="AM11" s="2758"/>
      <c r="AN11" s="2748"/>
      <c r="AO11" s="1131" t="e">
        <f t="shared" ca="1" si="8"/>
        <v>#REF!</v>
      </c>
      <c r="AP11" s="2765">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59" customFormat="1" ht="14.25">
      <c r="A12" s="2584">
        <f>'数据-汇总表'!C25</f>
        <v>0</v>
      </c>
      <c r="B12" s="2585" t="str">
        <f t="shared" si="1"/>
        <v/>
      </c>
      <c r="C12" s="2586"/>
      <c r="D12" s="2587">
        <f>SUMIF(项目基本情况!D$12:I$12,C12,项目基本情况!D$14:I$14)</f>
        <v>0</v>
      </c>
      <c r="E12" s="2588" t="str">
        <f>IF(B12="","",SUMIF(项目基本情况!D$12:I$12,C12,项目基本情况!D$13:I$13))</f>
        <v/>
      </c>
      <c r="F12" s="2589">
        <f>SUMIF(项目基本情况!D$12:I$12,C12,项目基本情况!D$15:I$15)</f>
        <v>0</v>
      </c>
      <c r="G12" s="2590">
        <f t="shared" si="2"/>
        <v>0</v>
      </c>
      <c r="H12" s="2592"/>
      <c r="I12" s="2592"/>
      <c r="J12" s="2592"/>
      <c r="K12" s="2680">
        <f>SUMIF('数据-汇总表'!C$19:C$33,A12,'数据-汇总表'!E$19:E$33)</f>
        <v>0</v>
      </c>
      <c r="L12" s="2687"/>
      <c r="M12" s="2682">
        <f t="shared" si="0"/>
        <v>0</v>
      </c>
      <c r="N12" s="2688"/>
      <c r="O12" s="2682" t="str">
        <f t="shared" si="3"/>
        <v>——</v>
      </c>
      <c r="P12" s="2684"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13"/>
      <c r="V12" s="2592"/>
      <c r="W12" s="2592"/>
      <c r="X12" s="2709"/>
      <c r="Y12" s="2728"/>
      <c r="Z12" s="2735"/>
      <c r="AA12" s="2592"/>
      <c r="AB12" s="2592"/>
      <c r="AC12" s="2709"/>
      <c r="AD12" s="2733"/>
      <c r="AE12" s="2731">
        <f t="shared" ca="1" si="6"/>
        <v>0</v>
      </c>
      <c r="AF12" s="2201"/>
      <c r="AG12" s="1556">
        <f t="shared" si="7"/>
        <v>0</v>
      </c>
      <c r="AH12" s="2713"/>
      <c r="AI12" s="2743"/>
      <c r="AJ12" s="2744"/>
      <c r="AK12" s="2756"/>
      <c r="AL12" s="2757"/>
      <c r="AM12" s="2758"/>
      <c r="AN12" s="2748"/>
      <c r="AO12" s="1131" t="e">
        <f t="shared" ca="1" si="8"/>
        <v>#REF!</v>
      </c>
      <c r="AP12" s="2765">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59" customFormat="1" ht="14.25">
      <c r="A13" s="2584">
        <f>'数据-汇总表'!C26</f>
        <v>0</v>
      </c>
      <c r="B13" s="2585" t="str">
        <f t="shared" si="1"/>
        <v/>
      </c>
      <c r="C13" s="2586"/>
      <c r="D13" s="2587">
        <f>SUMIF(项目基本情况!D$12:I$12,C13,项目基本情况!D$14:I$14)</f>
        <v>0</v>
      </c>
      <c r="E13" s="2588" t="str">
        <f>IF(B13="","",SUMIF(项目基本情况!D$12:I$12,C13,项目基本情况!D$13:I$13))</f>
        <v/>
      </c>
      <c r="F13" s="2589">
        <f>SUMIF(项目基本情况!D$12:I$12,C13,项目基本情况!D$15:I$15)</f>
        <v>0</v>
      </c>
      <c r="G13" s="2590">
        <f t="shared" si="2"/>
        <v>0</v>
      </c>
      <c r="H13" s="2592"/>
      <c r="I13" s="2592"/>
      <c r="J13" s="2592"/>
      <c r="K13" s="2680">
        <f>SUMIF('数据-汇总表'!C$19:C$33,A13,'数据-汇总表'!E$19:E$33)</f>
        <v>0</v>
      </c>
      <c r="L13" s="2687"/>
      <c r="M13" s="2682">
        <f t="shared" si="0"/>
        <v>0</v>
      </c>
      <c r="N13" s="2688"/>
      <c r="O13" s="2682" t="str">
        <f t="shared" si="3"/>
        <v>——</v>
      </c>
      <c r="P13" s="2684"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07"/>
      <c r="V13" s="2708"/>
      <c r="W13" s="2708"/>
      <c r="X13" s="2709"/>
      <c r="Y13" s="2728"/>
      <c r="Z13" s="2732"/>
      <c r="AA13" s="2592"/>
      <c r="AB13" s="2592"/>
      <c r="AC13" s="2709"/>
      <c r="AD13" s="2733"/>
      <c r="AE13" s="2731">
        <f t="shared" ca="1" si="6"/>
        <v>0</v>
      </c>
      <c r="AF13" s="2201"/>
      <c r="AG13" s="1556">
        <f t="shared" si="7"/>
        <v>0</v>
      </c>
      <c r="AH13" s="2713"/>
      <c r="AI13" s="2743"/>
      <c r="AJ13" s="2744"/>
      <c r="AK13" s="2749"/>
      <c r="AL13" s="2750"/>
      <c r="AM13" s="2751"/>
      <c r="AN13" s="2748"/>
      <c r="AO13" s="1131" t="e">
        <f t="shared" ca="1" si="8"/>
        <v>#REF!</v>
      </c>
      <c r="AP13" s="2765">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59" customFormat="1" ht="14.25">
      <c r="A14" s="2593" t="s">
        <v>532</v>
      </c>
      <c r="B14" s="2585" t="s">
        <v>531</v>
      </c>
      <c r="C14" s="2594" t="s">
        <v>532</v>
      </c>
      <c r="D14" s="2587"/>
      <c r="E14" s="2588"/>
      <c r="F14" s="2589"/>
      <c r="G14" s="2590"/>
      <c r="H14" s="2595"/>
      <c r="I14" s="2595"/>
      <c r="J14" s="2595"/>
      <c r="K14" s="2680">
        <f>SUMIF('数据-汇总表'!C$19:C$33,A14,'数据-汇总表'!E$19:E$33)</f>
        <v>0</v>
      </c>
      <c r="L14" s="2687"/>
      <c r="M14" s="2682">
        <f t="shared" si="0"/>
        <v>0</v>
      </c>
      <c r="N14" s="2688"/>
      <c r="O14" s="2682" t="str">
        <f t="shared" si="3"/>
        <v>——</v>
      </c>
      <c r="P14" s="2684" t="str">
        <f t="shared" si="4"/>
        <v>——</v>
      </c>
      <c r="Q14" s="2714"/>
      <c r="R14" s="2704"/>
      <c r="S14" s="2705"/>
      <c r="T14" s="2706"/>
      <c r="U14" s="2715"/>
      <c r="V14" s="2716"/>
      <c r="W14" s="2716"/>
      <c r="X14" s="2717"/>
      <c r="Y14" s="2736"/>
      <c r="Z14" s="2737"/>
      <c r="AA14" s="2738"/>
      <c r="AB14" s="2738"/>
      <c r="AC14" s="2709"/>
      <c r="AD14" s="2717"/>
      <c r="AE14" s="2731"/>
      <c r="AF14" s="1131"/>
      <c r="AG14" s="1556"/>
      <c r="AH14" s="2731"/>
      <c r="AI14" s="1119"/>
      <c r="AJ14" s="1130"/>
      <c r="AK14" s="2759"/>
      <c r="AL14" s="2760"/>
      <c r="AM14" s="2761"/>
      <c r="AN14" s="2085"/>
      <c r="AO14" s="2605"/>
      <c r="AP14" s="2605"/>
      <c r="AQ14" s="2605"/>
      <c r="AR14" s="2605"/>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59" customFormat="1" ht="14.25">
      <c r="A15" s="2593" t="s">
        <v>533</v>
      </c>
      <c r="B15" s="2585" t="s">
        <v>531</v>
      </c>
      <c r="C15" s="2594" t="s">
        <v>580</v>
      </c>
      <c r="D15" s="2587"/>
      <c r="E15" s="2588"/>
      <c r="F15" s="2589"/>
      <c r="G15" s="2590"/>
      <c r="H15" s="2595"/>
      <c r="I15" s="2595"/>
      <c r="J15" s="2595"/>
      <c r="K15" s="2680">
        <f>SUMIF('数据-汇总表'!C$19:C$33,A15,'数据-汇总表'!E$19:E$33)</f>
        <v>0</v>
      </c>
      <c r="L15" s="2689"/>
      <c r="M15" s="2682"/>
      <c r="N15" s="2690"/>
      <c r="O15" s="2682"/>
      <c r="P15" s="2684"/>
      <c r="Q15" s="2714"/>
      <c r="R15" s="2704"/>
      <c r="S15" s="2705"/>
      <c r="T15" s="2706"/>
      <c r="U15" s="2715"/>
      <c r="V15" s="2716"/>
      <c r="W15" s="2716"/>
      <c r="X15" s="2717"/>
      <c r="Y15" s="2736"/>
      <c r="Z15" s="2737"/>
      <c r="AA15" s="2738"/>
      <c r="AB15" s="2738"/>
      <c r="AC15" s="2709"/>
      <c r="AD15" s="2717"/>
      <c r="AE15" s="2731"/>
      <c r="AF15" s="1131"/>
      <c r="AG15" s="1556"/>
      <c r="AH15" s="2731"/>
      <c r="AI15" s="1119"/>
      <c r="AJ15" s="1130"/>
      <c r="AK15" s="2759"/>
      <c r="AL15" s="2760"/>
      <c r="AM15" s="2761"/>
      <c r="AN15" s="2085"/>
      <c r="AO15" s="2605"/>
      <c r="AP15" s="2605"/>
      <c r="AQ15" s="2605"/>
      <c r="AR15" s="2605"/>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59" customFormat="1" ht="15">
      <c r="A16" s="2596" t="s">
        <v>534</v>
      </c>
      <c r="B16" s="2597"/>
      <c r="C16" s="2143"/>
      <c r="D16" s="2598"/>
      <c r="E16" s="2597"/>
      <c r="F16" s="2597"/>
      <c r="G16" s="2599">
        <f>ROUND(SUMPRODUCT(G6:G13,K6:K13)/SUMPRODUCT((G6:G13&gt;0)*(K6:K13)),3)</f>
        <v>0.877</v>
      </c>
      <c r="H16" s="2600">
        <f>ROUND(SUMPRODUCT(H6:H13,K6:K13)/SUMPRODUCT((H6:H13&gt;0)*(K6:K13)),3)</f>
        <v>0.05</v>
      </c>
      <c r="I16" s="2691"/>
      <c r="J16" s="2691"/>
      <c r="K16" s="2692">
        <f>SUM(K6:K15)</f>
        <v>11398.58</v>
      </c>
      <c r="L16" s="2693">
        <f>ROUND(M16*10000/SUM(K6:K14),0)</f>
        <v>5000</v>
      </c>
      <c r="M16" s="2693">
        <f>SUM(M6:M14)</f>
        <v>5699</v>
      </c>
      <c r="N16" s="2694">
        <f>ROUND(SUMPRODUCT(M6:M14,N6:N14)/M16,3)</f>
        <v>0.98</v>
      </c>
      <c r="O16" s="2693">
        <f>SUM(O6:O14)</f>
        <v>0</v>
      </c>
      <c r="P16" s="2693">
        <f>SUM(P6:P14)</f>
        <v>0</v>
      </c>
      <c r="Q16" s="2718">
        <f>ROUND(SUMPRODUCT(Q6:Q13,K6:K13)/SUMPRODUCT((Q6:Q13&gt;0)*(K6:K13)),2)</f>
        <v>0.15</v>
      </c>
      <c r="R16" s="2719">
        <f ca="1">SUM(R6:R13)</f>
        <v>3431.42</v>
      </c>
      <c r="S16" s="2720">
        <f>SUM(S6:S13)</f>
        <v>0</v>
      </c>
      <c r="T16" s="2721">
        <f>IF(SUMIF(T6:T13,"&lt;9E307")=M14,SUMIF(T6:T13,"&lt;9E307"),"有误，请检查")</f>
        <v>0</v>
      </c>
      <c r="U16" s="2722"/>
      <c r="V16" s="2723"/>
      <c r="W16" s="2723"/>
      <c r="X16" s="2724"/>
      <c r="Y16" s="2739"/>
      <c r="Z16" s="2740"/>
      <c r="AA16" s="2723"/>
      <c r="AB16" s="2723"/>
      <c r="AC16" s="2724"/>
      <c r="AD16" s="2724"/>
      <c r="AE16" s="2722"/>
      <c r="AF16" s="2723"/>
      <c r="AG16" s="2739"/>
      <c r="AH16" s="2722"/>
      <c r="AI16" s="2740"/>
      <c r="AJ16" s="2740"/>
      <c r="AK16" s="2723"/>
      <c r="AL16" s="2723"/>
      <c r="AM16" s="2739"/>
      <c r="AN16" s="2085"/>
      <c r="AO16" s="2605"/>
      <c r="AP16" s="2605"/>
      <c r="AQ16" s="2605"/>
      <c r="AR16" s="2605"/>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601"/>
      <c r="B17" s="2602"/>
      <c r="C17" s="2085"/>
      <c r="D17" s="2603"/>
      <c r="E17" s="2603"/>
      <c r="F17" s="2085"/>
      <c r="G17" s="2085"/>
      <c r="H17" s="2085"/>
      <c r="I17" s="2085"/>
      <c r="J17" s="2085"/>
      <c r="K17" s="2695"/>
      <c r="L17" s="269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581</v>
      </c>
      <c r="B18" s="2604"/>
      <c r="C18" s="2605"/>
      <c r="D18" s="2606"/>
      <c r="E18" s="2605"/>
      <c r="F18" s="2605"/>
      <c r="G18" s="2605"/>
      <c r="H18" s="2605"/>
      <c r="I18" s="2605"/>
      <c r="J18" s="2605"/>
      <c r="K18" s="2695"/>
      <c r="L18" s="2695"/>
      <c r="M18" s="2085"/>
      <c r="N18" s="2085">
        <v>1996</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67" ht="14.25">
      <c r="A19" s="2607" t="s">
        <v>582</v>
      </c>
      <c r="B19" s="2608">
        <v>0</v>
      </c>
      <c r="C19" s="2609" t="s">
        <v>583</v>
      </c>
      <c r="D19" s="2606"/>
      <c r="E19" s="2605"/>
      <c r="F19" s="2605"/>
      <c r="G19" s="2605"/>
      <c r="H19" s="2605"/>
      <c r="I19" s="2605"/>
      <c r="J19" s="2605"/>
      <c r="K19" s="2695"/>
      <c r="L19" s="2695"/>
      <c r="M19" s="2085"/>
      <c r="N19" s="2085">
        <f>ROUND(1-(2022-N18)/60,2)</f>
        <v>0.56999999999999995</v>
      </c>
      <c r="O19" s="2085"/>
      <c r="P19" s="2085"/>
      <c r="Q19" s="2085"/>
      <c r="R19" s="2085"/>
      <c r="S19" s="2085"/>
      <c r="T19" s="2085"/>
      <c r="U19" s="2085"/>
      <c r="V19" s="2085"/>
      <c r="W19" s="2085"/>
      <c r="X19" s="2085"/>
      <c r="Y19" s="2085"/>
      <c r="Z19" s="2085">
        <f>收益法!F49</f>
        <v>4.5</v>
      </c>
      <c r="AA19" s="2085"/>
      <c r="AB19" s="2085"/>
      <c r="AC19" s="2085"/>
      <c r="AD19" s="2085">
        <f>ROUND(1-(2035-2021)/60,2)</f>
        <v>0.77</v>
      </c>
      <c r="AE19" s="2085"/>
      <c r="AF19" s="2085"/>
      <c r="AG19" s="2085"/>
      <c r="AH19" s="2085"/>
      <c r="AI19" s="2085"/>
      <c r="AJ19" s="2085"/>
      <c r="AK19" s="2085"/>
      <c r="AL19" s="2085"/>
      <c r="AM19" s="2085"/>
      <c r="AN19" s="2085"/>
      <c r="AO19" s="2085"/>
      <c r="AP19" s="2085"/>
      <c r="AQ19" s="2085"/>
      <c r="AR19" s="2085"/>
    </row>
    <row r="20" spans="1:67" ht="14.25">
      <c r="A20" s="2610" t="s">
        <v>584</v>
      </c>
      <c r="B20" s="2611">
        <v>1</v>
      </c>
      <c r="C20" s="2612" t="s">
        <v>585</v>
      </c>
      <c r="D20" s="2606"/>
      <c r="E20" s="2605"/>
      <c r="F20" s="2605"/>
      <c r="G20" s="2605"/>
      <c r="H20" s="2605"/>
      <c r="I20" s="2605"/>
      <c r="J20" s="2605"/>
      <c r="K20" s="2695"/>
      <c r="L20" s="2695"/>
      <c r="M20" s="2085"/>
      <c r="N20" s="2085">
        <v>0.95</v>
      </c>
      <c r="O20" s="2085"/>
      <c r="P20" s="2085"/>
      <c r="Q20" s="2085"/>
      <c r="R20" s="2085"/>
      <c r="S20" s="2085"/>
      <c r="T20" s="2085"/>
      <c r="U20" s="2085"/>
      <c r="V20" s="2085"/>
      <c r="W20" s="2085"/>
      <c r="X20" s="2085"/>
      <c r="Y20" s="2085"/>
      <c r="Z20" s="2085">
        <f>ROUND(Z19*(1+AA6)^AF6,2)</f>
        <v>6.56</v>
      </c>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3" t="s">
        <v>586</v>
      </c>
      <c r="B21" s="2611">
        <v>1</v>
      </c>
      <c r="C21" s="2605"/>
      <c r="D21" s="2606"/>
      <c r="E21" s="2605"/>
      <c r="F21" s="2605"/>
      <c r="G21" s="2605"/>
      <c r="H21" s="2605"/>
      <c r="I21" s="2605"/>
      <c r="J21" s="2605"/>
      <c r="K21" s="2695"/>
      <c r="L21" s="2695"/>
      <c r="M21" s="2085"/>
      <c r="N21" s="2085">
        <f>ROUND((N19+N20)/2,2)</f>
        <v>0.76</v>
      </c>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10" t="s">
        <v>587</v>
      </c>
      <c r="B22" s="2614">
        <f>B19+B20</f>
        <v>1</v>
      </c>
      <c r="C22" s="2605"/>
      <c r="D22" s="2606"/>
      <c r="E22" s="2605"/>
      <c r="F22" s="2605"/>
      <c r="G22" s="2605"/>
      <c r="H22" s="2605"/>
      <c r="I22" s="2605"/>
      <c r="J22" s="2605"/>
      <c r="K22" s="2695"/>
      <c r="L22" s="2695"/>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3" t="s">
        <v>588</v>
      </c>
      <c r="B23" s="2614">
        <f>B19+B21</f>
        <v>1</v>
      </c>
      <c r="C23" s="2605"/>
      <c r="D23" s="2606"/>
      <c r="E23" s="2605"/>
      <c r="F23" s="2605"/>
      <c r="G23" s="2605"/>
      <c r="H23" s="2605"/>
      <c r="I23" s="2605"/>
      <c r="J23" s="2605"/>
      <c r="K23" s="2695"/>
      <c r="L23" s="2695"/>
      <c r="M23" s="2696" t="s">
        <v>589</v>
      </c>
      <c r="N23" s="2085">
        <v>2021</v>
      </c>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15" t="s">
        <v>590</v>
      </c>
      <c r="B24" s="2616">
        <f>B20-B21</f>
        <v>0</v>
      </c>
      <c r="C24" s="2605"/>
      <c r="D24" s="2606"/>
      <c r="E24" s="2605"/>
      <c r="F24" s="2605"/>
      <c r="G24" s="2605"/>
      <c r="H24" s="2605"/>
      <c r="I24" s="2605"/>
      <c r="J24" s="2605"/>
      <c r="K24" s="2695"/>
      <c r="L24" s="2695"/>
      <c r="M24" s="2085"/>
      <c r="N24" s="2085">
        <f>ROUND(1-(2022-N23)/60,2)</f>
        <v>0.98</v>
      </c>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74"/>
      <c r="B25" s="2575"/>
      <c r="C25" s="2605"/>
      <c r="D25" s="2606"/>
      <c r="E25" s="2605"/>
      <c r="F25" s="2605"/>
      <c r="G25" s="2605"/>
      <c r="H25" s="2605"/>
      <c r="I25" s="2605"/>
      <c r="J25" s="2605"/>
      <c r="K25" s="2695"/>
      <c r="L25" s="2695"/>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70" t="s">
        <v>591</v>
      </c>
      <c r="B26" s="2617" t="s">
        <v>592</v>
      </c>
      <c r="C26" s="2618" t="s">
        <v>593</v>
      </c>
      <c r="D26" s="2606"/>
      <c r="E26" s="2605"/>
      <c r="F26" s="2605"/>
      <c r="G26" s="2605"/>
      <c r="H26" s="2605"/>
      <c r="I26" s="2605"/>
      <c r="J26" s="2605"/>
      <c r="K26" s="2695"/>
      <c r="L26" s="2695"/>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61" customFormat="1" ht="14.25">
      <c r="A27" s="2619" t="s">
        <v>594</v>
      </c>
      <c r="B27" s="2620"/>
      <c r="C27" s="2621" t="s">
        <v>595</v>
      </c>
      <c r="D27" s="2622"/>
      <c r="E27" s="1246"/>
      <c r="F27" s="1246"/>
      <c r="G27" s="2605"/>
      <c r="H27" s="2605"/>
      <c r="I27" s="2605"/>
      <c r="J27" s="2605"/>
      <c r="K27" s="2695"/>
      <c r="L27" s="2695"/>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61" customFormat="1" ht="14.25">
      <c r="A28" s="2623" t="s">
        <v>596</v>
      </c>
      <c r="B28" s="2624">
        <v>200</v>
      </c>
      <c r="C28" s="2625"/>
      <c r="D28" s="2622"/>
      <c r="E28" s="1246"/>
      <c r="F28" s="1246"/>
      <c r="G28" s="2605"/>
      <c r="H28" s="2605"/>
      <c r="I28" s="2605"/>
      <c r="J28" s="2605"/>
      <c r="K28" s="2695"/>
      <c r="L28" s="2695"/>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61" customFormat="1" ht="27.75">
      <c r="A29" s="2626" t="s">
        <v>597</v>
      </c>
      <c r="B29" s="2627"/>
      <c r="C29" s="2628" t="s">
        <v>598</v>
      </c>
      <c r="D29" s="2622"/>
      <c r="E29" s="1246"/>
      <c r="F29" s="1246"/>
      <c r="G29" s="2605"/>
      <c r="H29" s="2605"/>
      <c r="I29" s="2605"/>
      <c r="J29" s="2605"/>
      <c r="K29" s="2695"/>
      <c r="L29" s="2695"/>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61" customFormat="1" ht="14.25">
      <c r="A30" s="2629" t="s">
        <v>599</v>
      </c>
      <c r="B30" s="2630">
        <v>200</v>
      </c>
      <c r="C30" s="2625"/>
      <c r="D30" s="2622"/>
      <c r="E30" s="1246"/>
      <c r="F30" s="1246"/>
      <c r="G30" s="2605"/>
      <c r="H30" s="2605"/>
      <c r="I30" s="2605"/>
      <c r="J30" s="2605"/>
      <c r="K30" s="2695"/>
      <c r="L30" s="2695"/>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61" customFormat="1" ht="14.25">
      <c r="A31" s="2623" t="s">
        <v>600</v>
      </c>
      <c r="B31" s="2631">
        <f>B30-B32</f>
        <v>200</v>
      </c>
      <c r="C31" s="2632"/>
      <c r="D31" s="2622"/>
      <c r="E31" s="1246"/>
      <c r="F31" s="1246"/>
      <c r="G31" s="2605"/>
      <c r="H31" s="2605"/>
      <c r="I31" s="2605"/>
      <c r="J31" s="2605"/>
      <c r="K31" s="2695"/>
      <c r="L31" s="2695"/>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61" customFormat="1" ht="27">
      <c r="A32" s="2633" t="s">
        <v>601</v>
      </c>
      <c r="B32" s="2634">
        <v>0</v>
      </c>
      <c r="C32" s="2625"/>
      <c r="D32" s="2606"/>
      <c r="E32" s="2605"/>
      <c r="F32" s="2605"/>
      <c r="G32" s="2605"/>
      <c r="H32" s="2605"/>
      <c r="I32" s="2605"/>
      <c r="J32" s="2605"/>
      <c r="K32" s="2695"/>
      <c r="L32" s="2695"/>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61" customFormat="1" ht="14.25">
      <c r="A33" s="2619" t="s">
        <v>602</v>
      </c>
      <c r="B33" s="2635">
        <v>0.03</v>
      </c>
      <c r="C33" s="2636" t="s">
        <v>603</v>
      </c>
      <c r="D33" s="2606"/>
      <c r="E33" s="2605"/>
      <c r="F33" s="2605"/>
      <c r="G33" s="2605"/>
      <c r="H33" s="2605"/>
      <c r="I33" s="2605"/>
      <c r="J33" s="2605"/>
      <c r="K33" s="2695"/>
      <c r="L33" s="2695"/>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61" customFormat="1" ht="14.25">
      <c r="A34" s="2623" t="s">
        <v>604</v>
      </c>
      <c r="B34" s="2637">
        <v>0</v>
      </c>
      <c r="C34" s="2636" t="s">
        <v>605</v>
      </c>
      <c r="D34" s="2638" t="s">
        <v>606</v>
      </c>
      <c r="E34" s="2602"/>
      <c r="F34" s="2605"/>
      <c r="G34" s="2605"/>
      <c r="H34" s="2605"/>
      <c r="I34" s="2605"/>
      <c r="J34" s="2605"/>
      <c r="K34" s="2695"/>
      <c r="L34" s="2695"/>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61" customFormat="1" ht="14.25">
      <c r="A35" s="2623" t="s">
        <v>607</v>
      </c>
      <c r="B35" s="2624">
        <v>200</v>
      </c>
      <c r="C35" s="2636" t="s">
        <v>608</v>
      </c>
      <c r="D35" s="2622"/>
      <c r="E35" s="1246"/>
      <c r="F35" s="1246"/>
      <c r="G35" s="2605"/>
      <c r="H35" s="2605"/>
      <c r="I35" s="2605"/>
      <c r="J35" s="2605"/>
      <c r="K35" s="2695"/>
      <c r="L35" s="2695"/>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26" t="s">
        <v>609</v>
      </c>
      <c r="B36" s="2639">
        <v>1.4999999999999999E-2</v>
      </c>
      <c r="C36" s="2636" t="s">
        <v>610</v>
      </c>
      <c r="D36" s="2606"/>
      <c r="E36" s="2605"/>
      <c r="F36" s="2605"/>
      <c r="G36" s="2605"/>
      <c r="H36" s="2605"/>
      <c r="I36" s="2605"/>
      <c r="J36" s="2605"/>
      <c r="K36" s="2695"/>
      <c r="L36" s="2695"/>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29" t="s">
        <v>611</v>
      </c>
      <c r="B37" s="2640">
        <v>0.02</v>
      </c>
      <c r="C37" s="2636" t="s">
        <v>612</v>
      </c>
      <c r="D37" s="2606"/>
      <c r="E37" s="2605"/>
      <c r="F37" s="2605"/>
      <c r="G37" s="2605"/>
      <c r="H37" s="2605"/>
      <c r="I37" s="2605"/>
      <c r="J37" s="2605"/>
      <c r="K37" s="2695"/>
      <c r="L37" s="2695"/>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3" t="s">
        <v>613</v>
      </c>
      <c r="B38" s="2641">
        <v>0.02</v>
      </c>
      <c r="C38" s="2636" t="s">
        <v>612</v>
      </c>
      <c r="D38" s="2606"/>
      <c r="E38" s="2605"/>
      <c r="F38" s="2605"/>
      <c r="G38" s="2605"/>
      <c r="H38" s="2605"/>
      <c r="I38" s="2605"/>
      <c r="J38" s="2605"/>
      <c r="K38" s="2695"/>
      <c r="L38" s="2695"/>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3" t="s">
        <v>614</v>
      </c>
      <c r="B39" s="2642">
        <f ca="1">存贷款利率!I1</f>
        <v>1.4999999999999999E-2</v>
      </c>
      <c r="C39" s="2643"/>
      <c r="D39" s="2606"/>
      <c r="E39" s="2605"/>
      <c r="F39" s="2605"/>
      <c r="G39" s="2605"/>
      <c r="H39" s="2605"/>
      <c r="I39" s="2605"/>
      <c r="J39" s="2605"/>
      <c r="K39" s="2695"/>
      <c r="L39" s="2695"/>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44" t="s">
        <v>615</v>
      </c>
      <c r="B40" s="2645">
        <f ca="1">IF(A40="利息：取LPR",存贷款利率!G1,存贷款利率!G1+C40)</f>
        <v>4.1499999999999995E-2</v>
      </c>
      <c r="C40" s="2646">
        <v>5.0000000000000001E-3</v>
      </c>
      <c r="D40" s="2085"/>
      <c r="E40" s="2606"/>
      <c r="F40" s="2605"/>
      <c r="G40" s="2605"/>
      <c r="H40" s="2605"/>
      <c r="I40" s="2605"/>
      <c r="J40" s="2605"/>
      <c r="K40" s="2695"/>
      <c r="L40" s="2695"/>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19" t="s">
        <v>616</v>
      </c>
      <c r="B41" s="2647">
        <f>B42+B43</f>
        <v>5.6000000000000001E-2</v>
      </c>
      <c r="C41" s="2632"/>
      <c r="D41" s="2085"/>
      <c r="E41" s="2606"/>
      <c r="F41" s="2605"/>
      <c r="G41" s="2605"/>
      <c r="H41" s="2605"/>
      <c r="I41" s="2605"/>
      <c r="J41" s="2605"/>
      <c r="K41" s="2695"/>
      <c r="L41" s="2695"/>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48" t="s">
        <v>617</v>
      </c>
      <c r="B42" s="2649">
        <v>0.05</v>
      </c>
      <c r="C42" s="2650">
        <f>IF(B2&lt;DATE(2016,5,1),0,B42)</f>
        <v>0.05</v>
      </c>
      <c r="D42" s="2606"/>
      <c r="E42" s="2605"/>
      <c r="F42" s="2605"/>
      <c r="G42" s="2605"/>
      <c r="H42" s="2605"/>
      <c r="I42" s="2605"/>
      <c r="J42" s="2605"/>
      <c r="K42" s="2695"/>
      <c r="L42" s="269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48" t="s">
        <v>618</v>
      </c>
      <c r="B43" s="2651">
        <f>B42*(B44+B45+B46)+B47</f>
        <v>6.0000000000000001E-3</v>
      </c>
      <c r="C43" s="2632"/>
      <c r="D43" s="2606"/>
      <c r="E43" s="2605"/>
      <c r="F43" s="2605"/>
      <c r="G43" s="2605"/>
      <c r="H43" s="2605"/>
      <c r="I43" s="2605"/>
      <c r="J43" s="2605"/>
      <c r="K43" s="2695"/>
      <c r="L43" s="2695"/>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52" t="s">
        <v>619</v>
      </c>
      <c r="B44" s="2653">
        <v>7.0000000000000007E-2</v>
      </c>
      <c r="C44" s="2636" t="s">
        <v>620</v>
      </c>
      <c r="D44" s="2606"/>
      <c r="E44" s="2605"/>
      <c r="F44" s="2605"/>
      <c r="G44" s="2605"/>
      <c r="H44" s="2605"/>
      <c r="I44" s="2605"/>
      <c r="J44" s="2605"/>
      <c r="K44" s="2695"/>
      <c r="L44" s="2695"/>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52" t="s">
        <v>621</v>
      </c>
      <c r="B45" s="2649">
        <v>0.03</v>
      </c>
      <c r="C45" s="2628" t="s">
        <v>622</v>
      </c>
      <c r="D45" s="2606"/>
      <c r="E45" s="2605"/>
      <c r="F45" s="2605"/>
      <c r="G45" s="2605"/>
      <c r="H45" s="2605"/>
      <c r="I45" s="2605"/>
      <c r="J45" s="2605"/>
      <c r="K45" s="2695"/>
      <c r="L45" s="2695"/>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52" t="s">
        <v>623</v>
      </c>
      <c r="B46" s="2649">
        <v>0.02</v>
      </c>
      <c r="C46" s="2628" t="s">
        <v>624</v>
      </c>
      <c r="D46" s="2606"/>
      <c r="E46" s="2605"/>
      <c r="F46" s="2605"/>
      <c r="G46" s="2605"/>
      <c r="H46" s="2605"/>
      <c r="I46" s="2605"/>
      <c r="J46" s="2605"/>
      <c r="K46" s="2695"/>
      <c r="L46" s="2695"/>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4" t="s">
        <v>625</v>
      </c>
      <c r="B47" s="2655"/>
      <c r="C47" s="2656" t="s">
        <v>626</v>
      </c>
      <c r="D47" s="2606"/>
      <c r="E47" s="2605"/>
      <c r="F47" s="2605"/>
      <c r="G47" s="2605"/>
      <c r="H47" s="2605"/>
      <c r="I47" s="2605"/>
      <c r="J47" s="2605"/>
      <c r="K47" s="2695"/>
      <c r="L47" s="2695"/>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57" t="s">
        <v>627</v>
      </c>
      <c r="B48" s="2658">
        <v>0.03</v>
      </c>
      <c r="C48" s="2628" t="s">
        <v>622</v>
      </c>
      <c r="D48" s="2606"/>
      <c r="E48" s="2605"/>
      <c r="F48" s="2605"/>
      <c r="G48" s="2605"/>
      <c r="H48" s="2605"/>
      <c r="I48" s="2605"/>
      <c r="J48" s="2605"/>
      <c r="K48" s="2695"/>
      <c r="L48" s="2695"/>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3" t="s">
        <v>628</v>
      </c>
      <c r="B49" s="2649">
        <v>5.0000000000000001E-4</v>
      </c>
      <c r="C49" s="2628" t="s">
        <v>629</v>
      </c>
      <c r="D49" s="2606"/>
      <c r="E49" s="2605"/>
      <c r="F49" s="2605"/>
      <c r="G49" s="2605"/>
      <c r="H49" s="2605"/>
      <c r="I49" s="2605"/>
      <c r="J49" s="2605"/>
      <c r="K49" s="2695"/>
      <c r="L49" s="2695"/>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59" t="s">
        <v>630</v>
      </c>
      <c r="B50" s="2660">
        <v>1.2E-2</v>
      </c>
      <c r="C50" s="1246"/>
      <c r="D50" s="2606"/>
      <c r="E50" s="2605"/>
      <c r="F50" s="2605"/>
      <c r="G50" s="2605"/>
      <c r="H50" s="2605"/>
      <c r="I50" s="2605"/>
      <c r="J50" s="2605"/>
      <c r="K50" s="2695"/>
      <c r="L50" s="2695"/>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26" t="s">
        <v>631</v>
      </c>
      <c r="B51" s="2661">
        <v>0.12</v>
      </c>
      <c r="C51" s="1246"/>
      <c r="D51" s="2606"/>
      <c r="E51" s="2605"/>
      <c r="F51" s="2605"/>
      <c r="G51" s="2605"/>
      <c r="H51" s="2605"/>
      <c r="I51" s="2605"/>
      <c r="J51" s="2605"/>
      <c r="K51" s="2695"/>
      <c r="L51" s="2695"/>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59" t="s">
        <v>632</v>
      </c>
      <c r="B52" s="2662">
        <f>SUMIF(A54:A63,B53,B54:B63)</f>
        <v>12</v>
      </c>
      <c r="C52" s="1246"/>
      <c r="D52" s="2606"/>
      <c r="E52" s="2605"/>
      <c r="F52" s="2605"/>
      <c r="G52" s="2605"/>
      <c r="H52" s="2605"/>
      <c r="I52" s="2605"/>
      <c r="J52" s="2605"/>
      <c r="K52" s="2695"/>
      <c r="L52" s="2695"/>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23" t="s">
        <v>633</v>
      </c>
      <c r="B53" s="2663" t="s">
        <v>259</v>
      </c>
      <c r="C53" s="1246" t="s">
        <v>634</v>
      </c>
      <c r="D53" s="2664" t="s">
        <v>635</v>
      </c>
      <c r="E53" s="2605"/>
      <c r="F53" s="2605"/>
      <c r="G53" s="2605"/>
      <c r="H53" s="2605"/>
      <c r="I53" s="2605"/>
      <c r="J53" s="2605"/>
      <c r="K53" s="2695"/>
      <c r="L53" s="2695"/>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65" t="s">
        <v>636</v>
      </c>
      <c r="B54" s="2666"/>
      <c r="C54" s="1246">
        <v>30</v>
      </c>
      <c r="D54" s="2606"/>
      <c r="E54" s="2605"/>
      <c r="F54" s="2605"/>
      <c r="G54" s="2605"/>
      <c r="H54" s="2605"/>
      <c r="I54" s="2605"/>
      <c r="J54" s="2605"/>
      <c r="K54" s="2695"/>
      <c r="L54" s="2695"/>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65" t="s">
        <v>637</v>
      </c>
      <c r="B55" s="2666"/>
      <c r="C55" s="1246">
        <v>24</v>
      </c>
      <c r="D55" s="2606"/>
      <c r="E55" s="2605"/>
      <c r="F55" s="2605"/>
      <c r="G55" s="2605"/>
      <c r="H55" s="2605"/>
      <c r="I55" s="2697"/>
      <c r="J55" s="2605"/>
      <c r="K55" s="2695"/>
      <c r="L55" s="2695"/>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65" t="s">
        <v>638</v>
      </c>
      <c r="B56" s="2666"/>
      <c r="C56" s="1246">
        <v>18</v>
      </c>
      <c r="D56" s="2606"/>
      <c r="E56" s="2605"/>
      <c r="F56" s="2605"/>
      <c r="G56" s="2605"/>
      <c r="H56" s="2605"/>
      <c r="I56" s="2605"/>
      <c r="J56" s="2605"/>
      <c r="K56" s="2695"/>
      <c r="L56" s="2695"/>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65" t="s">
        <v>639</v>
      </c>
      <c r="B57" s="2666">
        <v>12</v>
      </c>
      <c r="C57" s="1246">
        <v>12</v>
      </c>
      <c r="D57" s="2606"/>
      <c r="E57" s="2605"/>
      <c r="F57" s="2605"/>
      <c r="G57" s="2605"/>
      <c r="H57" s="2605"/>
      <c r="I57" s="2605"/>
      <c r="J57" s="2605"/>
      <c r="K57" s="2695"/>
      <c r="L57" s="2695"/>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65" t="s">
        <v>640</v>
      </c>
      <c r="B58" s="2666"/>
      <c r="C58" s="1246">
        <v>3</v>
      </c>
      <c r="D58" s="2606"/>
      <c r="E58" s="2605"/>
      <c r="F58" s="2605"/>
      <c r="G58" s="2605"/>
      <c r="H58" s="2605"/>
      <c r="I58" s="2605"/>
      <c r="J58" s="2605"/>
      <c r="K58" s="2695"/>
      <c r="L58" s="2695"/>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65" t="s">
        <v>641</v>
      </c>
      <c r="B59" s="2666"/>
      <c r="C59" s="1246">
        <v>1.5</v>
      </c>
      <c r="D59" s="2606"/>
      <c r="E59" s="2605"/>
      <c r="F59" s="2605"/>
      <c r="G59" s="2605"/>
      <c r="H59" s="2605"/>
      <c r="I59" s="2605"/>
      <c r="J59" s="2605"/>
      <c r="K59" s="2695"/>
      <c r="L59" s="2695"/>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65" t="s">
        <v>642</v>
      </c>
      <c r="B60" s="2666"/>
      <c r="C60" s="2605"/>
      <c r="D60" s="2606"/>
      <c r="E60" s="2605"/>
      <c r="F60" s="2605"/>
      <c r="G60" s="2605"/>
      <c r="H60" s="2605"/>
      <c r="I60" s="2605"/>
      <c r="J60" s="2605"/>
      <c r="K60" s="2695"/>
      <c r="L60" s="2695"/>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65" t="s">
        <v>643</v>
      </c>
      <c r="B61" s="2666"/>
      <c r="C61" s="2605"/>
      <c r="D61" s="2606"/>
      <c r="E61" s="2605"/>
      <c r="F61" s="2605"/>
      <c r="G61" s="2605"/>
      <c r="H61" s="2605"/>
      <c r="I61" s="2605"/>
      <c r="J61" s="2605"/>
      <c r="K61" s="2695"/>
      <c r="L61" s="2695"/>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65" t="s">
        <v>644</v>
      </c>
      <c r="B62" s="2666"/>
      <c r="C62" s="2605"/>
      <c r="D62" s="2606"/>
      <c r="E62" s="2605"/>
      <c r="F62" s="2605"/>
      <c r="G62" s="2605"/>
      <c r="H62" s="2605"/>
      <c r="I62" s="2605"/>
      <c r="J62" s="2605"/>
      <c r="K62" s="2695"/>
      <c r="L62" s="2695"/>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67" t="s">
        <v>645</v>
      </c>
      <c r="B63" s="2668"/>
      <c r="C63" s="2605"/>
      <c r="D63" s="2606"/>
      <c r="E63" s="2605"/>
      <c r="F63" s="2605"/>
      <c r="G63" s="2605"/>
      <c r="H63" s="2605"/>
      <c r="I63" s="2605"/>
      <c r="J63" s="2605"/>
      <c r="K63" s="2695"/>
      <c r="L63" s="2695"/>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69"/>
      <c r="B64" s="2085"/>
      <c r="C64" s="2085"/>
      <c r="D64" s="2603"/>
      <c r="E64" s="2085"/>
      <c r="F64" s="2085"/>
      <c r="G64" s="2085"/>
      <c r="H64" s="2085"/>
      <c r="I64" s="2085"/>
      <c r="J64" s="2085"/>
      <c r="K64" s="2695"/>
      <c r="L64" s="2695"/>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69"/>
      <c r="B65" s="2085"/>
      <c r="C65" s="2085"/>
      <c r="D65" s="2603"/>
      <c r="E65" s="2085"/>
      <c r="F65" s="2085"/>
      <c r="G65" s="2085"/>
      <c r="H65" s="2085"/>
      <c r="I65" s="2085"/>
      <c r="J65" s="2085"/>
      <c r="K65" s="2695"/>
      <c r="L65" s="2695"/>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69"/>
      <c r="B66" s="2085"/>
      <c r="C66" s="2085"/>
      <c r="D66" s="2603"/>
      <c r="E66" s="2085"/>
      <c r="F66" s="2085"/>
      <c r="G66" s="2085"/>
      <c r="H66" s="2085"/>
      <c r="I66" s="2085"/>
      <c r="J66" s="2085"/>
      <c r="K66" s="2695"/>
      <c r="L66" s="2695"/>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69"/>
      <c r="B67" s="2085"/>
      <c r="C67" s="2085"/>
      <c r="D67" s="2603"/>
      <c r="E67" s="2085"/>
      <c r="F67" s="2085"/>
      <c r="G67" s="2085"/>
      <c r="H67" s="2085"/>
      <c r="I67" s="2085"/>
      <c r="J67" s="2085"/>
      <c r="K67" s="2695"/>
      <c r="L67" s="2695"/>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69"/>
      <c r="B68" s="2085"/>
      <c r="C68" s="2085"/>
      <c r="D68" s="2603"/>
      <c r="E68" s="2085"/>
      <c r="F68" s="2085"/>
      <c r="G68" s="2085"/>
      <c r="H68" s="2085"/>
      <c r="I68" s="2085"/>
      <c r="J68" s="2085"/>
      <c r="K68" s="2695"/>
      <c r="L68" s="2695"/>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66"/>
      <c r="K69" s="335"/>
      <c r="L69" s="335"/>
    </row>
    <row r="70" spans="1:44" s="2158" customFormat="1">
      <c r="A70" s="2467"/>
      <c r="D70" s="2766"/>
      <c r="K70" s="335"/>
      <c r="L70" s="335"/>
    </row>
    <row r="71" spans="1:44" s="2158" customFormat="1">
      <c r="A71" s="2467"/>
      <c r="D71" s="2766"/>
      <c r="K71" s="335"/>
      <c r="L71" s="335"/>
    </row>
    <row r="72" spans="1:44" s="2158" customFormat="1">
      <c r="A72" s="2467"/>
      <c r="D72" s="2766"/>
      <c r="K72" s="335"/>
      <c r="L72" s="335"/>
    </row>
    <row r="73" spans="1:44" s="2158" customFormat="1">
      <c r="A73" s="2467"/>
      <c r="D73" s="2766"/>
      <c r="K73" s="335"/>
      <c r="L73" s="335"/>
    </row>
    <row r="74" spans="1:44" s="2158" customFormat="1">
      <c r="A74" s="2467"/>
      <c r="D74" s="2766"/>
      <c r="K74" s="335"/>
      <c r="L74" s="335"/>
    </row>
    <row r="75" spans="1:44" s="2158" customFormat="1">
      <c r="A75" s="2467"/>
      <c r="D75" s="2766"/>
      <c r="K75" s="335"/>
      <c r="L75" s="335"/>
    </row>
    <row r="76" spans="1:44" s="2158" customFormat="1">
      <c r="A76" s="2467"/>
      <c r="D76" s="2766"/>
      <c r="K76" s="335"/>
      <c r="L76" s="335"/>
    </row>
    <row r="77" spans="1:44" s="2158" customFormat="1">
      <c r="A77" s="2467"/>
      <c r="D77" s="2766"/>
      <c r="K77" s="335"/>
      <c r="L77" s="335"/>
    </row>
    <row r="78" spans="1:44" s="2158" customFormat="1">
      <c r="A78" s="2467"/>
      <c r="D78" s="2766"/>
      <c r="K78" s="335"/>
      <c r="L78" s="335"/>
    </row>
    <row r="79" spans="1:44" s="2158" customFormat="1">
      <c r="A79" s="2467"/>
      <c r="D79" s="2766"/>
      <c r="K79" s="335"/>
      <c r="L79" s="335"/>
    </row>
    <row r="80" spans="1:44" s="2158" customFormat="1">
      <c r="A80" s="2467"/>
      <c r="D80" s="2766"/>
      <c r="K80" s="335"/>
      <c r="L80" s="335"/>
    </row>
    <row r="81" spans="1:12" s="2158" customFormat="1">
      <c r="A81" s="2467"/>
      <c r="D81" s="2766"/>
      <c r="K81" s="335"/>
      <c r="L81" s="335"/>
    </row>
    <row r="82" spans="1:12" s="2158" customFormat="1">
      <c r="A82" s="2467"/>
      <c r="D82" s="2766"/>
      <c r="K82" s="335"/>
      <c r="L82" s="335"/>
    </row>
    <row r="83" spans="1:12" s="2158" customFormat="1">
      <c r="A83" s="2467"/>
      <c r="D83" s="2766"/>
      <c r="K83" s="335"/>
      <c r="L83" s="335"/>
    </row>
    <row r="84" spans="1:12" s="2158" customFormat="1">
      <c r="A84" s="2467"/>
      <c r="D84" s="2766"/>
      <c r="K84" s="335"/>
      <c r="L84" s="335"/>
    </row>
    <row r="85" spans="1:12" s="2158" customFormat="1">
      <c r="A85" s="2467"/>
      <c r="D85" s="2766"/>
      <c r="K85" s="335"/>
      <c r="L85" s="335"/>
    </row>
    <row r="86" spans="1:12" s="2158" customFormat="1">
      <c r="A86" s="2467"/>
      <c r="D86" s="2766"/>
      <c r="K86" s="335"/>
      <c r="L86" s="335"/>
    </row>
    <row r="87" spans="1:12" s="2158" customFormat="1">
      <c r="A87" s="2467"/>
      <c r="D87" s="2766"/>
      <c r="K87" s="335"/>
      <c r="L87" s="335"/>
    </row>
    <row r="88" spans="1:12" s="2158" customFormat="1">
      <c r="A88" s="2467"/>
      <c r="D88" s="2766"/>
      <c r="K88" s="335"/>
      <c r="L88" s="335"/>
    </row>
    <row r="89" spans="1:12" s="2158" customFormat="1">
      <c r="A89" s="2467"/>
      <c r="D89" s="2766"/>
      <c r="K89" s="335"/>
      <c r="L89" s="335"/>
    </row>
    <row r="90" spans="1:12" s="2158" customFormat="1">
      <c r="A90" s="2467"/>
      <c r="D90" s="2766"/>
      <c r="K90" s="335"/>
      <c r="L90" s="335"/>
    </row>
    <row r="91" spans="1:12" s="2158" customFormat="1">
      <c r="A91" s="2467"/>
      <c r="D91" s="2766"/>
      <c r="K91" s="335"/>
      <c r="L91" s="335"/>
    </row>
    <row r="92" spans="1:12" s="2158" customFormat="1">
      <c r="A92" s="2467"/>
      <c r="D92" s="2766"/>
      <c r="K92" s="335"/>
      <c r="L92" s="335"/>
    </row>
    <row r="93" spans="1:12" s="2158" customFormat="1">
      <c r="A93" s="2467"/>
      <c r="D93" s="2766"/>
      <c r="K93" s="335"/>
      <c r="L93" s="335"/>
    </row>
    <row r="94" spans="1:12" s="2158" customFormat="1">
      <c r="A94" s="2467"/>
      <c r="D94" s="2766"/>
      <c r="K94" s="335"/>
      <c r="L94" s="335"/>
    </row>
    <row r="95" spans="1:12" s="2158" customFormat="1">
      <c r="A95" s="2467"/>
      <c r="D95" s="2766"/>
      <c r="K95" s="335"/>
      <c r="L95" s="335"/>
    </row>
    <row r="96" spans="1:12" s="2158" customFormat="1">
      <c r="A96" s="2467"/>
      <c r="D96" s="2766"/>
      <c r="K96" s="335"/>
      <c r="L96" s="335"/>
    </row>
    <row r="97" spans="1:12" s="2158" customFormat="1">
      <c r="A97" s="2467"/>
      <c r="D97" s="2766"/>
      <c r="K97" s="335"/>
      <c r="L97" s="335"/>
    </row>
    <row r="98" spans="1:12" s="2158" customFormat="1">
      <c r="A98" s="2467"/>
      <c r="D98" s="2766"/>
      <c r="K98" s="335"/>
      <c r="L98" s="335"/>
    </row>
    <row r="99" spans="1:12" s="2158" customFormat="1">
      <c r="A99" s="2467"/>
      <c r="D99" s="2766"/>
      <c r="K99" s="335"/>
      <c r="L99" s="335"/>
    </row>
    <row r="100" spans="1:12" s="2158" customFormat="1">
      <c r="A100" s="2467"/>
      <c r="D100" s="2766"/>
      <c r="K100" s="335"/>
      <c r="L100" s="335"/>
    </row>
    <row r="101" spans="1:12" s="2158" customFormat="1">
      <c r="A101" s="2467"/>
      <c r="D101" s="2766"/>
      <c r="K101" s="335"/>
      <c r="L101" s="335"/>
    </row>
    <row r="102" spans="1:12" s="2158" customFormat="1">
      <c r="A102" s="2467"/>
      <c r="D102" s="2766"/>
      <c r="K102" s="335"/>
      <c r="L102" s="335"/>
    </row>
    <row r="103" spans="1:12" s="2158" customFormat="1">
      <c r="A103" s="2467"/>
      <c r="D103" s="2766"/>
      <c r="K103" s="335"/>
      <c r="L103" s="335"/>
    </row>
    <row r="104" spans="1:12" s="2158" customFormat="1">
      <c r="A104" s="2467"/>
      <c r="D104" s="2766"/>
      <c r="K104" s="335"/>
      <c r="L104" s="335"/>
    </row>
    <row r="105" spans="1:12" s="2158" customFormat="1">
      <c r="A105" s="2467"/>
      <c r="D105" s="2766"/>
      <c r="K105" s="335"/>
      <c r="L105" s="335"/>
    </row>
    <row r="106" spans="1:12" s="2158" customFormat="1">
      <c r="A106" s="2467"/>
      <c r="D106" s="2766"/>
      <c r="K106" s="335"/>
      <c r="L106" s="335"/>
    </row>
    <row r="107" spans="1:12" s="2158" customFormat="1">
      <c r="A107" s="2467"/>
      <c r="D107" s="2766"/>
      <c r="K107" s="335"/>
      <c r="L107" s="335"/>
    </row>
    <row r="108" spans="1:12" s="2158" customFormat="1">
      <c r="A108" s="2467"/>
      <c r="D108" s="2766"/>
      <c r="K108" s="335"/>
      <c r="L108" s="335"/>
    </row>
    <row r="109" spans="1:12" s="2158" customFormat="1">
      <c r="A109" s="2467"/>
      <c r="D109" s="2766"/>
      <c r="K109" s="335"/>
      <c r="L109" s="335"/>
    </row>
    <row r="110" spans="1:12" s="2158" customFormat="1">
      <c r="A110" s="2467"/>
      <c r="D110" s="2766"/>
      <c r="K110" s="335"/>
      <c r="L110" s="335"/>
    </row>
    <row r="111" spans="1:12" s="2158" customFormat="1">
      <c r="A111" s="2467"/>
      <c r="D111" s="2766"/>
      <c r="K111" s="335"/>
      <c r="L111" s="335"/>
    </row>
    <row r="112" spans="1:12" s="2158" customFormat="1">
      <c r="A112" s="2467"/>
      <c r="D112" s="2766"/>
      <c r="K112" s="335"/>
      <c r="L112" s="335"/>
    </row>
    <row r="113" spans="1:12" s="2158" customFormat="1">
      <c r="A113" s="2467"/>
      <c r="D113" s="2766"/>
      <c r="K113" s="335"/>
      <c r="L113" s="335"/>
    </row>
    <row r="114" spans="1:12" s="2158" customFormat="1">
      <c r="A114" s="2467"/>
      <c r="D114" s="2766"/>
      <c r="K114" s="335"/>
      <c r="L114" s="335"/>
    </row>
    <row r="115" spans="1:12" s="2158" customFormat="1">
      <c r="A115" s="2467"/>
      <c r="D115" s="2766"/>
      <c r="K115" s="335"/>
      <c r="L115" s="335"/>
    </row>
    <row r="116" spans="1:12" s="2158" customFormat="1">
      <c r="A116" s="2467"/>
      <c r="D116" s="2766"/>
      <c r="K116" s="335"/>
      <c r="L116" s="335"/>
    </row>
    <row r="117" spans="1:12" s="2158" customFormat="1">
      <c r="A117" s="2467"/>
      <c r="D117" s="2766"/>
      <c r="K117" s="335"/>
      <c r="L117" s="335"/>
    </row>
    <row r="118" spans="1:12" s="2158" customFormat="1">
      <c r="A118" s="2467"/>
      <c r="D118" s="2766"/>
      <c r="K118" s="335"/>
      <c r="L118" s="335"/>
    </row>
    <row r="119" spans="1:12" s="2158" customFormat="1">
      <c r="A119" s="2467"/>
      <c r="D119" s="2766"/>
      <c r="K119" s="335"/>
      <c r="L119" s="335"/>
    </row>
    <row r="120" spans="1:12" s="2158" customFormat="1">
      <c r="A120" s="2467"/>
      <c r="D120" s="2766"/>
      <c r="K120" s="335"/>
      <c r="L120" s="335"/>
    </row>
    <row r="121" spans="1:12" s="2158" customFormat="1">
      <c r="A121" s="2467"/>
      <c r="D121" s="2766"/>
      <c r="K121" s="335"/>
      <c r="L121" s="335"/>
    </row>
    <row r="122" spans="1:12" s="2158" customFormat="1">
      <c r="A122" s="2467"/>
      <c r="D122" s="2766"/>
      <c r="K122" s="335"/>
      <c r="L122" s="335"/>
    </row>
    <row r="123" spans="1:12" s="2158" customFormat="1">
      <c r="A123" s="2467"/>
      <c r="D123" s="2766"/>
      <c r="K123" s="335"/>
      <c r="L123" s="335"/>
    </row>
    <row r="124" spans="1:12" s="2158" customFormat="1">
      <c r="A124" s="2467"/>
      <c r="D124" s="2766"/>
      <c r="K124" s="335"/>
      <c r="L124" s="335"/>
    </row>
    <row r="125" spans="1:12" s="2158" customFormat="1">
      <c r="A125" s="2467"/>
      <c r="D125" s="2766"/>
      <c r="K125" s="335"/>
      <c r="L125" s="335"/>
    </row>
    <row r="126" spans="1:12" s="2158" customFormat="1">
      <c r="A126" s="2467"/>
      <c r="D126" s="2766"/>
      <c r="K126" s="335"/>
      <c r="L126" s="335"/>
    </row>
    <row r="127" spans="1:12" s="2158" customFormat="1">
      <c r="A127" s="2467"/>
      <c r="D127" s="2766"/>
      <c r="K127" s="335"/>
      <c r="L127" s="335"/>
    </row>
    <row r="128" spans="1:12" s="2158" customFormat="1">
      <c r="A128" s="2467"/>
      <c r="D128" s="2766"/>
      <c r="K128" s="335"/>
      <c r="L128" s="335"/>
    </row>
    <row r="129" spans="1:12" s="2158" customFormat="1">
      <c r="A129" s="2467"/>
      <c r="D129" s="2766"/>
      <c r="K129" s="335"/>
      <c r="L129" s="335"/>
    </row>
    <row r="130" spans="1:12" s="2158" customFormat="1">
      <c r="A130" s="2467"/>
      <c r="D130" s="2766"/>
      <c r="K130" s="335"/>
      <c r="L130" s="335"/>
    </row>
    <row r="131" spans="1:12" s="2158" customFormat="1">
      <c r="A131" s="2467"/>
      <c r="D131" s="2766"/>
      <c r="K131" s="335"/>
      <c r="L131" s="335"/>
    </row>
    <row r="132" spans="1:12" s="2158" customFormat="1">
      <c r="A132" s="2467"/>
      <c r="D132" s="2766"/>
      <c r="K132" s="335"/>
      <c r="L132" s="335"/>
    </row>
    <row r="133" spans="1:12" s="2158" customFormat="1">
      <c r="A133" s="2467"/>
      <c r="D133" s="2766"/>
      <c r="K133" s="335"/>
      <c r="L133" s="335"/>
    </row>
    <row r="134" spans="1:12" s="2562" customFormat="1">
      <c r="A134" s="2767"/>
      <c r="D134" s="2768"/>
      <c r="K134" s="237"/>
      <c r="L134" s="237"/>
    </row>
    <row r="135" spans="1:12" s="2562" customFormat="1">
      <c r="A135" s="2767"/>
      <c r="D135" s="2768"/>
      <c r="K135" s="237"/>
      <c r="L135" s="237"/>
    </row>
    <row r="136" spans="1:12" s="2562" customFormat="1">
      <c r="A136" s="2767"/>
      <c r="D136" s="2768"/>
      <c r="K136" s="237"/>
      <c r="L136" s="237"/>
    </row>
    <row r="137" spans="1:12" s="2562" customFormat="1">
      <c r="A137" s="2767"/>
      <c r="D137" s="2768"/>
      <c r="K137" s="237"/>
      <c r="L137" s="237"/>
    </row>
    <row r="138" spans="1:12" s="2562" customFormat="1">
      <c r="A138" s="2767"/>
      <c r="D138" s="2768"/>
      <c r="K138" s="237"/>
      <c r="L138" s="237"/>
    </row>
    <row r="139" spans="1:12" s="2562" customFormat="1">
      <c r="A139" s="2767"/>
      <c r="D139" s="2768"/>
      <c r="K139" s="237"/>
      <c r="L139" s="237"/>
    </row>
    <row r="140" spans="1:12" s="2562" customFormat="1">
      <c r="A140" s="2767"/>
      <c r="D140" s="2768"/>
      <c r="K140" s="237"/>
      <c r="L140" s="237"/>
    </row>
    <row r="141" spans="1:12" s="2562" customFormat="1">
      <c r="A141" s="2767"/>
      <c r="D141" s="2768"/>
      <c r="K141" s="237"/>
      <c r="L141" s="237"/>
    </row>
    <row r="142" spans="1:12" s="2562" customFormat="1">
      <c r="A142" s="2767"/>
      <c r="D142" s="2768"/>
      <c r="K142" s="237"/>
      <c r="L142" s="237"/>
    </row>
    <row r="143" spans="1:12" s="2562" customFormat="1">
      <c r="A143" s="2767"/>
      <c r="D143" s="2768"/>
      <c r="K143" s="237"/>
      <c r="L143" s="237"/>
    </row>
    <row r="144" spans="1:12" s="2562" customFormat="1">
      <c r="A144" s="2767"/>
      <c r="D144" s="2768"/>
      <c r="K144" s="237"/>
      <c r="L144" s="237"/>
    </row>
    <row r="145" spans="1:12" s="2562" customFormat="1">
      <c r="A145" s="2767"/>
      <c r="D145" s="2768"/>
      <c r="K145" s="237"/>
      <c r="L145" s="237"/>
    </row>
    <row r="146" spans="1:12" s="2562" customFormat="1">
      <c r="A146" s="2767"/>
      <c r="D146" s="2768"/>
      <c r="K146" s="237"/>
      <c r="L146" s="237"/>
    </row>
    <row r="147" spans="1:12" s="2562" customFormat="1">
      <c r="A147" s="2767"/>
      <c r="D147" s="2768"/>
      <c r="K147" s="237"/>
      <c r="L147" s="237"/>
    </row>
    <row r="148" spans="1:12" s="2562" customFormat="1">
      <c r="A148" s="2767"/>
      <c r="D148" s="2768"/>
      <c r="K148" s="237"/>
      <c r="L148" s="237"/>
    </row>
    <row r="149" spans="1:12" s="2562" customFormat="1">
      <c r="A149" s="2767"/>
      <c r="D149" s="2768"/>
      <c r="K149" s="237"/>
      <c r="L149" s="237"/>
    </row>
    <row r="150" spans="1:12" s="2562" customFormat="1">
      <c r="A150" s="2767"/>
      <c r="D150" s="2768"/>
      <c r="K150" s="237"/>
      <c r="L150" s="237"/>
    </row>
    <row r="151" spans="1:12" s="2562" customFormat="1">
      <c r="A151" s="2767"/>
      <c r="D151" s="2768"/>
      <c r="K151" s="237"/>
      <c r="L151" s="237"/>
    </row>
    <row r="152" spans="1:12" s="2562" customFormat="1">
      <c r="A152" s="2767"/>
      <c r="D152" s="2768"/>
      <c r="K152" s="237"/>
      <c r="L152" s="237"/>
    </row>
    <row r="153" spans="1:12" s="2562" customFormat="1">
      <c r="A153" s="2767"/>
      <c r="D153" s="2768"/>
      <c r="K153" s="237"/>
      <c r="L153" s="237"/>
    </row>
    <row r="154" spans="1:12" s="2562" customFormat="1">
      <c r="A154" s="2767"/>
      <c r="D154" s="2768"/>
      <c r="K154" s="237"/>
      <c r="L154" s="237"/>
    </row>
    <row r="155" spans="1:12" s="2562" customFormat="1">
      <c r="A155" s="2767"/>
      <c r="D155" s="2768"/>
      <c r="K155" s="237"/>
      <c r="L155" s="237"/>
    </row>
    <row r="156" spans="1:12" s="2562" customFormat="1">
      <c r="A156" s="2767"/>
      <c r="D156" s="2768"/>
      <c r="K156" s="237"/>
      <c r="L156" s="237"/>
    </row>
    <row r="157" spans="1:12" s="2562" customFormat="1">
      <c r="A157" s="2767"/>
      <c r="D157" s="2768"/>
      <c r="K157" s="237"/>
      <c r="L157" s="237"/>
    </row>
    <row r="158" spans="1:12" s="2562" customFormat="1">
      <c r="A158" s="2767"/>
      <c r="D158" s="2768"/>
      <c r="K158" s="237"/>
      <c r="L158" s="237"/>
    </row>
    <row r="159" spans="1:12" s="2562" customFormat="1">
      <c r="A159" s="2767"/>
      <c r="D159" s="2768"/>
      <c r="K159" s="237"/>
      <c r="L159" s="237"/>
    </row>
    <row r="160" spans="1:12" s="2562" customFormat="1">
      <c r="A160" s="2767"/>
      <c r="D160" s="2768"/>
      <c r="K160" s="237"/>
      <c r="L160" s="237"/>
    </row>
    <row r="161" spans="1:12" s="2562" customFormat="1">
      <c r="A161" s="2767"/>
      <c r="D161" s="2768"/>
      <c r="K161" s="237"/>
      <c r="L161" s="237"/>
    </row>
    <row r="162" spans="1:12" s="2562" customFormat="1">
      <c r="A162" s="2767"/>
      <c r="D162" s="2768"/>
      <c r="K162" s="237"/>
      <c r="L162" s="237"/>
    </row>
    <row r="163" spans="1:12" s="2562" customFormat="1">
      <c r="A163" s="2767"/>
      <c r="D163" s="2768"/>
      <c r="K163" s="237"/>
      <c r="L163" s="237"/>
    </row>
    <row r="164" spans="1:12" s="2562" customFormat="1">
      <c r="A164" s="2767"/>
      <c r="D164" s="2768"/>
      <c r="K164" s="237"/>
      <c r="L164" s="237"/>
    </row>
    <row r="165" spans="1:12" s="2562" customFormat="1">
      <c r="A165" s="2767"/>
      <c r="D165" s="2768"/>
      <c r="K165" s="237"/>
      <c r="L165" s="237"/>
    </row>
    <row r="166" spans="1:12" s="2562" customFormat="1">
      <c r="A166" s="2767"/>
      <c r="D166" s="2768"/>
      <c r="K166" s="237"/>
      <c r="L166" s="237"/>
    </row>
    <row r="167" spans="1:12" s="2562" customFormat="1">
      <c r="A167" s="2767"/>
      <c r="D167" s="2768"/>
      <c r="K167" s="237"/>
      <c r="L167" s="237"/>
    </row>
    <row r="168" spans="1:12" s="2562" customFormat="1">
      <c r="A168" s="2767"/>
      <c r="D168" s="2768"/>
      <c r="K168" s="237"/>
      <c r="L168" s="237"/>
    </row>
    <row r="169" spans="1:12" s="2562" customFormat="1">
      <c r="A169" s="2767"/>
      <c r="D169" s="2768"/>
      <c r="K169" s="237"/>
      <c r="L169" s="237"/>
    </row>
    <row r="170" spans="1:12" s="2562" customFormat="1">
      <c r="A170" s="2767"/>
      <c r="D170" s="2768"/>
      <c r="K170" s="237"/>
      <c r="L170" s="237"/>
    </row>
    <row r="171" spans="1:12" s="2562" customFormat="1">
      <c r="A171" s="2767"/>
      <c r="D171" s="2768"/>
      <c r="K171" s="237"/>
      <c r="L171" s="237"/>
    </row>
    <row r="172" spans="1:12" s="2562" customFormat="1">
      <c r="A172" s="2767"/>
      <c r="D172" s="2768"/>
      <c r="K172" s="237"/>
      <c r="L172" s="237"/>
    </row>
    <row r="173" spans="1:12" s="2562" customFormat="1">
      <c r="A173" s="2767"/>
      <c r="D173" s="2768"/>
      <c r="K173" s="237"/>
      <c r="L173" s="237"/>
    </row>
    <row r="174" spans="1:12" s="2562" customFormat="1">
      <c r="A174" s="2767"/>
      <c r="D174" s="2768"/>
      <c r="K174" s="237"/>
      <c r="L174" s="237"/>
    </row>
  </sheetData>
  <sheetProtection password="CEE9" sheet="1" objects="1" scenarios="1" formatCells="0" formatColumns="0" formatRows="0"/>
  <phoneticPr fontId="216"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31"/>
  <sheetViews>
    <sheetView topLeftCell="A19" workbookViewId="0">
      <selection activeCell="G25" sqref="G25"/>
    </sheetView>
  </sheetViews>
  <sheetFormatPr defaultColWidth="8.875" defaultRowHeight="14.25"/>
  <cols>
    <col min="1" max="2" width="8.875" style="2556"/>
    <col min="3" max="3" width="10" style="2556" customWidth="1"/>
    <col min="4" max="4" width="10.875" style="2556" customWidth="1"/>
    <col min="5" max="5" width="11" style="2556" customWidth="1"/>
    <col min="6" max="6" width="11.5" style="2556" customWidth="1"/>
    <col min="7" max="7" width="12.5" style="2556" customWidth="1"/>
    <col min="8" max="8" width="12.875" style="2556"/>
    <col min="9" max="16384" width="8.875" style="2556"/>
  </cols>
  <sheetData>
    <row r="3" spans="3:8">
      <c r="C3" s="2556" t="s">
        <v>646</v>
      </c>
      <c r="D3" s="2556">
        <f>'数据-基础表'!B3</f>
        <v>11398.58</v>
      </c>
      <c r="F3" s="2556" t="s">
        <v>647</v>
      </c>
      <c r="G3" s="2556">
        <v>12.77</v>
      </c>
      <c r="H3" s="2556" t="s">
        <v>648</v>
      </c>
    </row>
    <row r="5" spans="3:8">
      <c r="C5" s="2556" t="s">
        <v>649</v>
      </c>
      <c r="D5" s="2557">
        <v>44805</v>
      </c>
      <c r="E5" s="2557">
        <v>44985</v>
      </c>
      <c r="F5" s="2556">
        <v>7509384.9000000004</v>
      </c>
      <c r="G5" s="2558">
        <f>ROUND(F5*26/50,2)</f>
        <v>3904880.15</v>
      </c>
      <c r="H5" s="2557"/>
    </row>
    <row r="6" spans="3:8">
      <c r="C6" s="2556" t="s">
        <v>650</v>
      </c>
      <c r="D6" s="2557">
        <v>44986</v>
      </c>
      <c r="E6" s="2557">
        <v>45169</v>
      </c>
      <c r="F6" s="2556">
        <v>7509384.9000000004</v>
      </c>
    </row>
    <row r="7" spans="3:8">
      <c r="C7" s="2556" t="s">
        <v>651</v>
      </c>
      <c r="D7" s="2557">
        <v>45170</v>
      </c>
      <c r="E7" s="2557">
        <v>45351</v>
      </c>
      <c r="F7" s="2556">
        <v>7884853.3200000003</v>
      </c>
    </row>
    <row r="8" spans="3:8">
      <c r="C8" s="2556" t="s">
        <v>652</v>
      </c>
      <c r="D8" s="2557">
        <v>45352</v>
      </c>
      <c r="E8" s="2557">
        <v>45535</v>
      </c>
      <c r="F8" s="2556">
        <v>7884853.3200000003</v>
      </c>
    </row>
    <row r="9" spans="3:8">
      <c r="C9" s="2556" t="s">
        <v>653</v>
      </c>
      <c r="F9" s="2556">
        <v>7884853.3200000003</v>
      </c>
    </row>
    <row r="10" spans="3:8">
      <c r="C10" s="2556" t="s">
        <v>654</v>
      </c>
      <c r="F10" s="2556">
        <v>7884853.3200000003</v>
      </c>
    </row>
    <row r="11" spans="3:8">
      <c r="C11" s="2556" t="s">
        <v>655</v>
      </c>
      <c r="F11" s="2556">
        <v>7884853.3200000003</v>
      </c>
    </row>
    <row r="12" spans="3:8">
      <c r="C12" s="2556" t="s">
        <v>656</v>
      </c>
      <c r="F12" s="2556">
        <v>7884853.3200000003</v>
      </c>
    </row>
    <row r="13" spans="3:8">
      <c r="C13" s="2556" t="s">
        <v>657</v>
      </c>
      <c r="F13" s="2556">
        <v>8281181.8799999999</v>
      </c>
    </row>
    <row r="14" spans="3:8">
      <c r="C14" s="2556" t="s">
        <v>658</v>
      </c>
      <c r="F14" s="2556">
        <v>8281181.8799999999</v>
      </c>
    </row>
    <row r="15" spans="3:8">
      <c r="C15" s="2556" t="s">
        <v>659</v>
      </c>
      <c r="F15" s="2556">
        <v>8281181.8799999999</v>
      </c>
    </row>
    <row r="16" spans="3:8">
      <c r="C16" s="2556" t="s">
        <v>660</v>
      </c>
      <c r="F16" s="2556">
        <v>8281181.8799999999</v>
      </c>
    </row>
    <row r="17" spans="3:8">
      <c r="C17" s="2556" t="s">
        <v>661</v>
      </c>
      <c r="F17" s="2556">
        <v>8281181.8799999999</v>
      </c>
    </row>
    <row r="18" spans="3:8">
      <c r="C18" s="2556" t="s">
        <v>662</v>
      </c>
      <c r="F18" s="2556">
        <v>8281181.8799999999</v>
      </c>
    </row>
    <row r="19" spans="3:8">
      <c r="C19" s="2556" t="s">
        <v>663</v>
      </c>
      <c r="F19" s="2556">
        <v>8698370.6400000006</v>
      </c>
    </row>
    <row r="20" spans="3:8">
      <c r="C20" s="2556" t="s">
        <v>664</v>
      </c>
      <c r="F20" s="2556">
        <v>8698370.6400000006</v>
      </c>
    </row>
    <row r="21" spans="3:8">
      <c r="C21" s="2556" t="s">
        <v>665</v>
      </c>
      <c r="F21" s="2556">
        <v>8698370.6400000006</v>
      </c>
    </row>
    <row r="22" spans="3:8">
      <c r="C22" s="2556" t="s">
        <v>666</v>
      </c>
      <c r="F22" s="2556">
        <v>8698370.6400000006</v>
      </c>
    </row>
    <row r="23" spans="3:8">
      <c r="C23" s="2556" t="s">
        <v>667</v>
      </c>
      <c r="F23" s="2556">
        <v>8698370.6400000006</v>
      </c>
    </row>
    <row r="24" spans="3:8">
      <c r="C24" s="2556" t="s">
        <v>668</v>
      </c>
      <c r="F24" s="2556">
        <v>8698370.6400000006</v>
      </c>
    </row>
    <row r="25" spans="3:8">
      <c r="C25" s="2556" t="s">
        <v>669</v>
      </c>
      <c r="F25" s="2556">
        <v>9136417.7400000002</v>
      </c>
    </row>
    <row r="26" spans="3:8">
      <c r="C26" s="2556" t="s">
        <v>670</v>
      </c>
      <c r="F26" s="2556">
        <v>9136417.7400000002</v>
      </c>
    </row>
    <row r="27" spans="3:8">
      <c r="C27" s="2556" t="s">
        <v>671</v>
      </c>
      <c r="F27" s="2556">
        <v>9136417.7400000002</v>
      </c>
    </row>
    <row r="28" spans="3:8">
      <c r="C28" s="2556" t="s">
        <v>672</v>
      </c>
      <c r="F28" s="2556">
        <v>9136417.7400000002</v>
      </c>
    </row>
    <row r="29" spans="3:8">
      <c r="C29" s="2556" t="s">
        <v>673</v>
      </c>
      <c r="F29" s="2556">
        <v>9136417.7400000002</v>
      </c>
    </row>
    <row r="30" spans="3:8">
      <c r="C30" s="2556" t="s">
        <v>674</v>
      </c>
      <c r="D30" s="2557">
        <v>49369</v>
      </c>
      <c r="E30" s="2557">
        <v>414794</v>
      </c>
      <c r="F30" s="2556">
        <v>9136417.7400000002</v>
      </c>
    </row>
    <row r="31" spans="3:8">
      <c r="F31" s="2556">
        <f>SUM(F6:F30)</f>
        <v>211514326.38</v>
      </c>
      <c r="G31" s="2556">
        <f>F31+G5</f>
        <v>215419206.53</v>
      </c>
      <c r="H31" s="2556">
        <f>ROUND(G31/D3/G3/365,2)</f>
        <v>4.05</v>
      </c>
    </row>
  </sheetData>
  <phoneticPr fontId="216"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15" t="s">
        <v>675</v>
      </c>
      <c r="B1" s="3316"/>
      <c r="C1" s="3316"/>
      <c r="D1" s="3316"/>
      <c r="E1" s="3316"/>
      <c r="F1" s="3316"/>
      <c r="G1" s="3316"/>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676</v>
      </c>
      <c r="D2" s="2498"/>
      <c r="E2" s="2495"/>
      <c r="F2" s="2499"/>
      <c r="G2" s="2497" t="s">
        <v>677</v>
      </c>
      <c r="H2" s="2074"/>
      <c r="I2" s="2074"/>
      <c r="J2" s="2074"/>
      <c r="K2" s="2074"/>
      <c r="L2" s="2074"/>
      <c r="M2" s="2074"/>
      <c r="N2" s="2074"/>
      <c r="O2" s="2074"/>
      <c r="P2" s="2074"/>
      <c r="Q2" s="2074"/>
      <c r="R2" s="2074"/>
    </row>
    <row r="3" spans="1:29" ht="48">
      <c r="A3" s="2500" t="s">
        <v>678</v>
      </c>
      <c r="B3" s="2501" t="s">
        <v>679</v>
      </c>
      <c r="C3" s="2502" t="s">
        <v>680</v>
      </c>
      <c r="D3" s="2503"/>
      <c r="E3" s="2504" t="s">
        <v>678</v>
      </c>
      <c r="F3" s="2505" t="s">
        <v>681</v>
      </c>
      <c r="G3" s="2506" t="s">
        <v>682</v>
      </c>
      <c r="H3" s="2074"/>
      <c r="I3" s="2074"/>
      <c r="J3" s="2074"/>
      <c r="K3" s="2074"/>
      <c r="L3" s="2074"/>
      <c r="M3" s="2074"/>
      <c r="N3" s="2074"/>
      <c r="O3" s="2074"/>
      <c r="P3" s="2074"/>
      <c r="Q3" s="2074"/>
      <c r="R3" s="2074"/>
    </row>
    <row r="4" spans="1:29" ht="36.75">
      <c r="A4" s="2504"/>
      <c r="B4" s="1858" t="s">
        <v>683</v>
      </c>
      <c r="C4" s="2507" t="s">
        <v>684</v>
      </c>
      <c r="D4" s="2503"/>
      <c r="E4" s="2508"/>
      <c r="F4" s="2068" t="s">
        <v>685</v>
      </c>
      <c r="G4" s="2509" t="s">
        <v>686</v>
      </c>
      <c r="H4" s="2074"/>
      <c r="I4" s="2074"/>
      <c r="J4" s="2074"/>
      <c r="K4" s="2074"/>
      <c r="L4" s="2074"/>
      <c r="M4" s="2074"/>
      <c r="N4" s="2074"/>
      <c r="O4" s="2074"/>
      <c r="P4" s="2074"/>
      <c r="Q4" s="2074"/>
      <c r="R4" s="2074"/>
    </row>
    <row r="5" spans="1:29" ht="36.75">
      <c r="A5" s="2504"/>
      <c r="B5" s="1858" t="s">
        <v>687</v>
      </c>
      <c r="C5" s="2507" t="s">
        <v>688</v>
      </c>
      <c r="D5" s="2503"/>
      <c r="E5" s="2508"/>
      <c r="F5" s="1858" t="s">
        <v>454</v>
      </c>
      <c r="G5" s="2509" t="s">
        <v>689</v>
      </c>
      <c r="H5" s="2074"/>
      <c r="I5" s="2074"/>
      <c r="J5" s="2074"/>
      <c r="K5" s="2074"/>
      <c r="L5" s="2074"/>
      <c r="M5" s="2074"/>
      <c r="N5" s="2074"/>
      <c r="O5" s="2074"/>
      <c r="P5" s="2074"/>
      <c r="Q5" s="2074"/>
      <c r="R5" s="2074"/>
    </row>
    <row r="6" spans="1:29" ht="36">
      <c r="A6" s="2504"/>
      <c r="B6" s="1858" t="s">
        <v>685</v>
      </c>
      <c r="C6" s="2509" t="s">
        <v>686</v>
      </c>
      <c r="D6" s="2503"/>
      <c r="E6" s="2508"/>
      <c r="F6" s="1858" t="s">
        <v>690</v>
      </c>
      <c r="G6" s="2509" t="s">
        <v>691</v>
      </c>
      <c r="H6" s="2074"/>
      <c r="I6" s="2074"/>
      <c r="J6" s="2074"/>
      <c r="K6" s="2074"/>
      <c r="L6" s="2074"/>
      <c r="M6" s="2074"/>
      <c r="N6" s="2074"/>
      <c r="O6" s="2074"/>
      <c r="P6" s="2074"/>
      <c r="Q6" s="2074"/>
      <c r="R6" s="2074"/>
    </row>
    <row r="7" spans="1:29" ht="24">
      <c r="A7" s="2504"/>
      <c r="B7" s="1858" t="s">
        <v>454</v>
      </c>
      <c r="C7" s="2509" t="s">
        <v>689</v>
      </c>
      <c r="D7" s="2510"/>
      <c r="E7" s="2511"/>
      <c r="F7" s="2512" t="s">
        <v>692</v>
      </c>
      <c r="G7" s="2513" t="s">
        <v>693</v>
      </c>
      <c r="H7" s="2074"/>
      <c r="I7" s="2074"/>
      <c r="J7" s="2074"/>
      <c r="K7" s="2074"/>
      <c r="L7" s="2074"/>
      <c r="M7" s="2074"/>
      <c r="N7" s="2074"/>
      <c r="O7" s="2074"/>
      <c r="P7" s="2074"/>
      <c r="Q7" s="2074"/>
      <c r="R7" s="2074"/>
    </row>
    <row r="8" spans="1:29">
      <c r="A8" s="2504"/>
      <c r="B8" s="1858" t="s">
        <v>690</v>
      </c>
      <c r="C8" s="2509" t="s">
        <v>691</v>
      </c>
      <c r="D8" s="2510"/>
      <c r="E8" s="2510"/>
      <c r="F8" s="1979"/>
      <c r="G8" s="1979"/>
      <c r="H8" s="2074"/>
      <c r="I8" s="2074"/>
      <c r="J8" s="2074"/>
      <c r="K8" s="2074"/>
      <c r="L8" s="2074"/>
      <c r="M8" s="2074"/>
      <c r="N8" s="2074"/>
      <c r="O8" s="2074"/>
      <c r="P8" s="2074"/>
      <c r="Q8" s="2074"/>
      <c r="R8" s="2074"/>
    </row>
    <row r="9" spans="1:29" ht="24">
      <c r="A9" s="2504"/>
      <c r="B9" s="1858" t="s">
        <v>694</v>
      </c>
      <c r="C9" s="2507" t="s">
        <v>695</v>
      </c>
      <c r="D9" s="2503"/>
      <c r="E9" s="2510"/>
      <c r="F9" s="1979"/>
      <c r="G9" s="1979"/>
      <c r="H9" s="2074"/>
      <c r="I9" s="2074"/>
      <c r="J9" s="2074"/>
      <c r="K9" s="2074"/>
      <c r="L9" s="2074"/>
      <c r="M9" s="2074"/>
      <c r="N9" s="2074"/>
      <c r="O9" s="2074"/>
      <c r="P9" s="2074"/>
      <c r="Q9" s="2074"/>
      <c r="R9" s="2074"/>
    </row>
    <row r="10" spans="1:29" s="2486" customFormat="1">
      <c r="A10" s="2514"/>
      <c r="B10" s="2515" t="s">
        <v>696</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697</v>
      </c>
      <c r="B13" s="2520"/>
      <c r="C13" s="2520"/>
      <c r="D13" s="2518"/>
      <c r="E13" s="2520"/>
      <c r="F13" s="2520"/>
      <c r="G13" s="2520"/>
    </row>
    <row r="14" spans="1:29">
      <c r="A14" s="2523"/>
      <c r="B14" s="2523"/>
      <c r="C14" s="2524" t="s">
        <v>676</v>
      </c>
      <c r="D14" s="2503"/>
      <c r="E14" s="2525"/>
      <c r="F14" s="2525"/>
      <c r="G14" s="2497" t="s">
        <v>677</v>
      </c>
    </row>
    <row r="15" spans="1:29" ht="51">
      <c r="A15" s="2526" t="s">
        <v>678</v>
      </c>
      <c r="B15" s="2527" t="s">
        <v>679</v>
      </c>
      <c r="C15" s="2528" t="str">
        <f>C3</f>
        <v>估价对象周边居住用地比例、居住小区规模和社区发展完善程度，综合评价居住社区成熟度一般</v>
      </c>
      <c r="D15" s="2503"/>
      <c r="E15" s="2529" t="s">
        <v>678</v>
      </c>
      <c r="F15" s="2527" t="s">
        <v>681</v>
      </c>
      <c r="G15" s="2530" t="str">
        <f>G3</f>
        <v>估价对象位于XX开发区，园区建设成熟度XX，产业集聚程度XX</v>
      </c>
    </row>
    <row r="16" spans="1:29" ht="38.25">
      <c r="A16" s="2531"/>
      <c r="B16" s="2532" t="s">
        <v>683</v>
      </c>
      <c r="C16" s="2533" t="str">
        <f>C4</f>
        <v>估价对象位于XX商圈，周边商业氛围成熟，人流量大，商业繁华度好</v>
      </c>
      <c r="D16" s="2503"/>
      <c r="E16" s="2534"/>
      <c r="F16" s="2535" t="s">
        <v>685</v>
      </c>
      <c r="G16" s="2536" t="str">
        <f>G4</f>
        <v>估价对象周边道路状况、公共交通通达情况、停车便捷程度，综合评价交通便捷度较好</v>
      </c>
    </row>
    <row r="17" spans="1:18" ht="38.25">
      <c r="A17" s="2531"/>
      <c r="B17" s="2532" t="s">
        <v>687</v>
      </c>
      <c r="C17" s="2533" t="str">
        <f>C5</f>
        <v>估价对象位于XX商圈，周边办公楼项目较多，入驻率高，办公集聚程度较好</v>
      </c>
      <c r="D17" s="2510"/>
      <c r="E17" s="2534"/>
      <c r="F17" s="2535" t="s">
        <v>698</v>
      </c>
      <c r="G17" s="2537"/>
    </row>
    <row r="18" spans="1:18" ht="38.25">
      <c r="A18" s="2531"/>
      <c r="B18" s="2535" t="s">
        <v>685</v>
      </c>
      <c r="C18" s="2536" t="str">
        <f>C6</f>
        <v>估价对象周边道路状况、公共交通通达情况、停车便捷程度，综合评价交通便捷度较好</v>
      </c>
      <c r="D18" s="2510"/>
      <c r="E18" s="2534"/>
      <c r="F18" s="2535" t="s">
        <v>692</v>
      </c>
      <c r="G18" s="2536" t="str">
        <f>G7</f>
        <v>该园区内是否有污染型企业，绿化情况，卫生条件，整体环境状况判断</v>
      </c>
    </row>
    <row r="19" spans="1:18" ht="25.5">
      <c r="A19" s="2531"/>
      <c r="B19" s="2535" t="s">
        <v>698</v>
      </c>
      <c r="C19" s="2537"/>
      <c r="D19" s="2503"/>
      <c r="E19" s="2534"/>
      <c r="F19" s="1858" t="s">
        <v>454</v>
      </c>
      <c r="G19" s="2536" t="str">
        <f>G5</f>
        <v>估价对象所在区域公共配套设施齐备情况</v>
      </c>
    </row>
    <row r="20" spans="1:18" ht="25.5">
      <c r="A20" s="2531"/>
      <c r="B20" s="2535" t="s">
        <v>699</v>
      </c>
      <c r="C20" s="2533" t="str">
        <f>C9</f>
        <v>区域自然环境：；人文环境；综合评价环境状况一般</v>
      </c>
      <c r="D20" s="2510"/>
      <c r="E20" s="2534"/>
      <c r="F20" s="1858" t="s">
        <v>690</v>
      </c>
      <c r="G20" s="2536" t="str">
        <f>G6</f>
        <v>估价对象所在区域基础设施水平</v>
      </c>
    </row>
    <row r="21" spans="1:18" ht="25.5">
      <c r="A21" s="2531"/>
      <c r="B21" s="1858" t="s">
        <v>454</v>
      </c>
      <c r="C21" s="2536" t="str">
        <f>C7</f>
        <v>估价对象所在区域公共配套设施齐备情况</v>
      </c>
      <c r="D21" s="2503"/>
      <c r="E21" s="2534"/>
      <c r="F21" s="2535" t="s">
        <v>700</v>
      </c>
      <c r="G21" s="2538"/>
    </row>
    <row r="22" spans="1:18" ht="13.5" customHeight="1">
      <c r="A22" s="2531"/>
      <c r="B22" s="1858" t="s">
        <v>690</v>
      </c>
      <c r="C22" s="2536" t="str">
        <f>C8</f>
        <v>估价对象所在区域基础设施水平</v>
      </c>
      <c r="D22" s="2503"/>
      <c r="E22" s="2534"/>
      <c r="F22" s="2535" t="s">
        <v>696</v>
      </c>
      <c r="G22" s="2537"/>
    </row>
    <row r="23" spans="1:18" s="2074" customFormat="1">
      <c r="A23" s="2531"/>
      <c r="B23" s="2535" t="s">
        <v>700</v>
      </c>
      <c r="C23" s="2538"/>
      <c r="D23" s="2467"/>
      <c r="E23" s="2539"/>
      <c r="F23" s="2540" t="s">
        <v>401</v>
      </c>
      <c r="G23" s="2541"/>
      <c r="H23" s="2491"/>
      <c r="I23" s="2492"/>
      <c r="J23" s="2491"/>
      <c r="K23" s="2491"/>
      <c r="L23" s="2492"/>
      <c r="M23" s="2491"/>
      <c r="N23" s="2491"/>
      <c r="O23" s="2492"/>
      <c r="P23" s="2491"/>
      <c r="Q23" s="2491"/>
      <c r="R23" s="2493"/>
    </row>
    <row r="24" spans="1:18" s="2074" customFormat="1">
      <c r="A24" s="2542"/>
      <c r="B24" s="2540" t="s">
        <v>696</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9" sqref="G9"/>
    </sheetView>
  </sheetViews>
  <sheetFormatPr defaultColWidth="9" defaultRowHeight="13.5"/>
  <cols>
    <col min="1" max="1" width="25" style="2472" customWidth="1"/>
    <col min="2" max="9" width="15.75" style="2472" customWidth="1"/>
    <col min="10" max="16384" width="9" style="2472"/>
  </cols>
  <sheetData>
    <row r="1" spans="1:11" ht="16.5">
      <c r="A1" s="2473" t="s">
        <v>701</v>
      </c>
      <c r="B1" s="2473">
        <f>SUM(B14:B23)</f>
        <v>11398.58</v>
      </c>
      <c r="C1" s="2474"/>
      <c r="D1" s="2474"/>
      <c r="E1" s="2474"/>
      <c r="F1" s="2474"/>
      <c r="G1" s="2475"/>
      <c r="H1" s="2476"/>
      <c r="I1" s="2476"/>
      <c r="J1" s="2476"/>
      <c r="K1" s="2476"/>
    </row>
    <row r="2" spans="1:11" ht="16.5">
      <c r="A2" s="2473" t="s">
        <v>702</v>
      </c>
      <c r="B2" s="2473">
        <f>SUM(C14:C23)</f>
        <v>3431.42</v>
      </c>
      <c r="C2" s="2474"/>
      <c r="D2" s="2474"/>
      <c r="E2" s="2474"/>
      <c r="F2" s="2474"/>
      <c r="G2" s="2475"/>
      <c r="H2" s="2476"/>
      <c r="I2" s="2476"/>
      <c r="J2" s="2476"/>
      <c r="K2" s="2476"/>
    </row>
    <row r="3" spans="1:11" ht="16.5">
      <c r="A3" s="2473" t="s">
        <v>703</v>
      </c>
      <c r="B3" s="2477">
        <f>项目基本情况!D3</f>
        <v>44889</v>
      </c>
      <c r="C3" s="2474"/>
      <c r="D3" s="2474"/>
      <c r="E3" s="2474"/>
      <c r="F3" s="2474"/>
      <c r="G3" s="2475"/>
      <c r="H3" s="2476"/>
      <c r="I3" s="2476"/>
      <c r="J3" s="2476"/>
      <c r="K3" s="2476"/>
    </row>
    <row r="4" spans="1:11" ht="33">
      <c r="A4" s="2473" t="s">
        <v>704</v>
      </c>
      <c r="B4" s="2473" t="s">
        <v>705</v>
      </c>
      <c r="C4" s="2473" t="s">
        <v>706</v>
      </c>
      <c r="D4" s="2473" t="s">
        <v>707</v>
      </c>
      <c r="E4" s="2474"/>
      <c r="F4" s="2475"/>
      <c r="G4" s="2475"/>
      <c r="H4" s="2476"/>
      <c r="I4" s="2476"/>
      <c r="J4" s="2476"/>
      <c r="K4" s="2476"/>
    </row>
    <row r="5" spans="1:11" ht="16.5">
      <c r="A5" s="2473" t="s">
        <v>708</v>
      </c>
      <c r="B5" s="2473">
        <f ca="1">SUM(D14:D23)</f>
        <v>30287</v>
      </c>
      <c r="C5" s="2473">
        <f ca="1">ROUND(B5*10000/$B$1,0)</f>
        <v>26571</v>
      </c>
      <c r="D5" s="2473">
        <f ca="1">ROUND(B5*10000/$B$2,0)</f>
        <v>88264</v>
      </c>
      <c r="E5" s="2474"/>
      <c r="F5" s="2475"/>
      <c r="G5" s="2475"/>
      <c r="H5" s="2476"/>
      <c r="I5" s="2476"/>
      <c r="J5" s="2476"/>
      <c r="K5" s="2476"/>
    </row>
    <row r="6" spans="1:11" ht="16.5">
      <c r="A6" s="2473" t="s">
        <v>709</v>
      </c>
      <c r="B6" s="2473">
        <f ca="1">SUM(G14:G23)</f>
        <v>30287</v>
      </c>
      <c r="C6" s="2473">
        <f ca="1">ROUND(B6*10000/$B$1,0)</f>
        <v>26571</v>
      </c>
      <c r="D6" s="2473">
        <f ca="1">ROUND(B6*10000/$B$2,0)</f>
        <v>88264</v>
      </c>
      <c r="E6" s="2474"/>
      <c r="F6" s="2475"/>
      <c r="G6" s="2475"/>
      <c r="H6" s="2476"/>
      <c r="I6" s="2476"/>
      <c r="J6" s="2476"/>
      <c r="K6" s="2476"/>
    </row>
    <row r="7" spans="1:11" ht="16.5">
      <c r="A7" s="2473" t="s">
        <v>710</v>
      </c>
      <c r="B7" s="2473">
        <f>SUM(H14:H23)</f>
        <v>0</v>
      </c>
      <c r="C7" s="2473">
        <f>ROUND(B7*10000/$B$1,0)</f>
        <v>0</v>
      </c>
      <c r="D7" s="2473">
        <f>ROUND(B7*10000/$B$2,0)</f>
        <v>0</v>
      </c>
      <c r="E7" s="2474"/>
      <c r="F7" s="2475"/>
      <c r="G7" s="2475"/>
      <c r="H7" s="2476"/>
      <c r="I7" s="2476"/>
      <c r="J7" s="2476"/>
      <c r="K7" s="2476"/>
    </row>
    <row r="8" spans="1:11" ht="16.5">
      <c r="A8" s="2473" t="s">
        <v>328</v>
      </c>
      <c r="B8" s="2473">
        <f>SUM(I14:I23)</f>
        <v>0</v>
      </c>
      <c r="C8" s="2473">
        <f>ROUND(B8*10000/$B$1,0)</f>
        <v>0</v>
      </c>
      <c r="D8" s="2473">
        <f>ROUND(B8*10000/$B$2,0)</f>
        <v>0</v>
      </c>
      <c r="E8" s="2474"/>
      <c r="F8" s="2475"/>
      <c r="G8" s="2475"/>
      <c r="H8" s="2476"/>
      <c r="I8" s="2476"/>
      <c r="J8" s="2476"/>
      <c r="K8" s="2476"/>
    </row>
    <row r="9" spans="1:11" ht="16.5">
      <c r="A9" s="2473" t="s">
        <v>711</v>
      </c>
      <c r="B9" s="2478"/>
      <c r="C9" s="2474"/>
      <c r="D9" s="2474"/>
      <c r="E9" s="2474"/>
      <c r="F9" s="2475"/>
      <c r="G9" s="2475"/>
      <c r="H9" s="2476"/>
      <c r="I9" s="2476"/>
      <c r="J9" s="2476"/>
      <c r="K9" s="2476"/>
    </row>
    <row r="10" spans="1:11" ht="16.5">
      <c r="A10" s="2473" t="s">
        <v>712</v>
      </c>
      <c r="B10" s="2478"/>
      <c r="C10" s="2474"/>
      <c r="D10" s="2474"/>
      <c r="E10" s="2474"/>
      <c r="F10" s="2475"/>
      <c r="G10" s="2475"/>
      <c r="H10" s="2476"/>
      <c r="I10" s="2476"/>
      <c r="J10" s="2476"/>
      <c r="K10" s="2476"/>
    </row>
    <row r="11" spans="1:11" ht="16.5">
      <c r="A11" s="2473" t="s">
        <v>713</v>
      </c>
      <c r="B11" s="2478"/>
      <c r="C11" s="2474"/>
      <c r="D11" s="2474"/>
      <c r="E11" s="2474"/>
      <c r="F11" s="2475"/>
      <c r="G11" s="2475"/>
      <c r="H11" s="2476"/>
      <c r="I11" s="2476"/>
      <c r="J11" s="2476"/>
      <c r="K11" s="2476"/>
    </row>
    <row r="12" spans="1:11" ht="16.5">
      <c r="A12" s="2474"/>
      <c r="B12" s="2474"/>
      <c r="C12" s="2474"/>
      <c r="D12" s="2474"/>
      <c r="E12" s="2474"/>
      <c r="F12" s="2475"/>
      <c r="G12" s="2475"/>
      <c r="H12" s="2476"/>
      <c r="I12" s="2476"/>
      <c r="J12" s="2476"/>
      <c r="K12" s="2476"/>
    </row>
    <row r="13" spans="1:11" ht="33">
      <c r="A13" s="2479" t="s">
        <v>714</v>
      </c>
      <c r="B13" s="2480" t="s">
        <v>701</v>
      </c>
      <c r="C13" s="2480" t="s">
        <v>702</v>
      </c>
      <c r="D13" s="2480" t="s">
        <v>715</v>
      </c>
      <c r="E13" s="2473" t="s">
        <v>706</v>
      </c>
      <c r="F13" s="2473" t="s">
        <v>707</v>
      </c>
      <c r="G13" s="2480" t="s">
        <v>716</v>
      </c>
      <c r="H13" s="2480" t="s">
        <v>717</v>
      </c>
      <c r="I13" s="2480" t="s">
        <v>718</v>
      </c>
      <c r="J13" s="2475"/>
      <c r="K13" s="2476"/>
    </row>
    <row r="14" spans="1:11" ht="16.5">
      <c r="A14" s="2481" t="s">
        <v>719</v>
      </c>
      <c r="B14" s="2482">
        <f>结果表!B118</f>
        <v>11398.58</v>
      </c>
      <c r="C14" s="2482">
        <f>结果表!C118</f>
        <v>3431.42</v>
      </c>
      <c r="D14" s="2482">
        <f ca="1">结果表!H118</f>
        <v>30287</v>
      </c>
      <c r="E14" s="2482">
        <f ca="1">ROUND(D14*10000/B14,0)</f>
        <v>26571</v>
      </c>
      <c r="F14" s="2482">
        <f ca="1">ROUND(D14*10000/C14,0)</f>
        <v>88264</v>
      </c>
      <c r="G14" s="2482">
        <f ca="1">结果表!D122</f>
        <v>30287</v>
      </c>
      <c r="H14" s="2482" t="str">
        <f>结果表!D124</f>
        <v>——</v>
      </c>
      <c r="I14" s="2482" t="str">
        <f>结果表!D126</f>
        <v>——</v>
      </c>
      <c r="J14" s="2475"/>
      <c r="K14" s="2476"/>
    </row>
    <row r="15" spans="1:11" ht="16.5">
      <c r="A15" s="2481" t="s">
        <v>720</v>
      </c>
      <c r="B15" s="2483"/>
      <c r="C15" s="2483"/>
      <c r="D15" s="2483"/>
      <c r="E15" s="2482" t="e">
        <f t="shared" ref="E15:E23" si="0">ROUND(D15*10000/B15,0)</f>
        <v>#DIV/0!</v>
      </c>
      <c r="F15" s="2482" t="e">
        <f t="shared" ref="F15:F23" si="1">ROUND(D15*10000/C15,0)</f>
        <v>#DIV/0!</v>
      </c>
      <c r="G15" s="2484"/>
      <c r="H15" s="2484"/>
      <c r="I15" s="2483"/>
      <c r="J15" s="2475"/>
      <c r="K15" s="2476"/>
    </row>
    <row r="16" spans="1:11" ht="16.5">
      <c r="A16" s="2481" t="s">
        <v>721</v>
      </c>
      <c r="B16" s="2483"/>
      <c r="C16" s="2483"/>
      <c r="D16" s="2483"/>
      <c r="E16" s="2482" t="e">
        <f t="shared" si="0"/>
        <v>#DIV/0!</v>
      </c>
      <c r="F16" s="2482" t="e">
        <f t="shared" si="1"/>
        <v>#DIV/0!</v>
      </c>
      <c r="G16" s="2484"/>
      <c r="H16" s="2484"/>
      <c r="I16" s="2483"/>
      <c r="J16" s="2476"/>
      <c r="K16" s="2476"/>
    </row>
    <row r="17" spans="1:11" ht="16.5">
      <c r="A17" s="2481" t="s">
        <v>722</v>
      </c>
      <c r="B17" s="2483"/>
      <c r="C17" s="2483"/>
      <c r="D17" s="2483"/>
      <c r="E17" s="2482" t="e">
        <f t="shared" si="0"/>
        <v>#DIV/0!</v>
      </c>
      <c r="F17" s="2482" t="e">
        <f t="shared" si="1"/>
        <v>#DIV/0!</v>
      </c>
      <c r="G17" s="2484"/>
      <c r="H17" s="2484"/>
      <c r="I17" s="2483"/>
      <c r="J17" s="2476"/>
      <c r="K17" s="2476"/>
    </row>
    <row r="18" spans="1:11" ht="16.5">
      <c r="A18" s="2481" t="s">
        <v>723</v>
      </c>
      <c r="B18" s="2483"/>
      <c r="C18" s="2483"/>
      <c r="D18" s="2483"/>
      <c r="E18" s="2482" t="e">
        <f t="shared" si="0"/>
        <v>#DIV/0!</v>
      </c>
      <c r="F18" s="2482" t="e">
        <f t="shared" si="1"/>
        <v>#DIV/0!</v>
      </c>
      <c r="G18" s="2483"/>
      <c r="H18" s="2483"/>
      <c r="I18" s="2483"/>
      <c r="J18" s="2476"/>
      <c r="K18" s="2476"/>
    </row>
    <row r="19" spans="1:11" ht="16.5">
      <c r="A19" s="2481" t="s">
        <v>724</v>
      </c>
      <c r="B19" s="2483"/>
      <c r="C19" s="2483"/>
      <c r="D19" s="2483"/>
      <c r="E19" s="2482" t="e">
        <f t="shared" si="0"/>
        <v>#DIV/0!</v>
      </c>
      <c r="F19" s="2482" t="e">
        <f t="shared" si="1"/>
        <v>#DIV/0!</v>
      </c>
      <c r="G19" s="2483"/>
      <c r="H19" s="2483"/>
      <c r="I19" s="2483"/>
      <c r="J19" s="2476"/>
      <c r="K19" s="2476"/>
    </row>
    <row r="20" spans="1:11" ht="16.5">
      <c r="A20" s="2481" t="s">
        <v>725</v>
      </c>
      <c r="B20" s="2483"/>
      <c r="C20" s="2483"/>
      <c r="D20" s="2483"/>
      <c r="E20" s="2482" t="e">
        <f t="shared" si="0"/>
        <v>#DIV/0!</v>
      </c>
      <c r="F20" s="2482" t="e">
        <f t="shared" si="1"/>
        <v>#DIV/0!</v>
      </c>
      <c r="G20" s="2483"/>
      <c r="H20" s="2483"/>
      <c r="I20" s="2483"/>
      <c r="J20" s="2476"/>
      <c r="K20" s="2476"/>
    </row>
    <row r="21" spans="1:11" ht="16.5">
      <c r="A21" s="2481" t="s">
        <v>726</v>
      </c>
      <c r="B21" s="2483"/>
      <c r="C21" s="2483"/>
      <c r="D21" s="2483"/>
      <c r="E21" s="2482" t="e">
        <f t="shared" si="0"/>
        <v>#DIV/0!</v>
      </c>
      <c r="F21" s="2482" t="e">
        <f t="shared" si="1"/>
        <v>#DIV/0!</v>
      </c>
      <c r="G21" s="2483"/>
      <c r="H21" s="2483"/>
      <c r="I21" s="2483"/>
      <c r="J21" s="2476"/>
      <c r="K21" s="2476"/>
    </row>
    <row r="22" spans="1:11" ht="16.5">
      <c r="A22" s="2481" t="s">
        <v>727</v>
      </c>
      <c r="B22" s="2483"/>
      <c r="C22" s="2483"/>
      <c r="D22" s="2483"/>
      <c r="E22" s="2482" t="e">
        <f t="shared" si="0"/>
        <v>#DIV/0!</v>
      </c>
      <c r="F22" s="2482" t="e">
        <f t="shared" si="1"/>
        <v>#DIV/0!</v>
      </c>
      <c r="G22" s="2483"/>
      <c r="H22" s="2483"/>
      <c r="I22" s="2483"/>
      <c r="J22" s="2476"/>
      <c r="K22" s="2476"/>
    </row>
    <row r="23" spans="1:11" ht="16.5">
      <c r="A23" s="2481" t="s">
        <v>728</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E23" sqref="E23"/>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729</v>
      </c>
      <c r="B1" s="2190"/>
      <c r="C1" s="2191"/>
      <c r="D1" s="2190"/>
      <c r="E1" s="2190"/>
      <c r="F1" s="2192" t="s">
        <v>730</v>
      </c>
      <c r="G1" s="2193"/>
      <c r="H1" s="2194" t="str">
        <f>IF(G1="现房","——","估价对象范围")</f>
        <v>估价对象范围</v>
      </c>
      <c r="I1" s="2327"/>
    </row>
    <row r="2" spans="1:12" ht="21.75" customHeight="1">
      <c r="A2" s="3317" t="str">
        <f>项目基本情况!S2</f>
        <v>北京市房地产</v>
      </c>
      <c r="B2" s="3318"/>
      <c r="C2" s="3318"/>
      <c r="D2" s="3318"/>
      <c r="E2" s="3318"/>
      <c r="F2" s="3318"/>
      <c r="G2" s="3318"/>
      <c r="H2" s="3318"/>
      <c r="I2" s="3319"/>
    </row>
    <row r="3" spans="1:12" ht="12.75">
      <c r="A3" s="3320" t="s">
        <v>731</v>
      </c>
      <c r="B3" s="3321"/>
      <c r="C3" s="3321"/>
      <c r="D3" s="3321"/>
      <c r="E3" s="3321"/>
      <c r="F3" s="3321"/>
      <c r="G3" s="3321"/>
      <c r="H3" s="3321"/>
      <c r="I3" s="3321"/>
    </row>
    <row r="4" spans="1:12" ht="14.25">
      <c r="A4" s="2195" t="s">
        <v>732</v>
      </c>
      <c r="B4" s="2196" t="s">
        <v>733</v>
      </c>
      <c r="C4" s="2197" t="s">
        <v>734</v>
      </c>
      <c r="D4" s="2197" t="s">
        <v>579</v>
      </c>
      <c r="E4" s="3322" t="s">
        <v>735</v>
      </c>
      <c r="F4" s="3323"/>
      <c r="G4" s="3323"/>
      <c r="H4" s="3323"/>
      <c r="I4" s="3324"/>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76" t="s">
        <v>736</v>
      </c>
      <c r="B5" s="3395">
        <v>25</v>
      </c>
      <c r="C5" s="3398"/>
      <c r="D5" s="3404"/>
      <c r="E5" s="1857" t="s">
        <v>737</v>
      </c>
      <c r="F5" s="2202"/>
      <c r="G5" s="2202"/>
      <c r="H5" s="2202"/>
      <c r="I5" s="2068"/>
    </row>
    <row r="6" spans="1:12" ht="12.75">
      <c r="A6" s="3376"/>
      <c r="B6" s="3395"/>
      <c r="C6" s="3399"/>
      <c r="D6" s="3404"/>
      <c r="E6" s="1857" t="s">
        <v>738</v>
      </c>
      <c r="F6" s="2202"/>
      <c r="G6" s="2202"/>
      <c r="H6" s="2202"/>
      <c r="I6" s="2068"/>
    </row>
    <row r="7" spans="1:12" ht="12.75">
      <c r="A7" s="3376"/>
      <c r="B7" s="3395"/>
      <c r="C7" s="3400"/>
      <c r="D7" s="3404"/>
      <c r="E7" s="1857" t="s">
        <v>739</v>
      </c>
      <c r="F7" s="2202"/>
      <c r="G7" s="2202"/>
      <c r="H7" s="2202"/>
      <c r="I7" s="2068"/>
    </row>
    <row r="8" spans="1:12" ht="12.75">
      <c r="A8" s="3376" t="s">
        <v>740</v>
      </c>
      <c r="B8" s="3395">
        <v>15</v>
      </c>
      <c r="C8" s="3398"/>
      <c r="D8" s="3404"/>
      <c r="E8" s="1857" t="s">
        <v>741</v>
      </c>
      <c r="F8" s="2202"/>
      <c r="G8" s="2202"/>
      <c r="H8" s="2202"/>
      <c r="I8" s="2068"/>
    </row>
    <row r="9" spans="1:12" ht="12.75">
      <c r="A9" s="3376"/>
      <c r="B9" s="3395"/>
      <c r="C9" s="3400"/>
      <c r="D9" s="3404"/>
      <c r="E9" s="1857" t="s">
        <v>742</v>
      </c>
      <c r="F9" s="2202"/>
      <c r="G9" s="2202"/>
      <c r="H9" s="2202"/>
      <c r="I9" s="2068"/>
    </row>
    <row r="10" spans="1:12" ht="12.75">
      <c r="A10" s="3376" t="s">
        <v>743</v>
      </c>
      <c r="B10" s="3395">
        <v>15</v>
      </c>
      <c r="C10" s="3398"/>
      <c r="D10" s="3404"/>
      <c r="E10" s="1857" t="s">
        <v>744</v>
      </c>
      <c r="F10" s="2202"/>
      <c r="G10" s="2202"/>
      <c r="H10" s="2202"/>
      <c r="I10" s="2068"/>
    </row>
    <row r="11" spans="1:12" ht="12.75">
      <c r="A11" s="3376"/>
      <c r="B11" s="3395"/>
      <c r="C11" s="3400"/>
      <c r="D11" s="3404"/>
      <c r="E11" s="1857" t="s">
        <v>745</v>
      </c>
      <c r="F11" s="2202"/>
      <c r="G11" s="2202"/>
      <c r="H11" s="2202"/>
      <c r="I11" s="2068"/>
    </row>
    <row r="12" spans="1:12" ht="12.75">
      <c r="A12" s="3376" t="s">
        <v>746</v>
      </c>
      <c r="B12" s="3395">
        <v>15</v>
      </c>
      <c r="C12" s="3398"/>
      <c r="D12" s="3404"/>
      <c r="E12" s="1857" t="s">
        <v>747</v>
      </c>
      <c r="F12" s="2202"/>
      <c r="G12" s="2202"/>
      <c r="H12" s="2202"/>
      <c r="I12" s="2068"/>
    </row>
    <row r="13" spans="1:12" ht="12.75">
      <c r="A13" s="3376"/>
      <c r="B13" s="3395"/>
      <c r="C13" s="3400"/>
      <c r="D13" s="3404"/>
      <c r="E13" s="1857" t="s">
        <v>748</v>
      </c>
      <c r="F13" s="2202"/>
      <c r="G13" s="2202"/>
      <c r="H13" s="2202"/>
      <c r="I13" s="2068"/>
    </row>
    <row r="14" spans="1:12" ht="12.75">
      <c r="A14" s="3376" t="s">
        <v>749</v>
      </c>
      <c r="B14" s="3395">
        <v>30</v>
      </c>
      <c r="C14" s="3401">
        <v>6</v>
      </c>
      <c r="D14" s="3405">
        <v>4</v>
      </c>
      <c r="E14" s="1857" t="s">
        <v>750</v>
      </c>
      <c r="F14" s="2202"/>
      <c r="G14" s="2202"/>
      <c r="H14" s="2202"/>
      <c r="I14" s="2068"/>
    </row>
    <row r="15" spans="1:12" ht="12.75">
      <c r="A15" s="3376"/>
      <c r="B15" s="3395"/>
      <c r="C15" s="3402"/>
      <c r="D15" s="3405"/>
      <c r="E15" s="1857" t="s">
        <v>751</v>
      </c>
      <c r="F15" s="2202"/>
      <c r="G15" s="2202"/>
      <c r="H15" s="2202"/>
      <c r="I15" s="2068"/>
    </row>
    <row r="16" spans="1:12" ht="12.75">
      <c r="A16" s="3376"/>
      <c r="B16" s="3395"/>
      <c r="C16" s="3403"/>
      <c r="D16" s="3405"/>
      <c r="E16" s="1857" t="s">
        <v>752</v>
      </c>
      <c r="F16" s="2202"/>
      <c r="G16" s="2202"/>
      <c r="H16" s="2202"/>
      <c r="I16" s="2068"/>
    </row>
    <row r="17" spans="1:36" ht="15">
      <c r="A17" s="2203" t="s">
        <v>753</v>
      </c>
      <c r="B17" s="2204"/>
      <c r="C17" s="2205">
        <f>SUM(C5:C16)</f>
        <v>6</v>
      </c>
      <c r="D17" s="2205">
        <f>SUM(D5:D16)</f>
        <v>4</v>
      </c>
      <c r="E17" s="282"/>
      <c r="F17" s="282"/>
      <c r="G17" s="282"/>
      <c r="H17" s="282"/>
      <c r="I17" s="282"/>
      <c r="K17" s="1817"/>
      <c r="L17" s="1817" t="s">
        <v>754</v>
      </c>
      <c r="M17" s="1817" t="s">
        <v>755</v>
      </c>
    </row>
    <row r="18" spans="1:36" ht="31.9" customHeight="1">
      <c r="A18" s="2206" t="s">
        <v>756</v>
      </c>
      <c r="B18" s="2207"/>
      <c r="C18" s="2208">
        <f>ROUND(C17/SUM(C17:D17),2)</f>
        <v>0.6</v>
      </c>
      <c r="D18" s="2208">
        <f>1-C18</f>
        <v>0.4</v>
      </c>
      <c r="E18" s="3325" t="s">
        <v>757</v>
      </c>
      <c r="F18" s="3326"/>
      <c r="G18" s="3326"/>
      <c r="H18" s="3326"/>
      <c r="I18" s="3326"/>
      <c r="K18" s="1817" t="s">
        <v>361</v>
      </c>
      <c r="L18" s="1817">
        <f>IF(C1="",'数据-汇总表'!E3,SUMIF(项目类型,C1,'数据-汇总表'!E17:E26)+SUMIF(项目类型,C1,'数据-汇总表'!I17:I26))</f>
        <v>11398.58</v>
      </c>
      <c r="M18" s="1817">
        <f>IF(C1="",'数据-汇总表'!E3,SUMIF(项目类型,C1,'数据-汇总表'!E17:E26))</f>
        <v>11398.58</v>
      </c>
    </row>
    <row r="19" spans="1:36" ht="15">
      <c r="A19" s="2209" t="s">
        <v>758</v>
      </c>
      <c r="B19" s="2210" t="s">
        <v>759</v>
      </c>
      <c r="C19" s="2211">
        <f ca="1">SUMIF(INDIRECT("'"&amp;C4&amp;"'"&amp;"!A:A"),结果表!B19,INDIRECT("'"&amp;C4&amp;"'"&amp;"!B:B"))</f>
        <v>35072</v>
      </c>
      <c r="D19" s="1268">
        <f ca="1">SUMIF(INDIRECT("'"&amp;D4&amp;"'"&amp;"!A:A"),结果表!B19,INDIRECT("'"&amp;D4&amp;"'"&amp;"!B:B"))</f>
        <v>23109</v>
      </c>
      <c r="E19" s="2209" t="s">
        <v>760</v>
      </c>
      <c r="F19" s="2210" t="s">
        <v>759</v>
      </c>
      <c r="G19" s="2212">
        <f ca="1">ROUND(C19*$C$18+D19*$D$18,0)</f>
        <v>30287</v>
      </c>
      <c r="H19" s="2213" t="s">
        <v>761</v>
      </c>
      <c r="I19" s="282"/>
      <c r="K19" s="1817" t="s">
        <v>365</v>
      </c>
      <c r="L19" s="1817">
        <f>IF(C1="",'数据-汇总表'!D3,SUMIF(项目类型,C1,'数据-汇总表'!D17:D26)+SUMIF(项目类型,C1,'数据-汇总表'!H17:H27))</f>
        <v>3431.42</v>
      </c>
      <c r="M19" s="1817">
        <f>IF(C1="",'数据-汇总表'!D3,SUMIF(项目类型,C1,'数据-汇总表'!D17:D26))</f>
        <v>3431.42</v>
      </c>
    </row>
    <row r="20" spans="1:36" ht="15">
      <c r="A20" s="2214"/>
      <c r="B20" s="2215" t="s">
        <v>762</v>
      </c>
      <c r="C20" s="1553">
        <f ca="1">SUMIF(INDIRECT("'"&amp;C4&amp;"'"&amp;"!A:A"),结果表!B20,INDIRECT("'"&amp;C4&amp;"'"&amp;"!B:B"))</f>
        <v>30769</v>
      </c>
      <c r="D20" s="1556">
        <f ca="1">SUMIF(INDIRECT("'"&amp;D4&amp;"'"&amp;"!A:A"),结果表!B20,INDIRECT("'"&amp;D4&amp;"'"&amp;"!B:B"))</f>
        <v>20274</v>
      </c>
      <c r="E20" s="2214"/>
      <c r="F20" s="2215" t="s">
        <v>762</v>
      </c>
      <c r="G20" s="2216">
        <f ca="1">ROUND(C20*$C$18+D20*$D$18,0)</f>
        <v>26571</v>
      </c>
      <c r="H20" s="1972" t="s">
        <v>763</v>
      </c>
      <c r="I20" s="282"/>
    </row>
    <row r="21" spans="1:36" ht="15" customHeight="1">
      <c r="A21" s="2150"/>
      <c r="B21" s="2217" t="s">
        <v>764</v>
      </c>
      <c r="C21" s="2218">
        <f ca="1">ROUND(C19*10000/L19,0)</f>
        <v>102208</v>
      </c>
      <c r="D21" s="2219">
        <f ca="1">ROUND(D19*10000/L19,0)</f>
        <v>67345</v>
      </c>
      <c r="E21" s="2150"/>
      <c r="F21" s="2217" t="s">
        <v>764</v>
      </c>
      <c r="G21" s="2220">
        <f ca="1">ROUND(G19*10000/L19,0)</f>
        <v>88264</v>
      </c>
      <c r="H21" s="2221" t="s">
        <v>763</v>
      </c>
      <c r="I21" s="282"/>
    </row>
    <row r="22" spans="1:36" ht="14.25">
      <c r="A22" s="2222" t="s">
        <v>765</v>
      </c>
      <c r="B22" s="2223"/>
      <c r="C22" s="2224"/>
      <c r="D22" s="2225">
        <f ca="1">IF(C19&lt;D19,D19/C19-1,C19/D19-1)</f>
        <v>0.51767709550391627</v>
      </c>
      <c r="E22" s="282"/>
      <c r="F22" s="282"/>
      <c r="G22" s="282"/>
      <c r="H22" s="282"/>
      <c r="I22" s="282"/>
    </row>
    <row r="23" spans="1:36" ht="12.75">
      <c r="A23" s="2190"/>
      <c r="B23" s="2190"/>
      <c r="C23" s="2190"/>
      <c r="D23" s="2190"/>
      <c r="E23" s="282"/>
      <c r="F23" s="282"/>
      <c r="G23" s="282"/>
      <c r="H23" s="282"/>
      <c r="I23" s="282"/>
    </row>
    <row r="24" spans="1:36" ht="14.25">
      <c r="A24" s="3388" t="s">
        <v>766</v>
      </c>
      <c r="B24" s="2210" t="s">
        <v>759</v>
      </c>
      <c r="C24" s="2212">
        <f>IF(B30=0,0,D30)</f>
        <v>0</v>
      </c>
      <c r="D24" s="2226"/>
      <c r="E24" s="282"/>
      <c r="F24" s="282"/>
      <c r="G24" s="282"/>
      <c r="H24" s="282"/>
      <c r="I24" s="282"/>
    </row>
    <row r="25" spans="1:36" ht="14.25">
      <c r="A25" s="3389"/>
      <c r="B25" s="2215" t="s">
        <v>762</v>
      </c>
      <c r="C25" s="2227">
        <f>IF(B30=0,0,C30)</f>
        <v>0</v>
      </c>
      <c r="D25" s="2228"/>
      <c r="E25" s="282"/>
      <c r="F25" s="282"/>
      <c r="G25" s="282"/>
      <c r="H25" s="282"/>
      <c r="I25" s="282"/>
    </row>
    <row r="26" spans="1:36" ht="13.5" customHeight="1">
      <c r="A26" s="2229" t="s">
        <v>767</v>
      </c>
      <c r="B26" s="2230" t="s">
        <v>768</v>
      </c>
      <c r="C26" s="2230" t="s">
        <v>769</v>
      </c>
      <c r="D26" s="2231" t="s">
        <v>770</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771</v>
      </c>
      <c r="B30" s="2230"/>
      <c r="C30" s="2230"/>
      <c r="D30" s="2230"/>
      <c r="E30" s="2232" t="s">
        <v>772</v>
      </c>
      <c r="F30" s="282"/>
      <c r="G30" s="282"/>
      <c r="H30" s="282"/>
      <c r="I30" s="282"/>
    </row>
    <row r="31" spans="1:36" s="2184" customFormat="1" ht="26.45" customHeight="1">
      <c r="A31" s="2233"/>
      <c r="B31" s="2234"/>
      <c r="C31" s="2234"/>
      <c r="D31" s="2234"/>
      <c r="E31" s="2234"/>
      <c r="F31" s="2234"/>
      <c r="G31" s="2234"/>
      <c r="H31" s="2234"/>
      <c r="I31" s="2329" t="s">
        <v>773</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774</v>
      </c>
      <c r="B32" s="2236"/>
      <c r="C32" s="2237">
        <f ca="1">IF(D32="总价",G19-C24,G20-C25)</f>
        <v>30287</v>
      </c>
      <c r="D32" s="2238" t="s">
        <v>775</v>
      </c>
      <c r="E32" s="282"/>
      <c r="F32" s="282"/>
      <c r="G32" s="282"/>
      <c r="H32" s="282"/>
      <c r="I32" s="282"/>
    </row>
    <row r="33" spans="1:15" ht="15">
      <c r="A33" s="2090" t="s">
        <v>776</v>
      </c>
      <c r="B33" s="2239"/>
      <c r="C33" s="2240" t="s">
        <v>777</v>
      </c>
      <c r="D33" s="2241" t="s">
        <v>734</v>
      </c>
      <c r="E33" s="2242" t="s">
        <v>778</v>
      </c>
      <c r="F33" s="2243" t="str">
        <f>IF(D32="楼面单价","取值（单价）","取值（总价）")</f>
        <v>取值（总价）</v>
      </c>
      <c r="G33" s="282"/>
      <c r="H33" s="282"/>
      <c r="I33" s="282"/>
    </row>
    <row r="34" spans="1:15" ht="15">
      <c r="A34" s="2244"/>
      <c r="B34" s="2245" t="s">
        <v>779</v>
      </c>
      <c r="C34" s="2246">
        <f ca="1">IF(C33="自定义",F34,C32-C35)</f>
        <v>23533</v>
      </c>
      <c r="D34" s="2247">
        <f ca="1">IF(C33="自定义",ROUND(C34/C32,3),IF(C33="收益比率",SUMIF(INDIRECT("'"&amp;D33&amp;"'"&amp;"!b:b"),"土地收益比率",INDIRECT("'"&amp;D33&amp;"'"&amp;"!c:c")),SUMIF(INDIRECT("'"&amp;D33&amp;"'"&amp;"!b:b"),"土地成本比率",INDIRECT("'"&amp;D33&amp;"'"&amp;"!c:c"))))</f>
        <v>0.77700000000000002</v>
      </c>
      <c r="E34" s="2248" t="s">
        <v>780</v>
      </c>
      <c r="F34" s="2249"/>
      <c r="G34" s="282"/>
      <c r="H34" s="282"/>
      <c r="I34" s="282"/>
    </row>
    <row r="35" spans="1:15" ht="15">
      <c r="A35" s="2250"/>
      <c r="B35" s="2251" t="s">
        <v>781</v>
      </c>
      <c r="C35" s="2252">
        <f ca="1">IF(C33="自定义",F35,ROUND(C32*D35,0))</f>
        <v>6754</v>
      </c>
      <c r="D35" s="2253">
        <f ca="1">IF(C33="自定义",ROUND(C35/C32,3),IF(C33="收益比率",SUMIF(INDIRECT("'"&amp;D33&amp;"'"&amp;"!b:b"),"建筑物收益比率",INDIRECT("'"&amp;D33&amp;"'"&amp;"!c:c")),SUMIF(INDIRECT("'"&amp;D33&amp;"'"&amp;"!b:b"),"建筑物成本比率",INDIRECT("'"&amp;D33&amp;"'"&amp;"!c:c"))))</f>
        <v>0.223</v>
      </c>
      <c r="E35" s="2254" t="s">
        <v>782</v>
      </c>
      <c r="F35" s="2255"/>
      <c r="G35" s="282"/>
      <c r="H35" s="282"/>
      <c r="I35" s="282"/>
    </row>
    <row r="36" spans="1:15" ht="15">
      <c r="A36" s="3390" t="s">
        <v>783</v>
      </c>
      <c r="B36" s="2256" t="s">
        <v>784</v>
      </c>
      <c r="C36" s="2257"/>
      <c r="D36" s="2258"/>
      <c r="E36" s="2259"/>
      <c r="F36" s="2260"/>
      <c r="G36" s="282"/>
      <c r="H36" s="282"/>
      <c r="I36" s="282"/>
    </row>
    <row r="37" spans="1:15" ht="15">
      <c r="A37" s="3391"/>
      <c r="B37" s="2261" t="s">
        <v>785</v>
      </c>
      <c r="C37" s="2262"/>
      <c r="D37" s="2263"/>
      <c r="E37" s="2263"/>
      <c r="F37" s="2260"/>
      <c r="G37" s="282"/>
      <c r="H37" s="282"/>
      <c r="I37" s="282"/>
    </row>
    <row r="38" spans="1:15" ht="15">
      <c r="A38" s="3392"/>
      <c r="B38" s="2264" t="s">
        <v>786</v>
      </c>
      <c r="C38" s="2265"/>
      <c r="D38" s="2266" t="s">
        <v>787</v>
      </c>
      <c r="E38" s="2263"/>
      <c r="F38" s="2260"/>
      <c r="G38" s="282"/>
      <c r="H38" s="282"/>
      <c r="I38" s="282"/>
    </row>
    <row r="39" spans="1:15" ht="15">
      <c r="A39" s="2214" t="s">
        <v>788</v>
      </c>
      <c r="B39" s="2267" t="s">
        <v>768</v>
      </c>
      <c r="C39" s="2268" t="s">
        <v>769</v>
      </c>
      <c r="D39" s="2268" t="s">
        <v>789</v>
      </c>
      <c r="E39" s="2269" t="s">
        <v>770</v>
      </c>
      <c r="F39" s="2260"/>
      <c r="G39" s="282"/>
      <c r="H39" s="282"/>
      <c r="I39" s="282"/>
    </row>
    <row r="40" spans="1:15" ht="14.25">
      <c r="A40" s="2270" t="s">
        <v>790</v>
      </c>
      <c r="B40" s="2271"/>
      <c r="C40" s="300"/>
      <c r="D40" s="300"/>
      <c r="E40" s="2272"/>
      <c r="F40" s="2260"/>
      <c r="G40" s="282"/>
      <c r="H40" s="282"/>
      <c r="I40" s="282"/>
    </row>
    <row r="41" spans="1:15" ht="14.25">
      <c r="A41" s="2270" t="s">
        <v>791</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792</v>
      </c>
      <c r="B44" s="2279"/>
      <c r="C44" s="2279"/>
      <c r="D44" s="2280"/>
      <c r="E44" s="2280"/>
      <c r="F44" s="2281"/>
      <c r="G44" s="2281"/>
      <c r="H44" s="2281"/>
      <c r="I44" s="2281"/>
      <c r="J44" s="2333" t="s">
        <v>793</v>
      </c>
      <c r="K44" s="2334"/>
      <c r="L44" s="2334"/>
      <c r="M44" s="2334"/>
      <c r="N44" s="2334"/>
      <c r="O44" s="2334"/>
    </row>
    <row r="45" spans="1:15" ht="14.25" customHeight="1">
      <c r="A45" s="3327" t="s">
        <v>794</v>
      </c>
      <c r="B45" s="3328"/>
      <c r="C45" s="3329"/>
      <c r="D45" s="1816">
        <f ca="1">ROUND(H101*F45,0)</f>
        <v>30287</v>
      </c>
      <c r="E45" s="2282" t="s">
        <v>795</v>
      </c>
      <c r="F45" s="2283">
        <v>1</v>
      </c>
      <c r="G45" s="2284" t="s">
        <v>796</v>
      </c>
      <c r="H45" s="282"/>
      <c r="I45" s="282"/>
      <c r="J45" s="3330" t="s">
        <v>797</v>
      </c>
      <c r="K45" s="3330"/>
      <c r="L45" s="3330"/>
      <c r="M45" s="3330"/>
      <c r="N45" s="3330"/>
      <c r="O45" s="3330"/>
    </row>
    <row r="46" spans="1:15" ht="14.25" customHeight="1">
      <c r="A46" s="3331" t="s">
        <v>798</v>
      </c>
      <c r="B46" s="3332"/>
      <c r="C46" s="3332"/>
      <c r="D46" s="3332"/>
      <c r="E46" s="3332"/>
      <c r="F46" s="3332"/>
      <c r="G46" s="3333"/>
      <c r="H46" s="2285"/>
      <c r="I46" s="283"/>
      <c r="J46" s="2335">
        <v>1</v>
      </c>
      <c r="K46" s="3334" t="s">
        <v>799</v>
      </c>
      <c r="L46" s="3334"/>
      <c r="M46" s="3335"/>
      <c r="N46" s="3335"/>
      <c r="O46" s="3335"/>
    </row>
    <row r="47" spans="1:15" ht="12" customHeight="1">
      <c r="A47" s="2286" t="s">
        <v>800</v>
      </c>
      <c r="B47" s="2287"/>
      <c r="C47" s="2288"/>
      <c r="D47" s="1867" t="s">
        <v>801</v>
      </c>
      <c r="E47" s="1817" t="s">
        <v>802</v>
      </c>
      <c r="F47" s="2289" t="s">
        <v>803</v>
      </c>
      <c r="G47" s="2290" t="s">
        <v>804</v>
      </c>
      <c r="H47" s="2291"/>
      <c r="I47" s="283"/>
      <c r="J47" s="2335">
        <v>2</v>
      </c>
      <c r="K47" s="3334" t="s">
        <v>805</v>
      </c>
      <c r="L47" s="3334"/>
      <c r="M47" s="3336">
        <f>'数据-取费表'!B2</f>
        <v>44889</v>
      </c>
      <c r="N47" s="3336"/>
      <c r="O47" s="3336"/>
    </row>
    <row r="48" spans="1:15" ht="25.5">
      <c r="A48" s="3337" t="s">
        <v>806</v>
      </c>
      <c r="B48" s="3338"/>
      <c r="C48" s="3338"/>
      <c r="D48" s="1970" t="b">
        <f>IF(H48="情况1",0,IF(H48="情况2",D52,IF(H48="情况3",D53,IF(H48="情况4",D54))))</f>
        <v>0</v>
      </c>
      <c r="E48" s="1871" t="str">
        <f>IF(H48="情况4","(销售额-原购置价)×税（费）率","销售额×税（费）率")</f>
        <v>销售额×税（费）率</v>
      </c>
      <c r="F48" s="2293">
        <f>IF(H48="情况1","免征",'数据-取费表'!B41)</f>
        <v>5.6000000000000001E-2</v>
      </c>
      <c r="G48" s="2294" t="s">
        <v>807</v>
      </c>
      <c r="H48" s="2295"/>
      <c r="I48" s="2285"/>
      <c r="J48" s="2335">
        <v>3</v>
      </c>
      <c r="K48" s="3334" t="s">
        <v>808</v>
      </c>
      <c r="L48" s="3334"/>
      <c r="M48" s="3339">
        <f ca="1">H101</f>
        <v>30287</v>
      </c>
      <c r="N48" s="3339"/>
      <c r="O48" s="3339"/>
    </row>
    <row r="49" spans="1:35" ht="25.5" customHeight="1">
      <c r="A49" s="2292" t="s">
        <v>809</v>
      </c>
      <c r="B49" s="3340" t="s">
        <v>810</v>
      </c>
      <c r="C49" s="3340"/>
      <c r="D49" s="2296">
        <v>0</v>
      </c>
      <c r="E49" s="1877" t="s">
        <v>811</v>
      </c>
      <c r="F49" s="2297" t="s">
        <v>124</v>
      </c>
      <c r="G49" s="3406"/>
      <c r="H49" s="2298" t="s">
        <v>812</v>
      </c>
      <c r="I49" s="2337"/>
      <c r="J49" s="2335">
        <v>4</v>
      </c>
      <c r="K49" s="3334" t="str">
        <f>IF(项目基本情况!E8="房地产抵押价值","房地产抵押价值","抵押担保权已注销时的房地产抵押价值")</f>
        <v>房地产抵押价值</v>
      </c>
      <c r="L49" s="3334"/>
      <c r="M49" s="3339">
        <f ca="1">IF(项目基本情况!E8="房地产抵押价值",H107,H109)</f>
        <v>30287</v>
      </c>
      <c r="N49" s="3339"/>
      <c r="O49" s="3339"/>
    </row>
    <row r="50" spans="1:35" ht="25.5" customHeight="1">
      <c r="A50" s="2299"/>
      <c r="B50" s="3340" t="s">
        <v>813</v>
      </c>
      <c r="C50" s="3340"/>
      <c r="D50" s="2300"/>
      <c r="E50" s="1892"/>
      <c r="F50" s="2297"/>
      <c r="G50" s="3407"/>
      <c r="H50" s="2301" t="s">
        <v>814</v>
      </c>
      <c r="I50" s="2337"/>
      <c r="J50" s="3330" t="s">
        <v>815</v>
      </c>
      <c r="K50" s="3330"/>
      <c r="L50" s="3330"/>
      <c r="M50" s="3330"/>
      <c r="N50" s="3330"/>
      <c r="O50" s="3330"/>
    </row>
    <row r="51" spans="1:35" ht="20.45" customHeight="1">
      <c r="A51" s="2302"/>
      <c r="B51" s="3340" t="s">
        <v>816</v>
      </c>
      <c r="C51" s="3340"/>
      <c r="D51" s="1867"/>
      <c r="E51" s="1881"/>
      <c r="F51" s="2297"/>
      <c r="G51" s="3408"/>
      <c r="H51" s="2301" t="s">
        <v>817</v>
      </c>
      <c r="I51" s="2337"/>
      <c r="J51" s="2336" t="s">
        <v>818</v>
      </c>
      <c r="K51" s="3334" t="s">
        <v>819</v>
      </c>
      <c r="L51" s="3334"/>
      <c r="M51" s="2336" t="s">
        <v>820</v>
      </c>
      <c r="N51" s="2336" t="s">
        <v>821</v>
      </c>
      <c r="O51" s="2336" t="s">
        <v>822</v>
      </c>
    </row>
    <row r="52" spans="1:35" ht="24" customHeight="1">
      <c r="A52" s="2303" t="s">
        <v>823</v>
      </c>
      <c r="B52" s="3340" t="s">
        <v>824</v>
      </c>
      <c r="C52" s="3340"/>
      <c r="D52" s="1867">
        <f ca="1">ROUND(D45*'数据-取费表'!B41/(1+'数据-取费表'!C42),0)</f>
        <v>1615</v>
      </c>
      <c r="E52" s="1871" t="s">
        <v>825</v>
      </c>
      <c r="F52" s="2304">
        <f>'数据-取费表'!B41</f>
        <v>5.6000000000000001E-2</v>
      </c>
      <c r="G52" s="2305"/>
      <c r="H52" s="1985"/>
      <c r="I52" s="2338"/>
      <c r="J52" s="2335">
        <v>1</v>
      </c>
      <c r="K52" s="3341" t="s">
        <v>826</v>
      </c>
      <c r="L52" s="3341"/>
      <c r="M52" s="2339" t="b">
        <f>D48</f>
        <v>0</v>
      </c>
      <c r="N52" s="2335" t="str">
        <f>E48</f>
        <v>销售额×税（费）率</v>
      </c>
      <c r="O52" s="2340">
        <f>F48</f>
        <v>5.6000000000000001E-2</v>
      </c>
    </row>
    <row r="53" spans="1:35" ht="12" customHeight="1">
      <c r="A53" s="2303" t="s">
        <v>827</v>
      </c>
      <c r="B53" s="3342" t="s">
        <v>828</v>
      </c>
      <c r="C53" s="3343"/>
      <c r="D53" s="1867">
        <f ca="1">ROUND(D45*'数据-取费表'!B41/(1+'数据-取费表'!C42),0)</f>
        <v>1615</v>
      </c>
      <c r="E53" s="1871" t="s">
        <v>825</v>
      </c>
      <c r="F53" s="2304">
        <f>'数据-取费表'!B41</f>
        <v>5.6000000000000001E-2</v>
      </c>
      <c r="G53" s="2305"/>
      <c r="H53" s="1985"/>
      <c r="I53" s="2338"/>
      <c r="J53" s="2335">
        <v>2</v>
      </c>
      <c r="K53" s="3341" t="s">
        <v>829</v>
      </c>
      <c r="L53" s="3341"/>
      <c r="M53" s="2339">
        <f t="shared" ref="M53:O54" ca="1" si="0">D55</f>
        <v>15</v>
      </c>
      <c r="N53" s="2335" t="str">
        <f t="shared" si="0"/>
        <v>销售额×税（费）率</v>
      </c>
      <c r="O53" s="2340" t="str">
        <f t="shared" si="0"/>
        <v>免征</v>
      </c>
    </row>
    <row r="54" spans="1:35" ht="12" customHeight="1">
      <c r="A54" s="2303" t="s">
        <v>830</v>
      </c>
      <c r="B54" s="3342" t="s">
        <v>831</v>
      </c>
      <c r="C54" s="3343"/>
      <c r="D54" s="1867">
        <f ca="1">C68</f>
        <v>1615</v>
      </c>
      <c r="E54" s="1881" t="s">
        <v>832</v>
      </c>
      <c r="F54" s="2304">
        <f>'数据-取费表'!B41</f>
        <v>5.6000000000000001E-2</v>
      </c>
      <c r="G54" s="2305"/>
      <c r="H54" s="2306"/>
      <c r="I54" s="2338"/>
      <c r="J54" s="2335">
        <v>3</v>
      </c>
      <c r="K54" s="3341" t="s">
        <v>833</v>
      </c>
      <c r="L54" s="3341"/>
      <c r="M54" s="2339">
        <f t="shared" ca="1" si="0"/>
        <v>17143</v>
      </c>
      <c r="N54" s="2335" t="str">
        <f t="shared" si="0"/>
        <v>增值额×税（费）率</v>
      </c>
      <c r="O54" s="2341" t="str">
        <f t="shared" si="0"/>
        <v>免征</v>
      </c>
    </row>
    <row r="55" spans="1:35" ht="24" customHeight="1">
      <c r="A55" s="3344" t="s">
        <v>834</v>
      </c>
      <c r="B55" s="3338"/>
      <c r="C55" s="3338"/>
      <c r="D55" s="1970">
        <f ca="1">IF(H55="个人住宅",0,ROUND(D45*I55,0))</f>
        <v>15</v>
      </c>
      <c r="E55" s="1871" t="s">
        <v>835</v>
      </c>
      <c r="F55" s="2304" t="str">
        <f>IF(H55="正常",I55,"免征")</f>
        <v>免征</v>
      </c>
      <c r="G55" s="2305"/>
      <c r="H55" s="2295"/>
      <c r="I55" s="2342">
        <f>'数据-取费表'!B49</f>
        <v>5.0000000000000001E-4</v>
      </c>
      <c r="J55" s="2335">
        <f>IF(H59="非个人房产","",4)</f>
        <v>4</v>
      </c>
      <c r="K55" s="3341" t="str">
        <f>IF(H59="非个人房产","——","个人所得税")</f>
        <v>个人所得税</v>
      </c>
      <c r="L55" s="3341"/>
      <c r="M55" s="2343">
        <f ca="1">D59</f>
        <v>288</v>
      </c>
      <c r="N55" s="635" t="str">
        <f>E59</f>
        <v>差额计税</v>
      </c>
      <c r="O55" s="2344">
        <f>F59</f>
        <v>0.01</v>
      </c>
    </row>
    <row r="56" spans="1:35" ht="24.75">
      <c r="A56" s="3344" t="s">
        <v>836</v>
      </c>
      <c r="B56" s="3338"/>
      <c r="C56" s="3338"/>
      <c r="D56" s="1970">
        <f ca="1">IF(H56="个人住宅",D57,D58)</f>
        <v>17143</v>
      </c>
      <c r="E56" s="1871" t="s">
        <v>837</v>
      </c>
      <c r="F56" s="2304" t="str">
        <f>IF(H56="正常",F58,"免征")</f>
        <v>免征</v>
      </c>
      <c r="G56" s="2307" t="s">
        <v>838</v>
      </c>
      <c r="H56" s="2308"/>
      <c r="I56" s="2317"/>
      <c r="J56" s="2335" t="str">
        <f>IF(项目基本情况!K6="上海银行",IF(J55="",4,J55+1),"")</f>
        <v/>
      </c>
      <c r="K56" s="3345" t="str">
        <f>IF(项目基本情况!K6="上海银行","其他处置费用","")</f>
        <v/>
      </c>
      <c r="L56" s="3346"/>
      <c r="M56" s="2339" t="str">
        <f>IF(项目基本情况!K6="上海银行",M69,"")</f>
        <v/>
      </c>
      <c r="N56" s="3345" t="str">
        <f>IF(项目基本情况!K6="上海银行","包含处置中涉及的律师、诉讼、拍卖、评估等费用","")</f>
        <v/>
      </c>
      <c r="O56" s="3347"/>
    </row>
    <row r="57" spans="1:35" ht="12.75">
      <c r="A57" s="2303" t="s">
        <v>809</v>
      </c>
      <c r="B57" s="3342" t="s">
        <v>839</v>
      </c>
      <c r="C57" s="3343"/>
      <c r="D57" s="2296">
        <v>0</v>
      </c>
      <c r="E57" s="1877" t="s">
        <v>811</v>
      </c>
      <c r="F57" s="1817"/>
      <c r="G57" s="2305"/>
      <c r="H57" s="2309"/>
      <c r="I57" s="2317"/>
      <c r="J57" s="3341">
        <f>IF(AND(J55="",J56=""),4,IF(项目基本情况!K6="上海银行",结果表!J56+1,结果表!J55+1))</f>
        <v>5</v>
      </c>
      <c r="K57" s="3341" t="s">
        <v>840</v>
      </c>
      <c r="L57" s="2345" t="s">
        <v>841</v>
      </c>
      <c r="M57" s="2346"/>
      <c r="N57" s="2347">
        <f ca="1">SUMIF(M52:M56,"&lt;9e307")</f>
        <v>17446</v>
      </c>
      <c r="O57" s="2348"/>
      <c r="P57" s="2349">
        <f ca="1">N57/M49</f>
        <v>0.57602271601677291</v>
      </c>
    </row>
    <row r="58" spans="1:35" ht="24.75">
      <c r="A58" s="2303" t="s">
        <v>823</v>
      </c>
      <c r="B58" s="3342" t="s">
        <v>842</v>
      </c>
      <c r="C58" s="3340"/>
      <c r="D58" s="1970">
        <f ca="1">IF(H58="转让取得",C81,C97)</f>
        <v>17143</v>
      </c>
      <c r="E58" s="1871" t="s">
        <v>837</v>
      </c>
      <c r="F58" s="1817" t="s">
        <v>124</v>
      </c>
      <c r="G58" s="2305"/>
      <c r="H58" s="2308"/>
      <c r="I58" s="2317"/>
      <c r="J58" s="3341"/>
      <c r="K58" s="3341"/>
      <c r="L58" s="2345" t="s">
        <v>843</v>
      </c>
      <c r="M58" s="2350"/>
      <c r="N58" s="2351" t="str">
        <f ca="1">NUMBERSTRING(INT(N57*10000),2)&amp;"元整"</f>
        <v>壹亿柒仟肆佰肆拾陆万元整</v>
      </c>
      <c r="O58" s="2352"/>
    </row>
    <row r="59" spans="1:35" ht="24">
      <c r="A59" s="3348" t="s">
        <v>844</v>
      </c>
      <c r="B59" s="3349"/>
      <c r="C59" s="3349"/>
      <c r="D59" s="2310">
        <f ca="1">IF(H59="非个人房产","——",IF(H59="个人住宅（满五唯一有凭证）",0,IF(H59="个人其他（无凭证）",ROUND(D45*F59,0),ROUND(C67*F59,0))))</f>
        <v>288</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838</v>
      </c>
      <c r="H59" s="2314"/>
      <c r="I59" s="2353" t="s">
        <v>845</v>
      </c>
      <c r="J59" s="3409">
        <f>J57+1</f>
        <v>6</v>
      </c>
      <c r="K59" s="3341" t="s">
        <v>846</v>
      </c>
      <c r="L59" s="2335" t="s">
        <v>841</v>
      </c>
      <c r="M59" s="2354"/>
      <c r="N59" s="2355">
        <f ca="1">M49-N57</f>
        <v>12841</v>
      </c>
      <c r="O59" s="2356"/>
    </row>
    <row r="60" spans="1:35" ht="12" customHeight="1">
      <c r="A60" s="2315"/>
      <c r="B60" s="2190"/>
      <c r="C60" s="2190"/>
      <c r="D60" s="2190"/>
      <c r="E60" s="2316"/>
      <c r="F60" s="2317"/>
      <c r="G60" s="2317"/>
      <c r="H60" s="2318"/>
      <c r="I60" s="282"/>
      <c r="J60" s="3410"/>
      <c r="K60" s="3341"/>
      <c r="L60" s="2345" t="s">
        <v>843</v>
      </c>
      <c r="M60" s="2350"/>
      <c r="N60" s="2351" t="str">
        <f ca="1">NUMBERSTRING(INT(N59*10000),2)&amp;"元整"</f>
        <v>壹亿贰仟捌佰肆拾壹万元整</v>
      </c>
      <c r="O60" s="2352"/>
    </row>
    <row r="61" spans="1:35" ht="12.75">
      <c r="A61" s="3350" t="s">
        <v>847</v>
      </c>
      <c r="B61" s="3350"/>
      <c r="C61" s="3350"/>
      <c r="D61" s="3350"/>
      <c r="E61" s="3350"/>
      <c r="F61" s="2317"/>
      <c r="G61" s="2317"/>
      <c r="H61" s="2318"/>
      <c r="I61" s="282"/>
      <c r="J61" s="2335">
        <f>J59+1</f>
        <v>7</v>
      </c>
      <c r="K61" s="3341" t="s">
        <v>848</v>
      </c>
      <c r="L61" s="3341"/>
      <c r="M61" s="2357"/>
      <c r="N61" s="2358">
        <f ca="1">ROUND(N59*10000/'数据-汇总表'!E3,0)</f>
        <v>11265</v>
      </c>
      <c r="O61" s="2359"/>
    </row>
    <row r="62" spans="1:35" ht="12.75">
      <c r="A62" s="3351" t="s">
        <v>849</v>
      </c>
      <c r="B62" s="3352"/>
      <c r="C62" s="614"/>
      <c r="D62" s="614" t="s">
        <v>850</v>
      </c>
      <c r="E62" s="2319" t="s">
        <v>804</v>
      </c>
      <c r="F62" s="2317"/>
      <c r="G62" s="2317"/>
      <c r="H62" s="2318"/>
      <c r="I62" s="282"/>
    </row>
    <row r="63" spans="1:35" ht="12.75">
      <c r="A63" s="2320" t="s">
        <v>851</v>
      </c>
      <c r="B63" s="2321" t="s">
        <v>852</v>
      </c>
      <c r="C63" s="2322">
        <f ca="1">ROUND((C64+C65)/(1+'数据-取费表'!C42),0)</f>
        <v>28845</v>
      </c>
      <c r="D63" s="2321"/>
      <c r="E63" s="2323"/>
      <c r="F63" s="2317"/>
      <c r="G63" s="2317"/>
      <c r="H63" s="2318"/>
      <c r="I63" s="282"/>
      <c r="J63" s="3411" t="s">
        <v>853</v>
      </c>
      <c r="K63" s="2360" t="s">
        <v>854</v>
      </c>
      <c r="L63" s="2360">
        <f ca="1">IF(M49&gt;10000,M49*0.5%,IF(AND(M49&gt;1000,M49&lt;=10000),M49*1%,IF(AND(M49&gt;100,M49&lt;=1000),M49*3%,IF(AND(M49&gt;10,M49&lt;=100),M49*5%,M49*8%))))</f>
        <v>151.435</v>
      </c>
      <c r="M63" s="1817">
        <f ca="1">ROUND(L63,1)</f>
        <v>151.4</v>
      </c>
      <c r="N63" s="2361"/>
      <c r="Z63" s="2187"/>
      <c r="AI63" s="2188"/>
    </row>
    <row r="64" spans="1:35" ht="14.25" customHeight="1">
      <c r="A64" s="2324" t="s">
        <v>855</v>
      </c>
      <c r="B64" s="601" t="s">
        <v>856</v>
      </c>
      <c r="C64" s="2325">
        <f ca="1">D45</f>
        <v>30287</v>
      </c>
      <c r="D64" s="601" t="s">
        <v>124</v>
      </c>
      <c r="E64" s="2326"/>
      <c r="F64" s="2317"/>
      <c r="G64" s="2317"/>
      <c r="H64" s="2318"/>
      <c r="I64" s="282"/>
      <c r="J64" s="3411"/>
      <c r="K64" s="2360" t="s">
        <v>857</v>
      </c>
      <c r="L64" s="2360">
        <f ca="1">IF(M49&gt;2000,M49*0.5%,IF(AND(M49&gt;1000,M49&lt;=2000),M49*0.6%,IF(AND(M49&gt;500,M49&lt;=1000),M49*0.7%,IF(AND(M49&gt;200,M49&lt;=500),M49*0.8%,IF(AND(M49&gt;100,M49&lt;=200),M49*0.9%,IF(AND(M49&gt;50,M49&lt;=100),M49*1%,IF(AND(M49&gt;20,M49&lt;=50),M49*1.5%,IF(AND(M49&gt;10,M49&lt;=20),M49*2%,IF(AND(M49&gt;1,M49&lt;=10),M49*2.5%)))))))))</f>
        <v>151.435</v>
      </c>
      <c r="M64" s="1817">
        <f t="shared" ref="M64:M65" ca="1" si="1">ROUND(L64,1)</f>
        <v>151.4</v>
      </c>
      <c r="N64" s="1985" t="s">
        <v>858</v>
      </c>
      <c r="Z64" s="2187"/>
      <c r="AI64" s="2188"/>
    </row>
    <row r="65" spans="1:35" ht="14.25" customHeight="1">
      <c r="A65" s="2324" t="s">
        <v>859</v>
      </c>
      <c r="B65" s="601" t="s">
        <v>860</v>
      </c>
      <c r="C65" s="2363"/>
      <c r="D65" s="601"/>
      <c r="E65" s="2326"/>
      <c r="F65" s="2317"/>
      <c r="G65" s="2317"/>
      <c r="H65" s="2318"/>
      <c r="I65" s="282"/>
      <c r="J65" s="3411"/>
      <c r="K65" s="2360" t="s">
        <v>861</v>
      </c>
      <c r="L65" s="2360">
        <f ca="1">IF(M49&gt;1000,M49*0.1%,IF(AND(M49&gt;500,M49&lt;=1000),M49*0.5%,IF(AND(M49&gt;50,M49&lt;=500),M49*1%,IF(AND(M49&gt;1,M49&lt;=50),M49*1.5%))))</f>
        <v>30.286999999999999</v>
      </c>
      <c r="M65" s="1817">
        <f t="shared" ca="1" si="1"/>
        <v>30.3</v>
      </c>
      <c r="N65" s="1985" t="s">
        <v>858</v>
      </c>
      <c r="Z65" s="2187"/>
      <c r="AI65" s="2188"/>
    </row>
    <row r="66" spans="1:35" ht="14.25" customHeight="1">
      <c r="A66" s="2320" t="s">
        <v>862</v>
      </c>
      <c r="B66" s="2364" t="s">
        <v>863</v>
      </c>
      <c r="C66" s="2365"/>
      <c r="D66" s="2364" t="s">
        <v>124</v>
      </c>
      <c r="E66" s="2366" t="s">
        <v>864</v>
      </c>
      <c r="F66" s="2317"/>
      <c r="G66" s="2317"/>
      <c r="H66" s="2318"/>
      <c r="I66" s="282"/>
      <c r="J66" s="3411"/>
      <c r="K66" s="2360" t="s">
        <v>865</v>
      </c>
      <c r="L66" s="2360">
        <f ca="1">M49*0.5%</f>
        <v>151.435</v>
      </c>
      <c r="M66" s="1817">
        <f ca="1">IF(L66&gt;0.5,0.5,ROUND(L66,0))</f>
        <v>0.5</v>
      </c>
      <c r="N66" s="1985" t="s">
        <v>866</v>
      </c>
      <c r="Z66" s="2187"/>
      <c r="AI66" s="2188"/>
    </row>
    <row r="67" spans="1:35" ht="14.25" customHeight="1">
      <c r="A67" s="2320" t="s">
        <v>867</v>
      </c>
      <c r="B67" s="2364" t="s">
        <v>868</v>
      </c>
      <c r="C67" s="2367">
        <f ca="1">C63-C66</f>
        <v>28845</v>
      </c>
      <c r="D67" s="601" t="s">
        <v>124</v>
      </c>
      <c r="E67" s="2326"/>
      <c r="F67" s="2317"/>
      <c r="G67" s="2317"/>
      <c r="H67" s="2318"/>
      <c r="I67" s="282"/>
      <c r="J67" s="3411"/>
      <c r="K67" s="2360" t="s">
        <v>869</v>
      </c>
      <c r="L67" s="2360">
        <f ca="1">IF(M49&gt;=10000,(8.25+(M49-10000)*0.01%),IF(AND(M49&gt;=8000,M49&lt;10000),(7.85+(M49-8000)*0.02%),IF(AND(M49&gt;=5000,M49&lt;8000),(6.65+(M49-5000)*0.04%),IF(AND(M49&gt;=2000,M49&lt;5000),(4.25+(PM49-2000)*0.08%),IF(AND(M49&gt;=1000,M49&lt;2000),(2.75+(M49-1000)*0.15%),IF(AND(M49&gt;=100,M49&lt;1000),(0.5+(M49-100)*0.25%),IF(AND(M49&gt;0,M49&lt;100),M49*0.5%)))))))</f>
        <v>10.278700000000001</v>
      </c>
      <c r="M67" s="1817">
        <f ca="1">ROUND(L67*0.9,1)</f>
        <v>9.3000000000000007</v>
      </c>
      <c r="N67" s="2361"/>
      <c r="Z67" s="2187"/>
      <c r="AI67" s="2188"/>
    </row>
    <row r="68" spans="1:35" ht="14.25" customHeight="1">
      <c r="A68" s="2368" t="s">
        <v>870</v>
      </c>
      <c r="B68" s="2369" t="s">
        <v>871</v>
      </c>
      <c r="C68" s="2370">
        <f ca="1">IF(C67&lt;=0,0,ROUND(C67*D68,0))</f>
        <v>1615</v>
      </c>
      <c r="D68" s="2371">
        <f>'数据-取费表'!B41</f>
        <v>5.6000000000000001E-2</v>
      </c>
      <c r="E68" s="2372"/>
      <c r="F68" s="2317"/>
      <c r="G68" s="2317"/>
      <c r="H68" s="2318"/>
      <c r="I68" s="282"/>
      <c r="J68" s="3411"/>
      <c r="K68" s="2360" t="s">
        <v>872</v>
      </c>
      <c r="L68" s="2360">
        <f ca="1">IF(M49&gt;10000,M49*0.5%,IF(AND(M49&gt;5000,M49&lt;=10000),M49*1%,IF(AND(M49&gt;1000,M49&lt;=5000),M49*2%,IF(AND(M49&gt;200,M49&lt;=1000),M49*3%,M49*5%))))</f>
        <v>151.435</v>
      </c>
      <c r="M68" s="1817">
        <f ca="1">ROUND(L68,1)</f>
        <v>151.4</v>
      </c>
      <c r="N68" s="2361"/>
      <c r="Z68" s="2187"/>
      <c r="AI68" s="2188"/>
    </row>
    <row r="69" spans="1:35" s="2185" customFormat="1" ht="16.5" customHeight="1">
      <c r="A69" s="2373"/>
      <c r="B69" s="2374"/>
      <c r="C69" s="2375"/>
      <c r="D69" s="752"/>
      <c r="E69" s="2376"/>
      <c r="F69" s="2316"/>
      <c r="G69" s="2316"/>
      <c r="H69" s="2276"/>
      <c r="I69" s="2190"/>
      <c r="J69" s="3411"/>
      <c r="K69" s="2360" t="s">
        <v>873</v>
      </c>
      <c r="L69" s="2360"/>
      <c r="M69" s="1817">
        <f ca="1">ROUND(SUM(M63:M68),0)</f>
        <v>494</v>
      </c>
      <c r="N69" s="2439">
        <f ca="1">M69/M49</f>
        <v>1.6310628322382541E-2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53" t="s">
        <v>874</v>
      </c>
      <c r="B70" s="3354"/>
      <c r="C70" s="3354"/>
      <c r="D70" s="3354"/>
      <c r="E70" s="3354"/>
      <c r="F70" s="3354"/>
      <c r="G70" s="3354"/>
      <c r="H70" s="3354"/>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51" t="s">
        <v>849</v>
      </c>
      <c r="B71" s="3352"/>
      <c r="C71" s="614"/>
      <c r="D71" s="614" t="s">
        <v>850</v>
      </c>
      <c r="E71" s="2377" t="s">
        <v>804</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851</v>
      </c>
      <c r="B72" s="2364" t="s">
        <v>875</v>
      </c>
      <c r="C72" s="2367">
        <f ca="1">ROUND(D45/(1+'数据-取费表'!C42),0)</f>
        <v>28845</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862</v>
      </c>
      <c r="B73" s="2289" t="s">
        <v>876</v>
      </c>
      <c r="C73" s="2367">
        <f ca="1">C74+C78</f>
        <v>173</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855</v>
      </c>
      <c r="B74" s="601" t="s">
        <v>877</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878</v>
      </c>
      <c r="B75" s="601" t="s">
        <v>879</v>
      </c>
      <c r="C75" s="2381"/>
      <c r="D75" s="601" t="s">
        <v>124</v>
      </c>
      <c r="E75" s="2382" t="s">
        <v>880</v>
      </c>
      <c r="F75" s="2383"/>
      <c r="G75" s="2382" t="s">
        <v>881</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882</v>
      </c>
      <c r="B76" s="2385" t="s">
        <v>883</v>
      </c>
      <c r="C76" s="601">
        <f>IF(F75="购房发票",ROUND(C75*H75*D76,0),0)</f>
        <v>0</v>
      </c>
      <c r="D76" s="2386">
        <v>0.05</v>
      </c>
      <c r="E76" s="3342" t="s">
        <v>884</v>
      </c>
      <c r="F76" s="3340"/>
      <c r="G76" s="3340"/>
      <c r="H76" s="3355"/>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885</v>
      </c>
      <c r="B77" s="601" t="s">
        <v>886</v>
      </c>
      <c r="C77" s="601">
        <f>ROUND(IF(G77="个人住宅",0,IF(G77="2016年5月1日前购买",C75*D77,C75*D77/(1+'数据-取费表'!C42))),0)</f>
        <v>0</v>
      </c>
      <c r="D77" s="2388">
        <f>'数据-取费表'!B48+'数据-取费表'!B49</f>
        <v>3.0499999999999999E-2</v>
      </c>
      <c r="E77" s="1970" t="s">
        <v>887</v>
      </c>
      <c r="F77" s="2389"/>
      <c r="G77" s="2390"/>
      <c r="H77" s="2387" t="str">
        <f>IF(G77="个人买卖住房","免征印花税"," ")</f>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859</v>
      </c>
      <c r="B78" s="601" t="s">
        <v>888</v>
      </c>
      <c r="C78" s="2391">
        <f ca="1">ROUND(D45*D78/(1+'数据-取费表'!C42),0)</f>
        <v>173</v>
      </c>
      <c r="D78" s="2392">
        <f>'数据-取费表'!B43</f>
        <v>6.0000000000000001E-3</v>
      </c>
      <c r="E78" s="3356" t="s">
        <v>889</v>
      </c>
      <c r="F78" s="3357"/>
      <c r="G78" s="3357"/>
      <c r="H78" s="3358"/>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867</v>
      </c>
      <c r="B79" s="2364" t="s">
        <v>890</v>
      </c>
      <c r="C79" s="2367">
        <f ca="1">C72-C73</f>
        <v>28672</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870</v>
      </c>
      <c r="B80" s="2364" t="s">
        <v>891</v>
      </c>
      <c r="C80" s="2396">
        <f ca="1">IF(C79&lt;=0,0,C79/C73)</f>
        <v>165.73410404624278</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892</v>
      </c>
      <c r="B81" s="2369" t="s">
        <v>893</v>
      </c>
      <c r="C81" s="2397">
        <f ca="1">ROUND(IF(C79&lt;=0,0,IF(C80&gt;=200%,C79*60%-C73*35%,IF(C80&gt;=100%,C79*50%-C73*15%,IF(C80&gt;=50%,C79*40%-C73*5%,IF(C80&lt;50%,C79*30%,0))))),0)</f>
        <v>17143</v>
      </c>
      <c r="D81" s="2398" t="s">
        <v>124</v>
      </c>
      <c r="E81" s="23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53" t="s">
        <v>894</v>
      </c>
      <c r="B83" s="3354"/>
      <c r="C83" s="3354"/>
      <c r="D83" s="3354"/>
      <c r="E83" s="3354"/>
      <c r="F83" s="3354"/>
      <c r="G83" s="3354"/>
      <c r="H83" s="3354"/>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51" t="s">
        <v>849</v>
      </c>
      <c r="B84" s="3352"/>
      <c r="C84" s="614"/>
      <c r="D84" s="614" t="s">
        <v>850</v>
      </c>
      <c r="E84" s="2377" t="s">
        <v>804</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851</v>
      </c>
      <c r="B85" s="2364" t="s">
        <v>875</v>
      </c>
      <c r="C85" s="2367">
        <f ca="1">ROUND(D45/(1+'数据-取费表'!C42),0)</f>
        <v>28845</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862</v>
      </c>
      <c r="B86" s="2289" t="s">
        <v>876</v>
      </c>
      <c r="C86" s="2367">
        <f ca="1">IF(H88="仅含出让金",C87+C90+C91+C92+C93+C94,C87+C91+C92+C93+C94)</f>
        <v>173</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855</v>
      </c>
      <c r="B87" s="601" t="s">
        <v>895</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878</v>
      </c>
      <c r="B88" s="601" t="s">
        <v>896</v>
      </c>
      <c r="C88" s="2408"/>
      <c r="D88" s="2392"/>
      <c r="E88" s="2409" t="s">
        <v>897</v>
      </c>
      <c r="F88" s="2394"/>
      <c r="G88" s="2410" t="s">
        <v>898</v>
      </c>
      <c r="H88" s="2411"/>
      <c r="I88" s="839"/>
      <c r="J88" s="2445" t="s">
        <v>899</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882</v>
      </c>
      <c r="B89" s="601" t="s">
        <v>886</v>
      </c>
      <c r="C89" s="2391">
        <f>ROUND(C88*D89,0)</f>
        <v>0</v>
      </c>
      <c r="D89" s="2392">
        <f>'数据-取费表'!B48+'数据-取费表'!B49</f>
        <v>3.0499999999999999E-2</v>
      </c>
      <c r="E89" s="2409" t="s">
        <v>900</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859</v>
      </c>
      <c r="B90" s="601" t="s">
        <v>901</v>
      </c>
      <c r="C90" s="2408"/>
      <c r="D90" s="2392"/>
      <c r="E90" s="2409" t="str">
        <f>IF(H88="-","土地取得成本中已包含该笔费用"," ")</f>
        <v/>
      </c>
      <c r="F90" s="2394"/>
      <c r="G90" s="3359" t="s">
        <v>902</v>
      </c>
      <c r="H90" s="3360"/>
      <c r="I90" s="839"/>
      <c r="J90" s="2445" t="s">
        <v>903</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904</v>
      </c>
      <c r="B91" s="601" t="s">
        <v>905</v>
      </c>
      <c r="C91" s="2391">
        <f>IF(H91="——",成本法!C33,I91)</f>
        <v>0</v>
      </c>
      <c r="D91" s="2392"/>
      <c r="E91" s="3356" t="s">
        <v>906</v>
      </c>
      <c r="F91" s="3357"/>
      <c r="G91" s="3357"/>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907</v>
      </c>
      <c r="B92" s="601" t="s">
        <v>908</v>
      </c>
      <c r="C92" s="2391">
        <f>ROUND((C87+C90+C91)*D92,0)</f>
        <v>0</v>
      </c>
      <c r="D92" s="2413"/>
      <c r="E92" s="3356" t="s">
        <v>909</v>
      </c>
      <c r="F92" s="3357"/>
      <c r="G92" s="3357"/>
      <c r="H92" s="3358"/>
      <c r="I92" s="839"/>
      <c r="J92" s="2447" t="s">
        <v>910</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911</v>
      </c>
      <c r="B93" s="601" t="s">
        <v>888</v>
      </c>
      <c r="C93" s="2391">
        <f ca="1">ROUND(D45*D93/(1+'数据-取费表'!C42),0)</f>
        <v>173</v>
      </c>
      <c r="D93" s="2392">
        <f>'数据-取费表'!B43</f>
        <v>6.0000000000000001E-3</v>
      </c>
      <c r="E93" s="3356" t="s">
        <v>889</v>
      </c>
      <c r="F93" s="3357"/>
      <c r="G93" s="3357"/>
      <c r="H93" s="3358"/>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912</v>
      </c>
      <c r="B94" s="601" t="s">
        <v>913</v>
      </c>
      <c r="C94" s="2408">
        <f>ROUND((C87+C90+C91)*D94,0)</f>
        <v>0</v>
      </c>
      <c r="D94" s="2392">
        <v>0.2</v>
      </c>
      <c r="E94" s="3361" t="s">
        <v>914</v>
      </c>
      <c r="F94" s="3362"/>
      <c r="G94" s="3362"/>
      <c r="H94" s="3363"/>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867</v>
      </c>
      <c r="B95" s="2364" t="s">
        <v>890</v>
      </c>
      <c r="C95" s="2367">
        <f ca="1">ROUND(C85-C86,0)</f>
        <v>28672</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870</v>
      </c>
      <c r="B96" s="2364" t="s">
        <v>891</v>
      </c>
      <c r="C96" s="2396">
        <f ca="1">IF(C95&lt;=0,0,C95/C86)</f>
        <v>165.73410404624278</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892</v>
      </c>
      <c r="B97" s="2369" t="s">
        <v>893</v>
      </c>
      <c r="C97" s="2397">
        <f ca="1">ROUND(IF(C95&lt;=0,0,IF(C96&gt;=200%,C95*60%-C86*35%,IF(C96&gt;=100%,C95*50%-C86*15%,IF(C96&gt;=50%,C95*40%-C86*5%,IF(C96&lt;50%,C95*30%,0))))),0)</f>
        <v>17143</v>
      </c>
      <c r="D97" s="2398" t="s">
        <v>124</v>
      </c>
      <c r="E97" s="23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915</v>
      </c>
      <c r="B99" s="2190"/>
      <c r="C99" s="2190"/>
      <c r="D99" s="2190"/>
      <c r="E99" s="2316"/>
      <c r="F99" s="2316"/>
      <c r="G99" s="2316"/>
      <c r="H99" s="2276"/>
      <c r="I99" s="282"/>
    </row>
    <row r="100" spans="1:35" ht="18.75" customHeight="1">
      <c r="A100" s="3302" t="s">
        <v>916</v>
      </c>
      <c r="B100" s="3303"/>
      <c r="C100" s="3303"/>
      <c r="D100" s="3364"/>
      <c r="E100" s="3303" t="s">
        <v>917</v>
      </c>
      <c r="F100" s="3303"/>
      <c r="G100" s="3303"/>
      <c r="H100" s="3364"/>
      <c r="I100" s="282"/>
    </row>
    <row r="101" spans="1:35" ht="18.75" customHeight="1">
      <c r="A101" s="3365" t="s">
        <v>918</v>
      </c>
      <c r="B101" s="3366"/>
      <c r="C101" s="2416" t="str">
        <f>C4</f>
        <v>成本法</v>
      </c>
      <c r="D101" s="2417" t="str">
        <f>D4</f>
        <v>收益法</v>
      </c>
      <c r="E101" s="3417" t="s">
        <v>919</v>
      </c>
      <c r="F101" s="3413"/>
      <c r="G101" s="2419" t="s">
        <v>920</v>
      </c>
      <c r="H101" s="2420">
        <f ca="1">H118</f>
        <v>30287</v>
      </c>
      <c r="I101" s="282"/>
    </row>
    <row r="102" spans="1:35" ht="18.75" customHeight="1">
      <c r="A102" s="3393" t="s">
        <v>921</v>
      </c>
      <c r="B102" s="2421" t="s">
        <v>920</v>
      </c>
      <c r="C102" s="2416">
        <f ca="1">C19</f>
        <v>35072</v>
      </c>
      <c r="D102" s="2417">
        <f ca="1">D19</f>
        <v>23109</v>
      </c>
      <c r="E102" s="3417"/>
      <c r="F102" s="3413"/>
      <c r="G102" s="2419" t="s">
        <v>99</v>
      </c>
      <c r="H102" s="2305">
        <f ca="1">I118</f>
        <v>26571</v>
      </c>
      <c r="I102" s="282"/>
    </row>
    <row r="103" spans="1:35" ht="42.75" customHeight="1">
      <c r="A103" s="3393"/>
      <c r="B103" s="2421" t="s">
        <v>99</v>
      </c>
      <c r="C103" s="2422">
        <f ca="1">C20</f>
        <v>30769</v>
      </c>
      <c r="D103" s="2423">
        <f ca="1">D20</f>
        <v>20274</v>
      </c>
      <c r="E103" s="3367" t="s">
        <v>922</v>
      </c>
      <c r="F103" s="3368"/>
      <c r="G103" s="2424" t="s">
        <v>102</v>
      </c>
      <c r="H103" s="2420">
        <f>IF(D36="正常操作",H104+H105+H106,H105+H106)</f>
        <v>0</v>
      </c>
      <c r="I103" s="282"/>
    </row>
    <row r="104" spans="1:35" ht="18.75" customHeight="1">
      <c r="A104" s="3393" t="s">
        <v>923</v>
      </c>
      <c r="B104" s="2425" t="s">
        <v>920</v>
      </c>
      <c r="C104" s="2426">
        <f ca="1">H118</f>
        <v>30287</v>
      </c>
      <c r="D104" s="2427"/>
      <c r="E104" s="2261" t="s">
        <v>924</v>
      </c>
      <c r="F104" s="2428"/>
      <c r="G104" s="2424" t="s">
        <v>102</v>
      </c>
      <c r="H104" s="2429">
        <f>IF(D36="同一抵押权人同一抵押物续贷",C36&amp;"（续贷，未扣减，详见特别提示）",C36)</f>
        <v>0</v>
      </c>
      <c r="I104" s="282"/>
    </row>
    <row r="105" spans="1:35" ht="18.75" customHeight="1">
      <c r="A105" s="3394"/>
      <c r="B105" s="2430" t="s">
        <v>99</v>
      </c>
      <c r="C105" s="2431">
        <f ca="1">I118</f>
        <v>26571</v>
      </c>
      <c r="D105" s="2432"/>
      <c r="E105" s="2261" t="s">
        <v>925</v>
      </c>
      <c r="F105" s="2428"/>
      <c r="G105" s="2424" t="s">
        <v>102</v>
      </c>
      <c r="H105" s="2433">
        <f>C37</f>
        <v>0</v>
      </c>
      <c r="I105" s="282"/>
    </row>
    <row r="106" spans="1:35" ht="18.75" customHeight="1">
      <c r="A106" s="2190" t="s">
        <v>926</v>
      </c>
      <c r="B106" s="2190"/>
      <c r="C106" s="2190"/>
      <c r="D106" s="2190"/>
      <c r="E106" s="2434" t="s">
        <v>927</v>
      </c>
      <c r="F106" s="2428"/>
      <c r="G106" s="2424" t="s">
        <v>102</v>
      </c>
      <c r="H106" s="2433">
        <f>C38</f>
        <v>0</v>
      </c>
      <c r="I106" s="282"/>
    </row>
    <row r="107" spans="1:35" ht="18.75" customHeight="1">
      <c r="A107" s="282"/>
      <c r="B107" s="282"/>
      <c r="C107" s="282"/>
      <c r="D107" s="282"/>
      <c r="E107" s="3412" t="str">
        <f>IF(项目基本情况!E8="已注销","——","3.房地产抵押价值")</f>
        <v>3.房地产抵押价值</v>
      </c>
      <c r="F107" s="3413"/>
      <c r="G107" s="2419" t="s">
        <v>920</v>
      </c>
      <c r="H107" s="2420">
        <f ca="1">IF(E107="——","——",H101-H103)</f>
        <v>30287</v>
      </c>
      <c r="I107" s="282"/>
    </row>
    <row r="108" spans="1:35" ht="18.75" customHeight="1">
      <c r="A108" s="282"/>
      <c r="B108" s="282"/>
      <c r="C108" s="282"/>
      <c r="D108" s="282"/>
      <c r="E108" s="3412"/>
      <c r="F108" s="3413"/>
      <c r="G108" s="2419" t="s">
        <v>99</v>
      </c>
      <c r="H108" s="2305">
        <f ca="1">ROUND(H107*10000/'数据-汇总表'!E3,0)</f>
        <v>26571</v>
      </c>
      <c r="I108" s="282"/>
    </row>
    <row r="109" spans="1:35" ht="18.75" customHeight="1">
      <c r="A109" s="282"/>
      <c r="B109" s="282"/>
      <c r="C109" s="282"/>
      <c r="D109" s="282"/>
      <c r="E109" s="3412" t="str">
        <f>IF(项目基本情况!E8="已注销及未注销","4.抵押担保权已注销时的房地产抵押价值",IF(项目基本情况!E8="已注销","3.抵押担保权已注销时的房地产抵押价值","——"))</f>
        <v>——</v>
      </c>
      <c r="F109" s="3413"/>
      <c r="G109" s="2419" t="s">
        <v>920</v>
      </c>
      <c r="H109" s="2435" t="str">
        <f>IF(E109="——","——",H101-H105-H106)</f>
        <v>——</v>
      </c>
      <c r="I109" s="282"/>
    </row>
    <row r="110" spans="1:35" ht="18.75" customHeight="1">
      <c r="A110" s="282"/>
      <c r="B110" s="282"/>
      <c r="C110" s="282"/>
      <c r="D110" s="282"/>
      <c r="E110" s="3412"/>
      <c r="F110" s="3413"/>
      <c r="G110" s="2419" t="s">
        <v>99</v>
      </c>
      <c r="H110" s="2305" t="str">
        <f>IF(H109="——","——",ROUND(H109*10000/'数据-汇总表'!E3,0))</f>
        <v>——</v>
      </c>
      <c r="I110" s="282"/>
    </row>
    <row r="111" spans="1:35" ht="18.75" customHeight="1">
      <c r="A111" s="282"/>
      <c r="B111" s="282"/>
      <c r="C111" s="282"/>
      <c r="D111" s="282"/>
      <c r="E111" s="3414" t="str">
        <f>IF(项目基本情况!E9="抵押净值",IF(OR(项目基本情况!E8="已注销",项目基本情况!E8="房地产抵押价值"),"4.抵押净值","5.抵押净值"),"——")</f>
        <v>——</v>
      </c>
      <c r="F111" s="3386"/>
      <c r="G111" s="2419" t="s">
        <v>920</v>
      </c>
      <c r="H111" s="2420" t="str">
        <f>IF(E111="——","——",N59)</f>
        <v>——</v>
      </c>
      <c r="I111" s="282"/>
    </row>
    <row r="112" spans="1:35" ht="18.75" customHeight="1">
      <c r="A112" s="282"/>
      <c r="B112" s="282"/>
      <c r="C112" s="282"/>
      <c r="D112" s="282"/>
      <c r="E112" s="3415"/>
      <c r="F112" s="3416"/>
      <c r="G112" s="2436" t="s">
        <v>99</v>
      </c>
      <c r="H112" s="2437" t="str">
        <f>IF(E111="——","——",N61)</f>
        <v>——</v>
      </c>
      <c r="I112" s="282"/>
    </row>
    <row r="113" spans="1:27" ht="18.75" customHeight="1">
      <c r="A113" s="282"/>
      <c r="B113" s="282"/>
      <c r="C113" s="282"/>
      <c r="D113" s="282"/>
      <c r="E113" s="3369" t="s">
        <v>926</v>
      </c>
      <c r="F113" s="3369"/>
      <c r="G113" s="3369"/>
      <c r="H113" s="3369"/>
      <c r="I113" s="282"/>
    </row>
    <row r="114" spans="1:27" ht="3.75" customHeight="1">
      <c r="A114" s="2190"/>
      <c r="B114" s="2190"/>
      <c r="C114" s="2190"/>
      <c r="D114" s="2190"/>
      <c r="E114" s="2315"/>
      <c r="F114" s="2315"/>
      <c r="G114" s="2315"/>
      <c r="H114" s="2315"/>
      <c r="I114" s="2190"/>
    </row>
    <row r="115" spans="1:27" ht="18.75" customHeight="1">
      <c r="A115" s="3370" t="s">
        <v>928</v>
      </c>
      <c r="B115" s="3371"/>
      <c r="C115" s="3371"/>
      <c r="D115" s="3371"/>
      <c r="E115" s="3371"/>
      <c r="F115" s="3371"/>
      <c r="G115" s="3371"/>
      <c r="H115" s="3371"/>
      <c r="I115" s="3372"/>
    </row>
    <row r="116" spans="1:27" ht="27" customHeight="1">
      <c r="A116" s="3376" t="s">
        <v>929</v>
      </c>
      <c r="B116" s="3396" t="s">
        <v>930</v>
      </c>
      <c r="C116" s="3396" t="s">
        <v>931</v>
      </c>
      <c r="D116" s="3373" t="s">
        <v>932</v>
      </c>
      <c r="E116" s="3374"/>
      <c r="F116" s="3375" t="s">
        <v>933</v>
      </c>
      <c r="G116" s="3375"/>
      <c r="H116" s="3376" t="s">
        <v>934</v>
      </c>
      <c r="I116" s="3376"/>
    </row>
    <row r="117" spans="1:27" ht="18.75" customHeight="1">
      <c r="A117" s="3376"/>
      <c r="B117" s="3397"/>
      <c r="C117" s="3397"/>
      <c r="D117" s="2200" t="s">
        <v>935</v>
      </c>
      <c r="E117" s="2200" t="s">
        <v>762</v>
      </c>
      <c r="F117" s="2200" t="s">
        <v>935</v>
      </c>
      <c r="G117" s="2200" t="s">
        <v>762</v>
      </c>
      <c r="H117" s="2200" t="s">
        <v>935</v>
      </c>
      <c r="I117" s="2200" t="s">
        <v>762</v>
      </c>
    </row>
    <row r="118" spans="1:27" ht="24.75" customHeight="1">
      <c r="A118" s="2438" t="str">
        <f>项目基本情况!S2</f>
        <v>北京市房地产</v>
      </c>
      <c r="B118" s="2200">
        <f>M18</f>
        <v>11398.58</v>
      </c>
      <c r="C118" s="2200">
        <f>M19</f>
        <v>3431.42</v>
      </c>
      <c r="D118" s="2200">
        <f ca="1">ROUND(IF(D32="总价",C34,E118*B118/10000),0)</f>
        <v>23533</v>
      </c>
      <c r="E118" s="2200">
        <f ca="1">ROUND(IF(C33="自定义",IF(D32="楼面单价",C34,D118*10000/B118),I118-G118),0)</f>
        <v>20646</v>
      </c>
      <c r="F118" s="2200">
        <f ca="1">ROUND(IF(D32="总价",C35,G118*B118/10000),0)</f>
        <v>6754</v>
      </c>
      <c r="G118" s="2200">
        <f ca="1">ROUND(IF(D32="楼面单价",C35,F118*10000/B118),0)</f>
        <v>5925</v>
      </c>
      <c r="H118" s="2200">
        <f ca="1">ROUND(IF(D32="总价",C32,I118*B118/10000),0)</f>
        <v>30287</v>
      </c>
      <c r="I118" s="2200">
        <f ca="1">ROUND(IF(D32="楼面单价",C32,H118*10000/B118),0)</f>
        <v>26571</v>
      </c>
    </row>
    <row r="119" spans="1:27" ht="18.75" customHeight="1">
      <c r="A119" s="3376" t="s">
        <v>936</v>
      </c>
      <c r="B119" s="3376"/>
      <c r="C119" s="3376"/>
      <c r="D119" s="3377" t="str">
        <f ca="1">NUMBERSTRING(INT(D118*10000),2)&amp;"元整"</f>
        <v>贰亿叁仟伍佰叁拾叁万元整</v>
      </c>
      <c r="E119" s="3378"/>
      <c r="F119" s="3377" t="str">
        <f ca="1">NUMBERSTRING(INT(F118*10000),2)&amp;"元整"</f>
        <v>陆仟柒佰伍拾肆万元整</v>
      </c>
      <c r="G119" s="3378"/>
      <c r="H119" s="3377" t="str">
        <f ca="1">NUMBERSTRING(INT(H118*10000),2)&amp;"元整"</f>
        <v>叁亿零贰佰捌拾柒万元整</v>
      </c>
      <c r="I119" s="3378"/>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82" t="s">
        <v>936</v>
      </c>
      <c r="B121" s="3383"/>
      <c r="C121" s="3384"/>
      <c r="D121" s="3377" t="str">
        <f>IF(D120=0,"零元整",NUMBERSTRING(INT(D120*10000),2)&amp;"元整")</f>
        <v>零元整</v>
      </c>
      <c r="E121" s="3385"/>
      <c r="F121" s="3385"/>
      <c r="G121" s="3385"/>
      <c r="H121" s="3385"/>
      <c r="I121" s="3378"/>
      <c r="AA121" s="239"/>
    </row>
    <row r="122" spans="1:27" ht="18.75" customHeight="1">
      <c r="A122" s="3386" t="str">
        <f>IF(项目基本情况!B9="房地产市场价值","",MID(E107,3,LEN(E107)-2))</f>
        <v>房地产抵押价值</v>
      </c>
      <c r="B122" s="3386"/>
      <c r="C122" s="3386"/>
      <c r="D122" s="3379">
        <f ca="1">H107</f>
        <v>30287</v>
      </c>
      <c r="E122" s="3380"/>
      <c r="F122" s="3380"/>
      <c r="G122" s="3380"/>
      <c r="H122" s="3380"/>
      <c r="I122" s="3381"/>
      <c r="AA122" s="239"/>
    </row>
    <row r="123" spans="1:27" ht="18.75" customHeight="1">
      <c r="A123" s="3376" t="s">
        <v>936</v>
      </c>
      <c r="B123" s="3376"/>
      <c r="C123" s="3376"/>
      <c r="D123" s="3377" t="str">
        <f ca="1">NUMBERSTRING(INT(D122*10000),2)&amp;"元整"</f>
        <v>叁亿零贰佰捌拾柒万元整</v>
      </c>
      <c r="E123" s="3385"/>
      <c r="F123" s="3385"/>
      <c r="G123" s="3385"/>
      <c r="H123" s="3385"/>
      <c r="I123" s="3378"/>
      <c r="AA123" s="239"/>
    </row>
    <row r="124" spans="1:27" ht="18.75" customHeight="1">
      <c r="A124" s="3386" t="str">
        <f>IF(项目基本情况!B9="房地产市场价值","",MID(E109,3,LEN(E109)-2))</f>
        <v/>
      </c>
      <c r="B124" s="3386"/>
      <c r="C124" s="3386"/>
      <c r="D124" s="3379" t="str">
        <f>H109</f>
        <v>——</v>
      </c>
      <c r="E124" s="3380"/>
      <c r="F124" s="3380"/>
      <c r="G124" s="3380"/>
      <c r="H124" s="3380"/>
      <c r="I124" s="3381"/>
      <c r="AA124" s="239"/>
    </row>
    <row r="125" spans="1:27" ht="18.75" customHeight="1">
      <c r="A125" s="3376" t="s">
        <v>936</v>
      </c>
      <c r="B125" s="3376"/>
      <c r="C125" s="3376"/>
      <c r="D125" s="3377" t="e">
        <f>NUMBERSTRING(INT(D124*10000),2)&amp;"元整"</f>
        <v>#VALUE!</v>
      </c>
      <c r="E125" s="3385"/>
      <c r="F125" s="3385"/>
      <c r="G125" s="3385"/>
      <c r="H125" s="3385"/>
      <c r="I125" s="3378"/>
      <c r="AA125" s="239"/>
    </row>
    <row r="126" spans="1:27" ht="18.75" customHeight="1">
      <c r="A126" s="3386" t="str">
        <f>IF(项目基本情况!B9="房地产市场价值","",MID(E111,3,LEN(E111)-2))</f>
        <v/>
      </c>
      <c r="B126" s="3386"/>
      <c r="C126" s="3386"/>
      <c r="D126" s="3379" t="str">
        <f>H111</f>
        <v>——</v>
      </c>
      <c r="E126" s="3380"/>
      <c r="F126" s="3380"/>
      <c r="G126" s="3380"/>
      <c r="H126" s="3380"/>
      <c r="I126" s="3381"/>
      <c r="AA126" s="239"/>
    </row>
    <row r="127" spans="1:27" ht="18.75" customHeight="1">
      <c r="A127" s="3376" t="s">
        <v>936</v>
      </c>
      <c r="B127" s="3376"/>
      <c r="C127" s="3376"/>
      <c r="D127" s="3377" t="e">
        <f>NUMBERSTRING(INT(D126*10000),2)&amp;"元整"</f>
        <v>#VALUE!</v>
      </c>
      <c r="E127" s="3385"/>
      <c r="F127" s="3385"/>
      <c r="G127" s="3385"/>
      <c r="H127" s="3385"/>
      <c r="I127" s="3378"/>
      <c r="AA127" s="239"/>
    </row>
    <row r="128" spans="1:27" ht="21.75" customHeight="1">
      <c r="A128" s="3387" t="s">
        <v>113</v>
      </c>
      <c r="B128" s="3387"/>
      <c r="C128" s="3387"/>
      <c r="D128" s="3387"/>
      <c r="E128" s="3387"/>
      <c r="F128" s="3387"/>
      <c r="G128" s="3387"/>
      <c r="H128" s="3387"/>
      <c r="I128" s="3387"/>
      <c r="AA128" s="239"/>
    </row>
    <row r="129" spans="1:35" ht="21.75" customHeight="1">
      <c r="A129" s="2449" t="s">
        <v>937</v>
      </c>
      <c r="B129" s="2450"/>
      <c r="C129" s="2451" t="s">
        <v>938</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939</v>
      </c>
      <c r="G135" s="2463"/>
      <c r="H135" s="2463"/>
      <c r="I135" s="2471" t="s">
        <v>940</v>
      </c>
    </row>
    <row r="136" spans="1:35" ht="21.75" customHeight="1">
      <c r="A136" s="239"/>
      <c r="B136" s="2464" t="s">
        <v>941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942</v>
      </c>
    </row>
    <row r="139" spans="1:35" ht="21.75" customHeight="1">
      <c r="A139" s="239"/>
      <c r="B139" s="2464" t="s">
        <v>943</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942</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ht="12.75">
      <c r="B46" s="3206" t="str">
        <f ca="1">项目基本情况!K4</f>
        <v>吴薇（注册号：1419970001)、（注册号：0)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70" zoomScaleNormal="70" workbookViewId="0">
      <selection activeCell="E19" sqref="E1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944</v>
      </c>
      <c r="B1" s="2167" t="s">
        <v>529</v>
      </c>
      <c r="C1" s="148"/>
      <c r="D1" s="148"/>
      <c r="E1" s="148"/>
      <c r="F1" s="148"/>
      <c r="G1" s="2169">
        <f>MATCH(B1,'数据-取费表'!A6:A16,0)+5</f>
        <v>6</v>
      </c>
    </row>
    <row r="2" spans="1:9" s="138" customFormat="1" ht="18" customHeight="1">
      <c r="A2" s="150" t="s">
        <v>945</v>
      </c>
      <c r="B2" s="151">
        <f ca="1">IF(D2="——",C52,C52-E2)</f>
        <v>35072</v>
      </c>
      <c r="C2" s="149" t="s">
        <v>946</v>
      </c>
      <c r="D2" s="2170" t="s">
        <v>124</v>
      </c>
      <c r="E2" s="2171">
        <f ca="1">SUMIF(INDIRECT("'"&amp;G2&amp;"'"&amp;"!A:A"),"承租人权益价值",INDIRECT("'"&amp;G2&amp;"'"&amp;"!c:c"))</f>
        <v>2156</v>
      </c>
      <c r="F2" s="2172" t="s">
        <v>946</v>
      </c>
      <c r="G2" s="2173" t="s">
        <v>579</v>
      </c>
    </row>
    <row r="3" spans="1:9" s="138" customFormat="1" ht="18" customHeight="1">
      <c r="A3" s="153" t="s">
        <v>947</v>
      </c>
      <c r="B3" s="154">
        <f ca="1">ROUND(B2*10000/(IF(B1="",'数据-汇总表'!E3,INDIRECT("'数据-取费表'!k"&amp;$G$1))),0)</f>
        <v>30769</v>
      </c>
      <c r="C3" s="149" t="s">
        <v>948</v>
      </c>
      <c r="D3" s="149"/>
      <c r="E3" s="149"/>
      <c r="F3" s="149"/>
      <c r="G3" s="149"/>
    </row>
    <row r="4" spans="1:9" s="139" customFormat="1" ht="15.75">
      <c r="A4" s="155" t="s">
        <v>949</v>
      </c>
      <c r="B4" s="156"/>
      <c r="C4" s="156"/>
      <c r="D4" s="156"/>
      <c r="E4" s="156"/>
      <c r="F4" s="156"/>
      <c r="G4" s="157"/>
    </row>
    <row r="5" spans="1:9" s="140" customFormat="1" ht="13.5" customHeight="1">
      <c r="A5" s="158" t="s">
        <v>950</v>
      </c>
      <c r="B5" s="159" t="s">
        <v>951</v>
      </c>
      <c r="C5" s="160">
        <f ca="1">C6+C7+C8</f>
        <v>20697</v>
      </c>
      <c r="D5" s="160" t="s">
        <v>952</v>
      </c>
      <c r="E5" s="161" t="s">
        <v>953</v>
      </c>
      <c r="F5" s="161" t="s">
        <v>850</v>
      </c>
      <c r="G5" s="162"/>
    </row>
    <row r="6" spans="1:9" s="140" customFormat="1" ht="13.5" customHeight="1">
      <c r="A6" s="163" t="s">
        <v>954</v>
      </c>
      <c r="B6" s="164" t="s">
        <v>955</v>
      </c>
      <c r="C6" s="165">
        <v>19863</v>
      </c>
      <c r="D6" s="166"/>
      <c r="E6" s="167"/>
      <c r="F6" s="167"/>
      <c r="G6" s="168"/>
    </row>
    <row r="7" spans="1:9" s="140" customFormat="1" ht="13.5" customHeight="1">
      <c r="A7" s="163" t="s">
        <v>956</v>
      </c>
      <c r="B7" s="164" t="s">
        <v>957</v>
      </c>
      <c r="C7" s="169">
        <f>ROUND(C6*F7,0)</f>
        <v>606</v>
      </c>
      <c r="D7" s="169"/>
      <c r="E7" s="167"/>
      <c r="F7" s="170">
        <f>IF(项目基本情况!B8="出让",0,'数据-取费表'!B48+'数据-取费表'!B49)</f>
        <v>3.0499999999999999E-2</v>
      </c>
      <c r="G7" s="168"/>
    </row>
    <row r="8" spans="1:9" s="141" customFormat="1">
      <c r="A8" s="163" t="s">
        <v>958</v>
      </c>
      <c r="B8" s="164" t="s">
        <v>959</v>
      </c>
      <c r="C8" s="169">
        <f ca="1">IF(G8="已包含在土地购买价格中","0",IF(B1="",'数据-取费表'!B29,IF(G9="全部缴纳",C9+C10,H9)))</f>
        <v>228</v>
      </c>
      <c r="D8" s="171"/>
      <c r="E8" s="169"/>
      <c r="F8" s="170"/>
      <c r="G8" s="2174" t="s">
        <v>960</v>
      </c>
    </row>
    <row r="9" spans="1:9" s="140" customFormat="1" ht="13.5" customHeight="1">
      <c r="A9" s="173" t="s">
        <v>961</v>
      </c>
      <c r="B9" s="174" t="s">
        <v>962</v>
      </c>
      <c r="C9" s="175">
        <f ca="1">ROUND(D9*E9/10000,0)</f>
        <v>0</v>
      </c>
      <c r="D9" s="176">
        <f ca="1">IF(B1="",'数据-汇总表'!E5,IF(INDIRECT("'数据-取费表'!c"&amp;$G$1)="住宅",INDIRECT("'数据-取费表'!k"&amp;$G$1),0))</f>
        <v>0</v>
      </c>
      <c r="E9" s="175">
        <f>'数据-取费表'!B27</f>
        <v>0</v>
      </c>
      <c r="F9" s="170"/>
      <c r="G9" s="2181" t="s">
        <v>963</v>
      </c>
      <c r="H9" s="2182"/>
      <c r="I9" s="2183" t="s">
        <v>964</v>
      </c>
    </row>
    <row r="10" spans="1:9" s="140" customFormat="1" ht="13.5" customHeight="1">
      <c r="A10" s="173" t="s">
        <v>965</v>
      </c>
      <c r="B10" s="174" t="s">
        <v>966</v>
      </c>
      <c r="C10" s="175">
        <f ca="1">ROUND(D10*E10/10000,0)</f>
        <v>228</v>
      </c>
      <c r="D10" s="176">
        <f ca="1">IF(B1="",'数据-汇总表'!E6,IF(INDIRECT("'数据-取费表'!c"&amp;$G$1)="住宅",INDIRECT("'数据-取费表'!s"&amp;$G$1),INDIRECT("'数据-取费表'!k"&amp;$G$1)+INDIRECT("'数据-取费表'!s"&amp;$G$1)))</f>
        <v>11398.58</v>
      </c>
      <c r="E10" s="175">
        <f>'数据-取费表'!B28</f>
        <v>200</v>
      </c>
      <c r="F10" s="170"/>
      <c r="G10" s="177"/>
    </row>
    <row r="11" spans="1:9" s="140" customFormat="1" ht="13.5" hidden="1" customHeight="1">
      <c r="A11" s="178" t="s">
        <v>967</v>
      </c>
      <c r="B11" s="164" t="s">
        <v>968</v>
      </c>
      <c r="C11" s="160"/>
      <c r="D11" s="179"/>
      <c r="E11" s="167"/>
      <c r="F11" s="167"/>
      <c r="G11" s="168"/>
    </row>
    <row r="12" spans="1:9" s="140" customFormat="1" ht="13.5" hidden="1" customHeight="1">
      <c r="A12" s="178" t="s">
        <v>969</v>
      </c>
      <c r="B12" s="164" t="s">
        <v>886</v>
      </c>
      <c r="C12" s="160">
        <v>0</v>
      </c>
      <c r="D12" s="179"/>
      <c r="E12" s="180"/>
      <c r="F12" s="170">
        <v>3.0499999999999999E-2</v>
      </c>
      <c r="G12" s="168"/>
    </row>
    <row r="13" spans="1:9" s="140" customFormat="1" ht="13.5" hidden="1" customHeight="1">
      <c r="A13" s="178" t="s">
        <v>970</v>
      </c>
      <c r="B13" s="164" t="s">
        <v>971</v>
      </c>
      <c r="C13" s="160"/>
      <c r="D13" s="179"/>
      <c r="E13" s="167"/>
      <c r="F13" s="167"/>
      <c r="G13" s="168"/>
    </row>
    <row r="14" spans="1:9" s="140" customFormat="1" ht="13.5" hidden="1" customHeight="1">
      <c r="A14" s="178" t="s">
        <v>972</v>
      </c>
      <c r="B14" s="164" t="s">
        <v>959</v>
      </c>
      <c r="C14" s="160"/>
      <c r="D14" s="179"/>
      <c r="E14" s="167"/>
      <c r="F14" s="167"/>
      <c r="G14" s="168" t="s">
        <v>973</v>
      </c>
    </row>
    <row r="15" spans="1:9" s="140" customFormat="1" ht="13.5" hidden="1" customHeight="1">
      <c r="A15" s="178" t="s">
        <v>974</v>
      </c>
      <c r="B15" s="164" t="s">
        <v>975</v>
      </c>
      <c r="C15" s="169"/>
      <c r="D15" s="179"/>
      <c r="E15" s="167"/>
      <c r="F15" s="167"/>
      <c r="G15" s="168" t="s">
        <v>976</v>
      </c>
    </row>
    <row r="16" spans="1:9" s="140" customFormat="1" ht="13.5" hidden="1" customHeight="1">
      <c r="A16" s="178" t="s">
        <v>977</v>
      </c>
      <c r="B16" s="164" t="s">
        <v>959</v>
      </c>
      <c r="C16" s="169"/>
      <c r="D16" s="179"/>
      <c r="E16" s="167"/>
      <c r="F16" s="167"/>
      <c r="G16" s="168"/>
    </row>
    <row r="17" spans="1:7" s="140" customFormat="1" ht="13.5" hidden="1" customHeight="1">
      <c r="A17" s="178" t="s">
        <v>978</v>
      </c>
      <c r="B17" s="164" t="s">
        <v>979</v>
      </c>
      <c r="C17" s="181"/>
      <c r="D17" s="182"/>
      <c r="E17" s="181"/>
      <c r="F17" s="181"/>
      <c r="G17" s="168" t="s">
        <v>976</v>
      </c>
    </row>
    <row r="18" spans="1:7" s="140" customFormat="1" ht="13.5" hidden="1" customHeight="1">
      <c r="A18" s="178" t="s">
        <v>980</v>
      </c>
      <c r="B18" s="164" t="s">
        <v>981</v>
      </c>
      <c r="C18" s="169">
        <v>0</v>
      </c>
      <c r="D18" s="179"/>
      <c r="E18" s="167"/>
      <c r="F18" s="170">
        <v>3.0499999999999999E-2</v>
      </c>
      <c r="G18" s="168" t="s">
        <v>982</v>
      </c>
    </row>
    <row r="19" spans="1:7" s="141" customFormat="1" ht="13.5" customHeight="1">
      <c r="A19" s="158" t="s">
        <v>983</v>
      </c>
      <c r="B19" s="159" t="s">
        <v>984</v>
      </c>
      <c r="C19" s="160" t="str">
        <f>IF(G19="已包含在土地取得成本中","0",ROUND(D19*E19/10000,0))</f>
        <v>0</v>
      </c>
      <c r="D19" s="184">
        <f ca="1">D9+D10</f>
        <v>11398.58</v>
      </c>
      <c r="E19" s="160">
        <f>'数据-取费表'!B31</f>
        <v>200</v>
      </c>
      <c r="F19" s="185"/>
      <c r="G19" s="2174" t="s">
        <v>985</v>
      </c>
    </row>
    <row r="20" spans="1:7" s="140" customFormat="1" ht="13.5" customHeight="1">
      <c r="A20" s="158" t="s">
        <v>986</v>
      </c>
      <c r="B20" s="159" t="s">
        <v>987</v>
      </c>
      <c r="C20" s="186">
        <f ca="1">ROUND((C5+C19)*F20,0)</f>
        <v>414</v>
      </c>
      <c r="D20" s="186"/>
      <c r="E20" s="186"/>
      <c r="F20" s="187">
        <f>'数据-取费表'!B37</f>
        <v>0.02</v>
      </c>
      <c r="G20" s="191" t="s">
        <v>988</v>
      </c>
    </row>
    <row r="21" spans="1:7" s="140" customFormat="1" ht="13.5" customHeight="1">
      <c r="A21" s="158" t="s">
        <v>989</v>
      </c>
      <c r="B21" s="159" t="s">
        <v>990</v>
      </c>
      <c r="C21" s="189">
        <f>F21</f>
        <v>0.02</v>
      </c>
      <c r="D21" s="190" t="s">
        <v>991</v>
      </c>
      <c r="E21" s="186"/>
      <c r="F21" s="187">
        <f>'数据-取费表'!B38</f>
        <v>0.02</v>
      </c>
      <c r="G21" s="191" t="s">
        <v>992</v>
      </c>
    </row>
    <row r="22" spans="1:7" s="140" customFormat="1" ht="13.5" customHeight="1">
      <c r="A22" s="158" t="s">
        <v>993</v>
      </c>
      <c r="B22" s="159" t="s">
        <v>994</v>
      </c>
      <c r="C22" s="192">
        <f ca="1">ROUND(SUM(C23:C25),0)</f>
        <v>868</v>
      </c>
      <c r="D22" s="189">
        <f ca="1">C26</f>
        <v>4.0000000000000002E-4</v>
      </c>
      <c r="E22" s="190" t="s">
        <v>991</v>
      </c>
      <c r="F22" s="193">
        <f ca="1">'数据-取费表'!B40</f>
        <v>4.1499999999999995E-2</v>
      </c>
      <c r="G22" s="191" t="str">
        <f>IF('数据-取费表'!B22&lt;=1,"单利计息","复利计息")</f>
        <v>单利计息</v>
      </c>
    </row>
    <row r="23" spans="1:7" s="140" customFormat="1" ht="13.5" customHeight="1">
      <c r="A23" s="194" t="s">
        <v>954</v>
      </c>
      <c r="B23" s="164" t="s">
        <v>995</v>
      </c>
      <c r="C23" s="195">
        <f ca="1">ROUND(IF('数据-取费表'!B22&lt;=1,C5*F22*'数据-取费表'!B23,C5*(POWER((1+F22),'数据-取费表'!B23)-1)),0)</f>
        <v>859</v>
      </c>
      <c r="D23" s="196"/>
      <c r="E23" s="196"/>
      <c r="F23" s="197"/>
      <c r="G23" s="198" t="s">
        <v>996</v>
      </c>
    </row>
    <row r="24" spans="1:7" s="140" customFormat="1" ht="13.5" customHeight="1">
      <c r="A24" s="194" t="s">
        <v>956</v>
      </c>
      <c r="B24" s="164" t="s">
        <v>997</v>
      </c>
      <c r="C24" s="195">
        <f ca="1">ROUND(IF('数据-取费表'!B22&lt;=1,C19*F22*('数据-取费表'!B19/2+'数据-取费表'!B21),C19*(POWER((1+F22),('数据-取费表'!B19/2+'数据-取费表'!B21))-1)),0)</f>
        <v>0</v>
      </c>
      <c r="D24" s="196"/>
      <c r="E24" s="196"/>
      <c r="F24" s="197"/>
      <c r="G24" s="198" t="s">
        <v>998</v>
      </c>
    </row>
    <row r="25" spans="1:7" s="140" customFormat="1" ht="24">
      <c r="A25" s="194" t="s">
        <v>958</v>
      </c>
      <c r="B25" s="164" t="s">
        <v>999</v>
      </c>
      <c r="C25" s="195">
        <f ca="1">ROUND(IF('数据-取费表'!B22&lt;=1,C20*F22*'数据-取费表'!B23/2,C20*(POWER((1+F22),'数据-取费表'!B23/2)-1)),0)</f>
        <v>9</v>
      </c>
      <c r="D25" s="196"/>
      <c r="E25" s="199"/>
      <c r="F25" s="197"/>
      <c r="G25" s="200" t="s">
        <v>1000</v>
      </c>
    </row>
    <row r="26" spans="1:7" s="140" customFormat="1">
      <c r="A26" s="194" t="s">
        <v>1001</v>
      </c>
      <c r="B26" s="164" t="s">
        <v>1002</v>
      </c>
      <c r="C26" s="196">
        <f ca="1">ROUND(IF('数据-取费表'!B22&lt;=1,F21*F22*'数据-取费表'!B23/2,F21*(POWER((1+F22),'数据-取费表'!B23/2)-1)),4)</f>
        <v>4.0000000000000002E-4</v>
      </c>
      <c r="D26" s="196"/>
      <c r="E26" s="199"/>
      <c r="F26" s="197"/>
      <c r="G26" s="201"/>
    </row>
    <row r="27" spans="1:7" s="140" customFormat="1" ht="24.75">
      <c r="A27" s="158" t="s">
        <v>1003</v>
      </c>
      <c r="B27" s="202" t="s">
        <v>1004</v>
      </c>
      <c r="C27" s="203">
        <f ca="1">C28</f>
        <v>3167</v>
      </c>
      <c r="D27" s="189">
        <f ca="1">C29</f>
        <v>3.0000000000000001E-3</v>
      </c>
      <c r="E27" s="190" t="s">
        <v>991</v>
      </c>
      <c r="F27" s="204">
        <f ca="1">IF(B1="",'数据-取费表'!Q16,INDIRECT("'数据-取费表'!q"&amp;$G$1))</f>
        <v>0.15</v>
      </c>
      <c r="G27" s="205" t="s">
        <v>1005</v>
      </c>
    </row>
    <row r="28" spans="1:7" s="140" customFormat="1" ht="13.5" customHeight="1">
      <c r="A28" s="194" t="s">
        <v>954</v>
      </c>
      <c r="B28" s="206" t="s">
        <v>1006</v>
      </c>
      <c r="C28" s="207">
        <f ca="1">ROUND((C5+C19+C20)*F27*'数据-取费表'!B21/'数据-取费表'!B20,0)</f>
        <v>3167</v>
      </c>
      <c r="D28" s="189"/>
      <c r="E28" s="190"/>
      <c r="F28" s="204"/>
      <c r="G28" s="205"/>
    </row>
    <row r="29" spans="1:7" s="140" customFormat="1" ht="13.5" customHeight="1">
      <c r="A29" s="194" t="s">
        <v>956</v>
      </c>
      <c r="B29" s="206" t="s">
        <v>1007</v>
      </c>
      <c r="C29" s="196">
        <f ca="1">ROUND(C21*F27*'数据-取费表'!B21/'数据-取费表'!B20,4)</f>
        <v>3.0000000000000001E-3</v>
      </c>
      <c r="D29" s="189"/>
      <c r="E29" s="190"/>
      <c r="F29" s="204"/>
      <c r="G29" s="205"/>
    </row>
    <row r="30" spans="1:7" s="140" customFormat="1" ht="13.5" customHeight="1">
      <c r="A30" s="158" t="s">
        <v>1008</v>
      </c>
      <c r="B30" s="159" t="s">
        <v>1009</v>
      </c>
      <c r="C30" s="189">
        <f>ROUND(F30/(1+'数据-取费表'!C42),4)</f>
        <v>5.33E-2</v>
      </c>
      <c r="D30" s="190" t="s">
        <v>991</v>
      </c>
      <c r="E30" s="199"/>
      <c r="F30" s="193">
        <f>'数据-取费表'!B41</f>
        <v>5.6000000000000001E-2</v>
      </c>
      <c r="G30" s="191" t="s">
        <v>1010</v>
      </c>
    </row>
    <row r="31" spans="1:7" ht="16.5" customHeight="1">
      <c r="A31" s="208">
        <v>1</v>
      </c>
      <c r="B31" s="159" t="s">
        <v>1011</v>
      </c>
      <c r="C31" s="160">
        <f ca="1">ROUND((C5+C19+C20+C22+C27)/(1-C21-D22-D27-C30),0)</f>
        <v>27235</v>
      </c>
      <c r="D31" s="209"/>
      <c r="E31" s="160"/>
      <c r="F31" s="210"/>
      <c r="G31" s="191" t="s">
        <v>1012</v>
      </c>
    </row>
    <row r="32" spans="1:7" s="139" customFormat="1" ht="15.75">
      <c r="A32" s="211" t="s">
        <v>1013</v>
      </c>
      <c r="B32" s="212"/>
      <c r="C32" s="212"/>
      <c r="D32" s="212"/>
      <c r="E32" s="212"/>
      <c r="F32" s="212"/>
      <c r="G32" s="213"/>
    </row>
    <row r="33" spans="1:7" s="140" customFormat="1" ht="13.5" customHeight="1">
      <c r="A33" s="158" t="s">
        <v>950</v>
      </c>
      <c r="B33" s="159" t="s">
        <v>1014</v>
      </c>
      <c r="C33" s="214">
        <f ca="1">SUM(C34:C38)</f>
        <v>6183</v>
      </c>
      <c r="D33" s="186"/>
      <c r="E33" s="161"/>
      <c r="F33" s="199"/>
      <c r="G33" s="191"/>
    </row>
    <row r="34" spans="1:7" s="142" customFormat="1" ht="13.5" customHeight="1">
      <c r="A34" s="194" t="s">
        <v>954</v>
      </c>
      <c r="B34" s="164" t="s">
        <v>1015</v>
      </c>
      <c r="C34" s="169">
        <f ca="1">IF(B1="",IF(F34=100%,'数据-取费表'!M16,'数据-取费表'!O16),IF(F34=100%,INDIRECT("'数据-取费表'!m"&amp;$G$1)+INDIRECT("'数据-取费表'!t"&amp;$G$1),INDIRECT("'数据-取费表'!o"&amp;$G$1)+INDIRECT("'数据-取费表'!aq"&amp;$G$1)))</f>
        <v>5699</v>
      </c>
      <c r="D34" s="166"/>
      <c r="E34" s="169"/>
      <c r="F34" s="215">
        <f ca="1">IF('数据-取费表'!B24=0,1,IF(B1="",'数据-取费表'!N16,INDIRECT("'数据-取费表'!n"&amp;$G$1)))</f>
        <v>1</v>
      </c>
      <c r="G34" s="168" t="s">
        <v>1016</v>
      </c>
    </row>
    <row r="35" spans="1:7" ht="13.5" customHeight="1">
      <c r="A35" s="194" t="s">
        <v>956</v>
      </c>
      <c r="B35" s="164" t="s">
        <v>1017</v>
      </c>
      <c r="C35" s="169">
        <f ca="1">ROUND(C34*F35,0)</f>
        <v>171</v>
      </c>
      <c r="D35" s="169"/>
      <c r="E35" s="169"/>
      <c r="F35" s="216">
        <f>'数据-取费表'!B33</f>
        <v>0.03</v>
      </c>
      <c r="G35" s="168" t="s">
        <v>1018</v>
      </c>
    </row>
    <row r="36" spans="1:7" ht="24">
      <c r="A36" s="194" t="s">
        <v>958</v>
      </c>
      <c r="B36" s="164" t="s">
        <v>1019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1020</v>
      </c>
    </row>
    <row r="37" spans="1:7" s="142" customFormat="1" ht="13.5" customHeight="1">
      <c r="A37" s="194" t="s">
        <v>1001</v>
      </c>
      <c r="B37" s="164" t="s">
        <v>1021</v>
      </c>
      <c r="C37" s="207">
        <f ca="1">ROUND(E37*D37*F34/10000,0)</f>
        <v>228</v>
      </c>
      <c r="D37" s="166">
        <f ca="1">D19</f>
        <v>11398.58</v>
      </c>
      <c r="E37" s="207">
        <f>'数据-取费表'!B35</f>
        <v>200</v>
      </c>
      <c r="F37" s="216"/>
      <c r="G37" s="218" t="s">
        <v>1022</v>
      </c>
    </row>
    <row r="38" spans="1:7" ht="13.5" customHeight="1">
      <c r="A38" s="194" t="s">
        <v>1023</v>
      </c>
      <c r="B38" s="164" t="s">
        <v>886</v>
      </c>
      <c r="C38" s="169">
        <f ca="1">ROUND(C34*F38,0)</f>
        <v>85</v>
      </c>
      <c r="D38" s="169"/>
      <c r="E38" s="169"/>
      <c r="F38" s="216">
        <f>'数据-取费表'!B36</f>
        <v>1.4999999999999999E-2</v>
      </c>
      <c r="G38" s="168" t="s">
        <v>1018</v>
      </c>
    </row>
    <row r="39" spans="1:7" s="140" customFormat="1" ht="13.5" customHeight="1">
      <c r="A39" s="158" t="s">
        <v>983</v>
      </c>
      <c r="B39" s="159" t="s">
        <v>987</v>
      </c>
      <c r="C39" s="186">
        <f ca="1">ROUND(C33*F20,0)</f>
        <v>124</v>
      </c>
      <c r="D39" s="186"/>
      <c r="E39" s="186"/>
      <c r="F39" s="2177">
        <f>F20</f>
        <v>0.02</v>
      </c>
      <c r="G39" s="191" t="s">
        <v>1024</v>
      </c>
    </row>
    <row r="40" spans="1:7" s="140" customFormat="1" ht="13.5" customHeight="1">
      <c r="A40" s="158" t="s">
        <v>986</v>
      </c>
      <c r="B40" s="159" t="s">
        <v>990</v>
      </c>
      <c r="C40" s="2178">
        <f>F21</f>
        <v>0.02</v>
      </c>
      <c r="D40" s="190" t="s">
        <v>1025</v>
      </c>
      <c r="E40" s="186"/>
      <c r="F40" s="2177">
        <f>F21</f>
        <v>0.02</v>
      </c>
      <c r="G40" s="191" t="s">
        <v>1026</v>
      </c>
    </row>
    <row r="41" spans="1:7" s="140" customFormat="1" ht="13.5" customHeight="1">
      <c r="A41" s="158" t="s">
        <v>989</v>
      </c>
      <c r="B41" s="159" t="s">
        <v>994</v>
      </c>
      <c r="C41" s="186">
        <f ca="1">ROUND(SUM(C42:C43),0)</f>
        <v>131</v>
      </c>
      <c r="D41" s="189">
        <f ca="1">C44</f>
        <v>4.0000000000000002E-4</v>
      </c>
      <c r="E41" s="190" t="s">
        <v>1025</v>
      </c>
      <c r="F41" s="2179">
        <f ca="1">F22</f>
        <v>4.1499999999999995E-2</v>
      </c>
      <c r="G41" s="191" t="str">
        <f>IF('数据-取费表'!B22&lt;=1,"单利计息","复利计息")</f>
        <v>单利计息</v>
      </c>
    </row>
    <row r="42" spans="1:7" ht="13.5" customHeight="1">
      <c r="A42" s="194" t="s">
        <v>954</v>
      </c>
      <c r="B42" s="164" t="s">
        <v>995</v>
      </c>
      <c r="C42" s="196">
        <f ca="1">ROUND(IF('数据-取费表'!B22&lt;=1,C33*F22*'数据-取费表'!B21/2,C33*(POWER((1+F22),'数据-取费表'!B21/2)-1)),0)</f>
        <v>128</v>
      </c>
      <c r="D42" s="196"/>
      <c r="E42" s="196"/>
      <c r="F42" s="197"/>
      <c r="G42" s="3418" t="s">
        <v>1027</v>
      </c>
    </row>
    <row r="43" spans="1:7" ht="13.5" customHeight="1">
      <c r="A43" s="194" t="s">
        <v>956</v>
      </c>
      <c r="B43" s="164" t="s">
        <v>997</v>
      </c>
      <c r="C43" s="196">
        <f ca="1">ROUND(IF('数据-取费表'!B22&lt;=1,C39*F22*'数据-取费表'!B21/2,C39*(POWER((1+F22),'数据-取费表'!B21/2)-1)),0)</f>
        <v>3</v>
      </c>
      <c r="D43" s="196"/>
      <c r="E43" s="196"/>
      <c r="F43" s="197"/>
      <c r="G43" s="3419"/>
    </row>
    <row r="44" spans="1:7" ht="13.5" customHeight="1">
      <c r="A44" s="194" t="s">
        <v>958</v>
      </c>
      <c r="B44" s="164" t="s">
        <v>999</v>
      </c>
      <c r="C44" s="196">
        <f ca="1">ROUND(IF('数据-取费表'!B22&lt;=1,C40*F22*'数据-取费表'!B21/2,C40*(POWER((1+F22),'数据-取费表'!B21/2)-1)),4)</f>
        <v>4.0000000000000002E-4</v>
      </c>
      <c r="D44" s="196"/>
      <c r="E44" s="196"/>
      <c r="F44" s="197"/>
      <c r="G44" s="3420"/>
    </row>
    <row r="45" spans="1:7" s="140" customFormat="1" ht="13.5" customHeight="1">
      <c r="A45" s="158" t="s">
        <v>993</v>
      </c>
      <c r="B45" s="202" t="s">
        <v>1004</v>
      </c>
      <c r="C45" s="203">
        <f ca="1">C46</f>
        <v>946</v>
      </c>
      <c r="D45" s="189">
        <f ca="1">C47</f>
        <v>3.0000000000000001E-3</v>
      </c>
      <c r="E45" s="190" t="s">
        <v>1025</v>
      </c>
      <c r="F45" s="2180">
        <f ca="1">F27</f>
        <v>0.15</v>
      </c>
      <c r="G45" s="205" t="s">
        <v>1028</v>
      </c>
    </row>
    <row r="46" spans="1:7" s="140" customFormat="1" ht="13.5" customHeight="1">
      <c r="A46" s="194" t="s">
        <v>954</v>
      </c>
      <c r="B46" s="206" t="s">
        <v>1029</v>
      </c>
      <c r="C46" s="207">
        <f ca="1">ROUND((C33+C39)*F27,0)</f>
        <v>946</v>
      </c>
      <c r="D46" s="220"/>
      <c r="E46" s="190"/>
      <c r="F46" s="204"/>
      <c r="G46" s="205"/>
    </row>
    <row r="47" spans="1:7" s="140" customFormat="1" ht="13.5" customHeight="1">
      <c r="A47" s="194" t="s">
        <v>956</v>
      </c>
      <c r="B47" s="206" t="s">
        <v>1030</v>
      </c>
      <c r="C47" s="196">
        <f ca="1">ROUND(C40*F27,4)</f>
        <v>3.0000000000000001E-3</v>
      </c>
      <c r="D47" s="220"/>
      <c r="E47" s="190"/>
      <c r="F47" s="204"/>
      <c r="G47" s="205"/>
    </row>
    <row r="48" spans="1:7" s="140" customFormat="1" ht="13.5" customHeight="1">
      <c r="A48" s="158" t="s">
        <v>1003</v>
      </c>
      <c r="B48" s="159" t="s">
        <v>1009</v>
      </c>
      <c r="C48" s="2178">
        <f>ROUND(F30/(1+'数据-取费表'!C42),4)</f>
        <v>5.33E-2</v>
      </c>
      <c r="D48" s="190" t="s">
        <v>1025</v>
      </c>
      <c r="E48" s="186"/>
      <c r="F48" s="2179">
        <f>F30</f>
        <v>5.6000000000000001E-2</v>
      </c>
      <c r="G48" s="191" t="s">
        <v>1031</v>
      </c>
    </row>
    <row r="49" spans="1:7" ht="16.5" customHeight="1">
      <c r="A49" s="158" t="s">
        <v>1008</v>
      </c>
      <c r="B49" s="159" t="s">
        <v>1032</v>
      </c>
      <c r="C49" s="186">
        <f ca="1">ROUND((C33+C39+C41+C45)/(1-C40-D41-D45-C48),0)</f>
        <v>7997</v>
      </c>
      <c r="D49" s="186"/>
      <c r="E49" s="186"/>
      <c r="F49" s="221"/>
      <c r="G49" s="191" t="s">
        <v>1033</v>
      </c>
    </row>
    <row r="50" spans="1:7" s="142" customFormat="1" ht="24">
      <c r="A50" s="158" t="s">
        <v>1034</v>
      </c>
      <c r="B50" s="159" t="s">
        <v>1035</v>
      </c>
      <c r="C50" s="186"/>
      <c r="D50" s="186"/>
      <c r="E50" s="186"/>
      <c r="F50" s="221">
        <f>IF('数据-取费表'!B24=0,'数据-取费表'!N16,1)</f>
        <v>0.98</v>
      </c>
      <c r="G50" s="205" t="s">
        <v>1036</v>
      </c>
    </row>
    <row r="51" spans="1:7" ht="16.5" customHeight="1">
      <c r="A51" s="158" t="s">
        <v>1037</v>
      </c>
      <c r="B51" s="159" t="s">
        <v>1038</v>
      </c>
      <c r="C51" s="186">
        <f ca="1">ROUND(C49*F50,0)</f>
        <v>7837</v>
      </c>
      <c r="D51" s="186"/>
      <c r="E51" s="186"/>
      <c r="F51" s="221"/>
      <c r="G51" s="191" t="s">
        <v>1039</v>
      </c>
    </row>
    <row r="52" spans="1:7" s="139" customFormat="1" ht="15.75">
      <c r="A52" s="222" t="s">
        <v>1040</v>
      </c>
      <c r="B52" s="223"/>
      <c r="C52" s="224">
        <f ca="1">C31+C51</f>
        <v>35072</v>
      </c>
      <c r="D52" s="223"/>
      <c r="E52" s="223"/>
      <c r="F52" s="223"/>
      <c r="G52" s="225"/>
    </row>
    <row r="55" spans="1:7" ht="15">
      <c r="B55" s="226" t="s">
        <v>1041</v>
      </c>
      <c r="C55" s="227"/>
    </row>
    <row r="56" spans="1:7">
      <c r="B56" s="228" t="s">
        <v>1042</v>
      </c>
      <c r="C56" s="230">
        <f ca="1">1-C57</f>
        <v>0.77700000000000002</v>
      </c>
    </row>
    <row r="57" spans="1:7">
      <c r="B57" s="228" t="s">
        <v>1043</v>
      </c>
      <c r="C57" s="229">
        <f ca="1">ROUND(C51/C52,3)</f>
        <v>0.223</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944</v>
      </c>
      <c r="B1" s="2167"/>
      <c r="C1" s="2168" t="s">
        <v>1044</v>
      </c>
      <c r="D1" s="148"/>
      <c r="E1" s="148"/>
      <c r="F1" s="148"/>
      <c r="G1" s="2169">
        <f>MATCH(B1,'数据-取费表'!A6:A16,0)+5</f>
        <v>7</v>
      </c>
      <c r="H1" s="1539" t="str">
        <f>IF(ISERROR(FIND("住宅",B1)),"非住宅","住宅")</f>
        <v>非住宅</v>
      </c>
    </row>
    <row r="2" spans="1:8" s="138" customFormat="1" ht="18" customHeight="1">
      <c r="A2" s="150" t="s">
        <v>945</v>
      </c>
      <c r="B2" s="151">
        <f ca="1">ROUND(IF(D2="——",C52/10000,C52/10000-E2),0)</f>
        <v>8438</v>
      </c>
      <c r="C2" s="149" t="s">
        <v>946</v>
      </c>
      <c r="D2" s="2170" t="s">
        <v>124</v>
      </c>
      <c r="E2" s="2171" t="e">
        <f ca="1">SUMIF(INDIRECT("'"&amp;G2&amp;"'"&amp;"!A:A"),"承租人权益价值",INDIRECT("'"&amp;G2&amp;"'"&amp;"!c:c"))</f>
        <v>#REF!</v>
      </c>
      <c r="F2" s="2172" t="s">
        <v>946</v>
      </c>
      <c r="G2" s="2173"/>
    </row>
    <row r="3" spans="1:8" s="138" customFormat="1" ht="18" customHeight="1">
      <c r="A3" s="153" t="s">
        <v>947</v>
      </c>
      <c r="B3" s="154">
        <f ca="1">ROUND(B2*10000/(IF(B1="",'数据-汇总表'!E3,INDIRECT("'数据-取费表'!k"&amp;$G$1))),0)</f>
        <v>7403</v>
      </c>
      <c r="C3" s="149" t="s">
        <v>948</v>
      </c>
      <c r="D3" s="149"/>
      <c r="E3" s="149"/>
      <c r="F3" s="149"/>
      <c r="G3" s="149"/>
    </row>
    <row r="4" spans="1:8" s="139" customFormat="1" ht="15.75">
      <c r="A4" s="155" t="s">
        <v>949</v>
      </c>
      <c r="B4" s="156"/>
      <c r="C4" s="156"/>
      <c r="D4" s="156"/>
      <c r="E4" s="156"/>
      <c r="F4" s="156"/>
      <c r="G4" s="157"/>
    </row>
    <row r="5" spans="1:8" s="140" customFormat="1" ht="13.5" customHeight="1">
      <c r="A5" s="158" t="s">
        <v>950</v>
      </c>
      <c r="B5" s="159" t="s">
        <v>951</v>
      </c>
      <c r="C5" s="160">
        <f ca="1">C6+C7+C8</f>
        <v>2279716</v>
      </c>
      <c r="D5" s="160" t="s">
        <v>952</v>
      </c>
      <c r="E5" s="161" t="s">
        <v>953</v>
      </c>
      <c r="F5" s="161" t="s">
        <v>850</v>
      </c>
      <c r="G5" s="162"/>
    </row>
    <row r="6" spans="1:8" s="140" customFormat="1" ht="13.5" customHeight="1">
      <c r="A6" s="163" t="s">
        <v>954</v>
      </c>
      <c r="B6" s="164" t="s">
        <v>955</v>
      </c>
      <c r="C6" s="165"/>
      <c r="D6" s="166"/>
      <c r="E6" s="167"/>
      <c r="F6" s="167"/>
      <c r="G6" s="168"/>
    </row>
    <row r="7" spans="1:8" s="140" customFormat="1" ht="13.5" customHeight="1">
      <c r="A7" s="163" t="s">
        <v>956</v>
      </c>
      <c r="B7" s="164" t="s">
        <v>957</v>
      </c>
      <c r="C7" s="169">
        <f>ROUND(C6*F7,0)</f>
        <v>0</v>
      </c>
      <c r="D7" s="169"/>
      <c r="E7" s="167"/>
      <c r="F7" s="170">
        <f>IF(项目基本情况!B8="出让",0,'数据-取费表'!B48+'数据-取费表'!B49)</f>
        <v>3.0499999999999999E-2</v>
      </c>
      <c r="G7" s="168"/>
    </row>
    <row r="8" spans="1:8" s="141" customFormat="1">
      <c r="A8" s="163" t="s">
        <v>958</v>
      </c>
      <c r="B8" s="164" t="s">
        <v>959</v>
      </c>
      <c r="C8" s="169">
        <f ca="1">IF(G8="已包含在土地购买价格中",0,C9+C10)</f>
        <v>2279716</v>
      </c>
      <c r="D8" s="171"/>
      <c r="E8" s="169"/>
      <c r="F8" s="170"/>
      <c r="G8" s="2174"/>
    </row>
    <row r="9" spans="1:8" s="140" customFormat="1" ht="13.5" customHeight="1">
      <c r="A9" s="173" t="s">
        <v>961</v>
      </c>
      <c r="B9" s="174" t="s">
        <v>962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965</v>
      </c>
      <c r="B10" s="174" t="s">
        <v>966</v>
      </c>
      <c r="C10" s="175">
        <f ca="1">ROUND(D10*E10,0)</f>
        <v>2279716</v>
      </c>
      <c r="D10" s="176">
        <f ca="1">IF(B1="",'数据-汇总表'!E6,IF(INDIRECT("'数据-取费表'!c"&amp;$G$1)="住宅",INDIRECT("'数据-取费表'!s"&amp;$G$1),INDIRECT("'数据-取费表'!k"&amp;$G$1)+INDIRECT("'数据-取费表'!s"&amp;$G$1)))</f>
        <v>11398.58</v>
      </c>
      <c r="E10" s="175">
        <f>'数据-取费表'!B28</f>
        <v>200</v>
      </c>
      <c r="F10" s="170"/>
      <c r="G10" s="177"/>
    </row>
    <row r="11" spans="1:8" s="140" customFormat="1" ht="13.5" hidden="1" customHeight="1">
      <c r="A11" s="178" t="s">
        <v>967</v>
      </c>
      <c r="B11" s="164" t="s">
        <v>968</v>
      </c>
      <c r="C11" s="160"/>
      <c r="D11" s="179"/>
      <c r="E11" s="167"/>
      <c r="F11" s="167"/>
      <c r="G11" s="168"/>
    </row>
    <row r="12" spans="1:8" s="140" customFormat="1" ht="13.5" hidden="1" customHeight="1">
      <c r="A12" s="178" t="s">
        <v>969</v>
      </c>
      <c r="B12" s="164" t="s">
        <v>886</v>
      </c>
      <c r="C12" s="160">
        <v>0</v>
      </c>
      <c r="D12" s="179"/>
      <c r="E12" s="180"/>
      <c r="F12" s="170">
        <v>3.0499999999999999E-2</v>
      </c>
      <c r="G12" s="168"/>
    </row>
    <row r="13" spans="1:8" s="140" customFormat="1" ht="13.5" hidden="1" customHeight="1">
      <c r="A13" s="178" t="s">
        <v>970</v>
      </c>
      <c r="B13" s="164" t="s">
        <v>971</v>
      </c>
      <c r="C13" s="160"/>
      <c r="D13" s="179"/>
      <c r="E13" s="167"/>
      <c r="F13" s="167"/>
      <c r="G13" s="168"/>
    </row>
    <row r="14" spans="1:8" s="140" customFormat="1" ht="13.5" hidden="1" customHeight="1">
      <c r="A14" s="178" t="s">
        <v>972</v>
      </c>
      <c r="B14" s="164" t="s">
        <v>959</v>
      </c>
      <c r="C14" s="160"/>
      <c r="D14" s="179"/>
      <c r="E14" s="167"/>
      <c r="F14" s="167"/>
      <c r="G14" s="168" t="s">
        <v>973</v>
      </c>
    </row>
    <row r="15" spans="1:8" s="140" customFormat="1" ht="13.5" hidden="1" customHeight="1">
      <c r="A15" s="178" t="s">
        <v>974</v>
      </c>
      <c r="B15" s="164" t="s">
        <v>975</v>
      </c>
      <c r="C15" s="169"/>
      <c r="D15" s="179"/>
      <c r="E15" s="167"/>
      <c r="F15" s="167"/>
      <c r="G15" s="168" t="s">
        <v>976</v>
      </c>
    </row>
    <row r="16" spans="1:8" s="140" customFormat="1" ht="13.5" hidden="1" customHeight="1">
      <c r="A16" s="178" t="s">
        <v>977</v>
      </c>
      <c r="B16" s="164" t="s">
        <v>959</v>
      </c>
      <c r="C16" s="169"/>
      <c r="D16" s="179"/>
      <c r="E16" s="167"/>
      <c r="F16" s="167"/>
      <c r="G16" s="168"/>
    </row>
    <row r="17" spans="1:7" s="140" customFormat="1" ht="13.5" hidden="1" customHeight="1">
      <c r="A17" s="178" t="s">
        <v>978</v>
      </c>
      <c r="B17" s="164" t="s">
        <v>979</v>
      </c>
      <c r="C17" s="181"/>
      <c r="D17" s="182"/>
      <c r="E17" s="181"/>
      <c r="F17" s="181"/>
      <c r="G17" s="168" t="s">
        <v>976</v>
      </c>
    </row>
    <row r="18" spans="1:7" s="140" customFormat="1" ht="13.5" hidden="1" customHeight="1">
      <c r="A18" s="178" t="s">
        <v>980</v>
      </c>
      <c r="B18" s="164" t="s">
        <v>981</v>
      </c>
      <c r="C18" s="169">
        <v>0</v>
      </c>
      <c r="D18" s="179"/>
      <c r="E18" s="167"/>
      <c r="F18" s="170">
        <v>3.0499999999999999E-2</v>
      </c>
      <c r="G18" s="168" t="s">
        <v>982</v>
      </c>
    </row>
    <row r="19" spans="1:7" s="141" customFormat="1" ht="13.5" customHeight="1">
      <c r="A19" s="158" t="s">
        <v>983</v>
      </c>
      <c r="B19" s="159" t="s">
        <v>984</v>
      </c>
      <c r="C19" s="160">
        <f ca="1">IF(G19="已包含在土地取得成本中","0",ROUND(D19*E19,0))</f>
        <v>2279716</v>
      </c>
      <c r="D19" s="184">
        <f ca="1">D9+D10</f>
        <v>11398.58</v>
      </c>
      <c r="E19" s="160">
        <f>'数据-取费表'!B31</f>
        <v>200</v>
      </c>
      <c r="F19" s="185"/>
      <c r="G19" s="2174"/>
    </row>
    <row r="20" spans="1:7" s="140" customFormat="1" ht="13.5" customHeight="1">
      <c r="A20" s="158" t="s">
        <v>986</v>
      </c>
      <c r="B20" s="159" t="s">
        <v>987</v>
      </c>
      <c r="C20" s="186">
        <f ca="1">ROUND((C5+C19)*F20,0)</f>
        <v>91189</v>
      </c>
      <c r="D20" s="186"/>
      <c r="E20" s="186"/>
      <c r="F20" s="187">
        <f>'数据-取费表'!B37</f>
        <v>0.02</v>
      </c>
      <c r="G20" s="191" t="s">
        <v>988</v>
      </c>
    </row>
    <row r="21" spans="1:7" s="140" customFormat="1" ht="13.5" customHeight="1">
      <c r="A21" s="158" t="s">
        <v>989</v>
      </c>
      <c r="B21" s="159" t="s">
        <v>990</v>
      </c>
      <c r="C21" s="189">
        <f>F21</f>
        <v>0.02</v>
      </c>
      <c r="D21" s="190" t="s">
        <v>991</v>
      </c>
      <c r="E21" s="186"/>
      <c r="F21" s="187">
        <f>'数据-取费表'!B38</f>
        <v>0.02</v>
      </c>
      <c r="G21" s="191" t="s">
        <v>992</v>
      </c>
    </row>
    <row r="22" spans="1:7" s="140" customFormat="1" ht="13.5" customHeight="1">
      <c r="A22" s="158" t="s">
        <v>993</v>
      </c>
      <c r="B22" s="159" t="s">
        <v>994</v>
      </c>
      <c r="C22" s="2175">
        <f ca="1">ROUND(SUM(C23:C25),0)</f>
        <v>191108</v>
      </c>
      <c r="D22" s="189">
        <f ca="1">C26</f>
        <v>4.0000000000000002E-4</v>
      </c>
      <c r="E22" s="190" t="s">
        <v>991</v>
      </c>
      <c r="F22" s="193">
        <f ca="1">'数据-取费表'!B40</f>
        <v>4.1499999999999995E-2</v>
      </c>
      <c r="G22" s="191" t="str">
        <f>IF('数据-取费表'!B22&lt;=1,"单利计息","复利计息")</f>
        <v>单利计息</v>
      </c>
    </row>
    <row r="23" spans="1:7" s="140" customFormat="1" ht="13.5" customHeight="1">
      <c r="A23" s="194" t="s">
        <v>954</v>
      </c>
      <c r="B23" s="164" t="s">
        <v>995</v>
      </c>
      <c r="C23" s="2176">
        <f ca="1">ROUND(IF('数据-取费表'!B22&lt;=1,C5*F22*'数据-取费表'!B22,C5*(POWER((1+F22),'数据-取费表'!B22)-1)),0)</f>
        <v>94608</v>
      </c>
      <c r="D23" s="196"/>
      <c r="E23" s="196"/>
      <c r="F23" s="197"/>
      <c r="G23" s="198" t="s">
        <v>996</v>
      </c>
    </row>
    <row r="24" spans="1:7" s="140" customFormat="1" ht="13.5" customHeight="1">
      <c r="A24" s="194" t="s">
        <v>956</v>
      </c>
      <c r="B24" s="164" t="s">
        <v>997</v>
      </c>
      <c r="C24" s="2176">
        <f ca="1">ROUND(IF('数据-取费表'!B22&lt;=1,C19*F22*('数据-取费表'!B19/2+'数据-取费表'!B20),C19*(POWER((1+F22),('数据-取费表'!B19/2+'数据-取费表'!B20))-1)),0)</f>
        <v>94608</v>
      </c>
      <c r="D24" s="196"/>
      <c r="E24" s="196"/>
      <c r="F24" s="197"/>
      <c r="G24" s="198" t="s">
        <v>998</v>
      </c>
    </row>
    <row r="25" spans="1:7" s="140" customFormat="1" ht="24">
      <c r="A25" s="194" t="s">
        <v>958</v>
      </c>
      <c r="B25" s="164" t="s">
        <v>999</v>
      </c>
      <c r="C25" s="2176">
        <f ca="1">ROUND(IF('数据-取费表'!B22&lt;=1,C20*F22*'数据-取费表'!B22/2,C20*(POWER((1+F22),'数据-取费表'!B22/2)-1)),0)</f>
        <v>1892</v>
      </c>
      <c r="D25" s="196"/>
      <c r="E25" s="199"/>
      <c r="F25" s="197"/>
      <c r="G25" s="200" t="s">
        <v>1000</v>
      </c>
    </row>
    <row r="26" spans="1:7" s="140" customFormat="1">
      <c r="A26" s="194" t="s">
        <v>1001</v>
      </c>
      <c r="B26" s="164" t="s">
        <v>1002</v>
      </c>
      <c r="C26" s="196">
        <f ca="1">ROUND(IF('数据-取费表'!B22&lt;=1,F21*F22*'数据-取费表'!B22/2,F21*(POWER((1+F22),'数据-取费表'!B22/2)-1)),4)</f>
        <v>4.0000000000000002E-4</v>
      </c>
      <c r="D26" s="196"/>
      <c r="E26" s="199"/>
      <c r="F26" s="197"/>
      <c r="G26" s="201"/>
    </row>
    <row r="27" spans="1:7" s="140" customFormat="1" ht="24.75">
      <c r="A27" s="158" t="s">
        <v>1003</v>
      </c>
      <c r="B27" s="202" t="s">
        <v>1004</v>
      </c>
      <c r="C27" s="203">
        <f ca="1">C28</f>
        <v>697593</v>
      </c>
      <c r="D27" s="189">
        <f ca="1">C29</f>
        <v>3.0000000000000001E-3</v>
      </c>
      <c r="E27" s="190" t="s">
        <v>991</v>
      </c>
      <c r="F27" s="204">
        <f ca="1">IF(B1="",'数据-取费表'!Q16,INDIRECT("'数据-取费表'!q"&amp;$G$1))</f>
        <v>0.15</v>
      </c>
      <c r="G27" s="205" t="s">
        <v>1005</v>
      </c>
    </row>
    <row r="28" spans="1:7" s="140" customFormat="1" ht="13.5" customHeight="1">
      <c r="A28" s="194" t="s">
        <v>954</v>
      </c>
      <c r="B28" s="206" t="s">
        <v>1006</v>
      </c>
      <c r="C28" s="207">
        <f ca="1">ROUND((C5+C19+C20)*F27,0)</f>
        <v>697593</v>
      </c>
      <c r="D28" s="189"/>
      <c r="E28" s="190"/>
      <c r="F28" s="204"/>
      <c r="G28" s="205"/>
    </row>
    <row r="29" spans="1:7" s="140" customFormat="1" ht="13.5" customHeight="1">
      <c r="A29" s="194" t="s">
        <v>956</v>
      </c>
      <c r="B29" s="206" t="s">
        <v>1007</v>
      </c>
      <c r="C29" s="196">
        <f ca="1">ROUND(C21*F27,4)</f>
        <v>3.0000000000000001E-3</v>
      </c>
      <c r="D29" s="189"/>
      <c r="E29" s="190"/>
      <c r="F29" s="204"/>
      <c r="G29" s="205"/>
    </row>
    <row r="30" spans="1:7" s="140" customFormat="1" ht="13.5" customHeight="1">
      <c r="A30" s="158" t="s">
        <v>1008</v>
      </c>
      <c r="B30" s="159" t="s">
        <v>1009</v>
      </c>
      <c r="C30" s="189">
        <f>ROUND(F30/(1+'数据-取费表'!C42),4)</f>
        <v>5.33E-2</v>
      </c>
      <c r="D30" s="190" t="s">
        <v>991</v>
      </c>
      <c r="E30" s="199"/>
      <c r="F30" s="193">
        <f>'数据-取费表'!B41</f>
        <v>5.6000000000000001E-2</v>
      </c>
      <c r="G30" s="191" t="s">
        <v>1010</v>
      </c>
    </row>
    <row r="31" spans="1:7" ht="16.5" customHeight="1">
      <c r="A31" s="208">
        <v>1</v>
      </c>
      <c r="B31" s="159" t="s">
        <v>1011</v>
      </c>
      <c r="C31" s="160">
        <f ca="1">ROUND((C5+C19+C20+C22+C27)/(1-C21-D22-D27-C30),0)</f>
        <v>5999482</v>
      </c>
      <c r="D31" s="209"/>
      <c r="E31" s="160"/>
      <c r="F31" s="210"/>
      <c r="G31" s="191" t="s">
        <v>1012</v>
      </c>
    </row>
    <row r="32" spans="1:7" s="139" customFormat="1" ht="15.75">
      <c r="A32" s="211" t="s">
        <v>1045</v>
      </c>
      <c r="B32" s="212"/>
      <c r="C32" s="212"/>
      <c r="D32" s="212"/>
      <c r="E32" s="212"/>
      <c r="F32" s="212"/>
      <c r="G32" s="213"/>
    </row>
    <row r="33" spans="1:7" s="140" customFormat="1" ht="13.5" customHeight="1">
      <c r="A33" s="158" t="s">
        <v>950</v>
      </c>
      <c r="B33" s="159" t="s">
        <v>1046</v>
      </c>
      <c r="C33" s="214">
        <f ca="1">SUM(C34:C38)</f>
        <v>61837297</v>
      </c>
      <c r="D33" s="186"/>
      <c r="E33" s="161"/>
      <c r="F33" s="199"/>
      <c r="G33" s="191"/>
    </row>
    <row r="34" spans="1:7" s="142" customFormat="1" ht="13.5" customHeight="1">
      <c r="A34" s="194" t="s">
        <v>954</v>
      </c>
      <c r="B34" s="164" t="s">
        <v>1015</v>
      </c>
      <c r="C34" s="169">
        <f ca="1">ROUND(IF(B1="",SUMPRODUCT('数据-取费表'!K6:K14,'数据-取费表'!L6:L14),INDIRECT("'数据-取费表'!l"&amp;$G$1)*INDIRECT("'数据-取费表'!k"&amp;$G$1)+'数据-取费表'!L14*INDIRECT("'数据-取费表'!S"&amp;$G$1)),0)</f>
        <v>56992900</v>
      </c>
      <c r="D34" s="166"/>
      <c r="E34" s="169"/>
      <c r="F34" s="215"/>
      <c r="G34" s="168"/>
    </row>
    <row r="35" spans="1:7" ht="13.5" customHeight="1">
      <c r="A35" s="194" t="s">
        <v>956</v>
      </c>
      <c r="B35" s="164" t="s">
        <v>1017</v>
      </c>
      <c r="C35" s="169">
        <f ca="1">ROUND(C34*F35,0)</f>
        <v>1709787</v>
      </c>
      <c r="D35" s="169"/>
      <c r="E35" s="169"/>
      <c r="F35" s="216">
        <f>'数据-取费表'!B33</f>
        <v>0.03</v>
      </c>
      <c r="G35" s="168" t="s">
        <v>1018</v>
      </c>
    </row>
    <row r="36" spans="1:7" ht="24">
      <c r="A36" s="194" t="s">
        <v>958</v>
      </c>
      <c r="B36" s="164" t="s">
        <v>1019</v>
      </c>
      <c r="C36" s="169">
        <f ca="1">ROUND(IF(B1="",SUM('数据-取费表'!AP6:AP13)*F36,IF(INDIRECT("'数据-取费表'!c"&amp;$G$1)="住宅",INDIRECT("'数据-取费表'!k"&amp;$G$1)*INDIRECT("'数据-取费表'!l"&amp;$G$1)*F36,0)),0)</f>
        <v>0</v>
      </c>
      <c r="D36" s="169"/>
      <c r="E36" s="169"/>
      <c r="F36" s="216">
        <f>'数据-取费表'!B34</f>
        <v>0</v>
      </c>
      <c r="G36" s="217" t="s">
        <v>1020</v>
      </c>
    </row>
    <row r="37" spans="1:7" s="142" customFormat="1" ht="13.5" customHeight="1">
      <c r="A37" s="194" t="s">
        <v>1001</v>
      </c>
      <c r="B37" s="164" t="s">
        <v>1021</v>
      </c>
      <c r="C37" s="207">
        <f ca="1">ROUND(E37*D37,0)</f>
        <v>2279716</v>
      </c>
      <c r="D37" s="166">
        <f ca="1">D19</f>
        <v>11398.58</v>
      </c>
      <c r="E37" s="207">
        <f>'数据-取费表'!B35</f>
        <v>200</v>
      </c>
      <c r="F37" s="216"/>
      <c r="G37" s="218"/>
    </row>
    <row r="38" spans="1:7" ht="13.5" customHeight="1">
      <c r="A38" s="194" t="s">
        <v>1023</v>
      </c>
      <c r="B38" s="164" t="s">
        <v>886</v>
      </c>
      <c r="C38" s="169">
        <f ca="1">ROUND(C34*F38,0)</f>
        <v>854894</v>
      </c>
      <c r="D38" s="169"/>
      <c r="E38" s="169"/>
      <c r="F38" s="216">
        <f>'数据-取费表'!B36</f>
        <v>1.4999999999999999E-2</v>
      </c>
      <c r="G38" s="168" t="s">
        <v>1018</v>
      </c>
    </row>
    <row r="39" spans="1:7" s="140" customFormat="1" ht="13.5" customHeight="1">
      <c r="A39" s="158" t="s">
        <v>983</v>
      </c>
      <c r="B39" s="159" t="s">
        <v>987</v>
      </c>
      <c r="C39" s="186">
        <f ca="1">ROUND(C33*F20,0)</f>
        <v>1236746</v>
      </c>
      <c r="D39" s="186"/>
      <c r="E39" s="186"/>
      <c r="F39" s="2177">
        <f>F20</f>
        <v>0.02</v>
      </c>
      <c r="G39" s="191" t="s">
        <v>1024</v>
      </c>
    </row>
    <row r="40" spans="1:7" s="140" customFormat="1" ht="13.5" customHeight="1">
      <c r="A40" s="158" t="s">
        <v>986</v>
      </c>
      <c r="B40" s="159" t="s">
        <v>990</v>
      </c>
      <c r="C40" s="2178">
        <f>F21</f>
        <v>0.02</v>
      </c>
      <c r="D40" s="190" t="s">
        <v>1025</v>
      </c>
      <c r="E40" s="186"/>
      <c r="F40" s="2177">
        <f>F21</f>
        <v>0.02</v>
      </c>
      <c r="G40" s="191" t="s">
        <v>1026</v>
      </c>
    </row>
    <row r="41" spans="1:7" s="140" customFormat="1" ht="13.5" customHeight="1">
      <c r="A41" s="158" t="s">
        <v>989</v>
      </c>
      <c r="B41" s="159" t="s">
        <v>994</v>
      </c>
      <c r="C41" s="186">
        <f ca="1">ROUND(SUM(C42:C43),0)</f>
        <v>1308786</v>
      </c>
      <c r="D41" s="189">
        <f ca="1">C44</f>
        <v>4.0000000000000002E-4</v>
      </c>
      <c r="E41" s="190" t="s">
        <v>1025</v>
      </c>
      <c r="F41" s="2179">
        <f ca="1">F22</f>
        <v>4.1499999999999995E-2</v>
      </c>
      <c r="G41" s="191" t="str">
        <f>IF('数据-取费表'!B22&lt;=1,"单利计息","复利计息")</f>
        <v>单利计息</v>
      </c>
    </row>
    <row r="42" spans="1:7" ht="13.5" customHeight="1">
      <c r="A42" s="194" t="s">
        <v>954</v>
      </c>
      <c r="B42" s="164" t="s">
        <v>995</v>
      </c>
      <c r="C42" s="196">
        <f ca="1">ROUND(IF('数据-取费表'!B22&lt;=1,C33*F22*'数据-取费表'!B20/2,C33*(POWER((1+F22),'数据-取费表'!B20/2)-1)),0)</f>
        <v>1283124</v>
      </c>
      <c r="D42" s="196"/>
      <c r="E42" s="196"/>
      <c r="F42" s="197"/>
      <c r="G42" s="3418" t="s">
        <v>1047</v>
      </c>
    </row>
    <row r="43" spans="1:7" ht="13.5" customHeight="1">
      <c r="A43" s="194" t="s">
        <v>956</v>
      </c>
      <c r="B43" s="164" t="s">
        <v>997</v>
      </c>
      <c r="C43" s="196">
        <f ca="1">ROUND(IF('数据-取费表'!B22&lt;=1,C39*F22*'数据-取费表'!B20/2,C39*(POWER((1+F22),'数据-取费表'!B20/2)-1)),0)</f>
        <v>25662</v>
      </c>
      <c r="D43" s="196"/>
      <c r="E43" s="196"/>
      <c r="F43" s="197"/>
      <c r="G43" s="3419"/>
    </row>
    <row r="44" spans="1:7" ht="13.5" customHeight="1">
      <c r="A44" s="194" t="s">
        <v>958</v>
      </c>
      <c r="B44" s="164" t="s">
        <v>999</v>
      </c>
      <c r="C44" s="196">
        <f ca="1">ROUND(IF('数据-取费表'!B22&lt;=1,C40*F22*'数据-取费表'!B20/2,C40*(POWER((1+F22),'数据-取费表'!B20/2)-1)),4)</f>
        <v>4.0000000000000002E-4</v>
      </c>
      <c r="D44" s="196"/>
      <c r="E44" s="196"/>
      <c r="F44" s="197"/>
      <c r="G44" s="3420"/>
    </row>
    <row r="45" spans="1:7" s="140" customFormat="1" ht="13.5" customHeight="1">
      <c r="A45" s="158" t="s">
        <v>993</v>
      </c>
      <c r="B45" s="202" t="s">
        <v>1004</v>
      </c>
      <c r="C45" s="203">
        <f ca="1">C46</f>
        <v>9461106</v>
      </c>
      <c r="D45" s="189">
        <f ca="1">C47</f>
        <v>3.0000000000000001E-3</v>
      </c>
      <c r="E45" s="190" t="s">
        <v>1025</v>
      </c>
      <c r="F45" s="2180">
        <f ca="1">F27</f>
        <v>0.15</v>
      </c>
      <c r="G45" s="205" t="s">
        <v>1028</v>
      </c>
    </row>
    <row r="46" spans="1:7" s="140" customFormat="1" ht="13.5" customHeight="1">
      <c r="A46" s="194" t="s">
        <v>954</v>
      </c>
      <c r="B46" s="206" t="s">
        <v>1029</v>
      </c>
      <c r="C46" s="207">
        <f ca="1">ROUND((C33+C39)*F27,0)</f>
        <v>9461106</v>
      </c>
      <c r="D46" s="220"/>
      <c r="E46" s="190"/>
      <c r="F46" s="204"/>
      <c r="G46" s="205"/>
    </row>
    <row r="47" spans="1:7" s="140" customFormat="1" ht="13.5" customHeight="1">
      <c r="A47" s="194" t="s">
        <v>956</v>
      </c>
      <c r="B47" s="206" t="s">
        <v>1030</v>
      </c>
      <c r="C47" s="196">
        <f ca="1">ROUND(C40*F27,4)</f>
        <v>3.0000000000000001E-3</v>
      </c>
      <c r="D47" s="220"/>
      <c r="E47" s="190"/>
      <c r="F47" s="204"/>
      <c r="G47" s="205"/>
    </row>
    <row r="48" spans="1:7" s="140" customFormat="1" ht="13.5" customHeight="1">
      <c r="A48" s="158" t="s">
        <v>1003</v>
      </c>
      <c r="B48" s="159" t="s">
        <v>1009</v>
      </c>
      <c r="C48" s="219">
        <f>ROUND(F30/(1+'数据-取费表'!C42),4)</f>
        <v>5.33E-2</v>
      </c>
      <c r="D48" s="190" t="s">
        <v>1025</v>
      </c>
      <c r="E48" s="186"/>
      <c r="F48" s="2179">
        <f>F30</f>
        <v>5.6000000000000001E-2</v>
      </c>
      <c r="G48" s="191" t="s">
        <v>1031</v>
      </c>
    </row>
    <row r="49" spans="1:7" ht="16.5" customHeight="1">
      <c r="A49" s="158" t="s">
        <v>1008</v>
      </c>
      <c r="B49" s="159" t="s">
        <v>1048</v>
      </c>
      <c r="C49" s="186">
        <f ca="1">ROUND((C33+C39+C41+C45)/(1-C40-D41-D45-C48),0)</f>
        <v>79978268</v>
      </c>
      <c r="D49" s="186"/>
      <c r="E49" s="186"/>
      <c r="F49" s="221"/>
      <c r="G49" s="191" t="s">
        <v>1033</v>
      </c>
    </row>
    <row r="50" spans="1:7" s="142" customFormat="1">
      <c r="A50" s="158" t="s">
        <v>1034</v>
      </c>
      <c r="B50" s="159" t="s">
        <v>1035</v>
      </c>
      <c r="C50" s="186"/>
      <c r="D50" s="186"/>
      <c r="E50" s="186"/>
      <c r="F50" s="221">
        <f>IF('数据-取费表'!B24=0,'数据-取费表'!N16,1)</f>
        <v>0.98</v>
      </c>
      <c r="G50" s="205"/>
    </row>
    <row r="51" spans="1:7" ht="16.5" customHeight="1">
      <c r="A51" s="158" t="s">
        <v>1037</v>
      </c>
      <c r="B51" s="159" t="s">
        <v>1049</v>
      </c>
      <c r="C51" s="186">
        <f ca="1">ROUND(C49*F50,0)</f>
        <v>78378703</v>
      </c>
      <c r="D51" s="186"/>
      <c r="E51" s="186"/>
      <c r="F51" s="221"/>
      <c r="G51" s="191" t="s">
        <v>1039</v>
      </c>
    </row>
    <row r="52" spans="1:7" s="139" customFormat="1" ht="15.75">
      <c r="A52" s="222" t="s">
        <v>1040</v>
      </c>
      <c r="B52" s="223"/>
      <c r="C52" s="224">
        <f ca="1">C31+C51</f>
        <v>84378185</v>
      </c>
      <c r="D52" s="223"/>
      <c r="E52" s="223"/>
      <c r="F52" s="223"/>
      <c r="G52" s="225"/>
    </row>
    <row r="55" spans="1:7" ht="15">
      <c r="B55" s="226" t="s">
        <v>1041</v>
      </c>
      <c r="C55" s="227"/>
    </row>
    <row r="56" spans="1:7">
      <c r="B56" s="228" t="s">
        <v>1042</v>
      </c>
      <c r="C56" s="230">
        <f ca="1">1-C57</f>
        <v>7.0999999999999952E-2</v>
      </c>
    </row>
    <row r="57" spans="1:7">
      <c r="B57" s="228" t="s">
        <v>1043</v>
      </c>
      <c r="C57" s="229">
        <f ca="1">ROUND(C51/C52,3)</f>
        <v>0.92900000000000005</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1050</v>
      </c>
      <c r="B1" s="1894"/>
      <c r="C1" s="2082"/>
      <c r="D1" s="2083"/>
      <c r="E1" s="2084"/>
      <c r="F1" s="2084"/>
      <c r="G1" s="2085"/>
      <c r="H1" s="2084"/>
      <c r="I1" s="2084"/>
      <c r="J1" s="2084"/>
      <c r="K1" s="2154">
        <f>MATCH(C1,'数据-取费表'!A6:A16,0)+5</f>
        <v>7</v>
      </c>
    </row>
    <row r="2" spans="1:33" ht="18" customHeight="1">
      <c r="A2" s="150" t="s">
        <v>945</v>
      </c>
      <c r="B2" s="154">
        <f ca="1">C32</f>
        <v>-260</v>
      </c>
      <c r="C2" s="2086" t="s">
        <v>1051</v>
      </c>
      <c r="D2" s="2086"/>
      <c r="E2" s="2084"/>
      <c r="F2" s="2084"/>
      <c r="G2" s="2084"/>
      <c r="H2" s="2084"/>
      <c r="I2" s="2084"/>
      <c r="J2" s="2084"/>
      <c r="K2" s="2084"/>
    </row>
    <row r="3" spans="1:33" ht="18" customHeight="1">
      <c r="A3" s="153" t="s">
        <v>947</v>
      </c>
      <c r="B3" s="154">
        <f ca="1">ROUND(B2*10000/IF(C1="",'数据-汇总表'!E3,INDIRECT("'数据-取费表'!K"&amp;$K$1)),0)</f>
        <v>-228</v>
      </c>
      <c r="C3" s="2086" t="s">
        <v>1052</v>
      </c>
      <c r="D3" s="2086"/>
      <c r="E3" s="2084"/>
      <c r="F3" s="2084"/>
      <c r="G3" s="2084"/>
      <c r="H3" s="2084"/>
      <c r="I3" s="2084"/>
      <c r="J3" s="2084"/>
      <c r="K3" s="2084"/>
    </row>
    <row r="4" spans="1:33" s="2071" customFormat="1" ht="16.5" customHeight="1">
      <c r="A4" s="2087" t="s">
        <v>1053</v>
      </c>
      <c r="B4" s="2088"/>
      <c r="C4" s="2089">
        <f>SUM(C8:K8)</f>
        <v>0</v>
      </c>
      <c r="D4" s="2088"/>
      <c r="E4" s="2088"/>
      <c r="F4" s="2088"/>
      <c r="G4" s="2088"/>
      <c r="H4" s="2088"/>
      <c r="I4" s="2088"/>
      <c r="J4" s="2088"/>
      <c r="K4" s="2155"/>
    </row>
    <row r="5" spans="1:33" s="2072" customFormat="1" ht="24.75">
      <c r="A5" s="2090" t="s">
        <v>1054</v>
      </c>
      <c r="B5" s="2091" t="s">
        <v>1055</v>
      </c>
      <c r="C5" s="2092" t="s">
        <v>1056</v>
      </c>
      <c r="D5" s="2092" t="s">
        <v>1057</v>
      </c>
      <c r="E5" s="2092" t="s">
        <v>1058</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855</v>
      </c>
      <c r="B6" s="1857" t="s">
        <v>1059</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859</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904</v>
      </c>
      <c r="B8" s="2097" t="s">
        <v>1060</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1061</v>
      </c>
      <c r="B9" s="2088"/>
      <c r="C9" s="2088"/>
      <c r="D9" s="2088"/>
      <c r="E9" s="2088"/>
      <c r="F9" s="2088"/>
      <c r="G9" s="2088"/>
      <c r="H9" s="2088"/>
      <c r="I9" s="2088"/>
      <c r="J9" s="2088"/>
      <c r="K9" s="2155"/>
    </row>
    <row r="10" spans="1:33" s="2074" customFormat="1" ht="13.5" customHeight="1">
      <c r="A10" s="2090" t="s">
        <v>1054</v>
      </c>
      <c r="B10" s="2100" t="s">
        <v>1055</v>
      </c>
      <c r="C10" s="2101" t="s">
        <v>1062</v>
      </c>
      <c r="D10" s="2102" t="s">
        <v>1063</v>
      </c>
      <c r="E10" s="2102" t="s">
        <v>1064</v>
      </c>
      <c r="F10" s="2102" t="s">
        <v>1065</v>
      </c>
      <c r="G10" s="2100"/>
      <c r="H10" s="2103"/>
      <c r="I10" s="2103"/>
      <c r="J10" s="2103"/>
      <c r="K10" s="2161"/>
    </row>
    <row r="11" spans="1:33" s="2075" customFormat="1" ht="13.5" customHeight="1">
      <c r="A11" s="2104" t="s">
        <v>961</v>
      </c>
      <c r="B11" s="2105" t="s">
        <v>1066</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965</v>
      </c>
      <c r="B12" s="2105" t="s">
        <v>1067</v>
      </c>
      <c r="C12" s="293">
        <f ca="1">ROUND(C11*F12,0)</f>
        <v>0</v>
      </c>
      <c r="D12" s="2107"/>
      <c r="E12" s="1860"/>
      <c r="F12" s="2109">
        <f>'数据-取费表'!B33</f>
        <v>0.03</v>
      </c>
      <c r="G12" s="2100" t="s">
        <v>1068</v>
      </c>
      <c r="H12" s="2103"/>
      <c r="I12" s="2103"/>
      <c r="J12" s="2103"/>
      <c r="K12" s="2161"/>
    </row>
    <row r="13" spans="1:33" s="2075" customFormat="1" ht="13.5" customHeight="1">
      <c r="A13" s="2104" t="s">
        <v>1069</v>
      </c>
      <c r="B13" s="2105" t="s">
        <v>1070</v>
      </c>
      <c r="C13" s="293">
        <f ca="1">ROUND(IF(C1="",SUMIF('数据-取费表'!C:C,"住宅",'数据-取费表'!P:P)*F13,IF(INDIRECT("'数据-取费表'!c"&amp;$K$1)="住宅",INDIRECT("'数据-取费表'!P"&amp;$K$1)*F13,0)),0)</f>
        <v>0</v>
      </c>
      <c r="D13" s="2110"/>
      <c r="E13" s="1860"/>
      <c r="F13" s="2109">
        <f>'数据-取费表'!B34</f>
        <v>0</v>
      </c>
      <c r="G13" s="2100" t="s">
        <v>1071</v>
      </c>
      <c r="H13" s="2103"/>
      <c r="I13" s="2103"/>
      <c r="J13" s="2103"/>
      <c r="K13" s="2161"/>
    </row>
    <row r="14" spans="1:33" s="2076" customFormat="1" ht="13.5" customHeight="1">
      <c r="A14" s="2104" t="s">
        <v>1072</v>
      </c>
      <c r="B14" s="2105" t="s">
        <v>1073</v>
      </c>
      <c r="C14" s="293">
        <f ca="1">ROUND(D14*E14*F11/10000,0)</f>
        <v>0</v>
      </c>
      <c r="D14" s="2110">
        <f ca="1">IF(C1="",'数据-汇总表'!E3,INDIRECT("'数据-取费表'!K"&amp;$K$1)+INDIRECT("'数据-取费表'!S"&amp;$K$1))</f>
        <v>11398.58</v>
      </c>
      <c r="E14" s="293">
        <f>'数据-取费表'!B35</f>
        <v>200</v>
      </c>
      <c r="F14" s="2109"/>
      <c r="G14" s="2100" t="s">
        <v>1074</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1075</v>
      </c>
      <c r="B15" s="2105" t="s">
        <v>1076</v>
      </c>
      <c r="C15" s="2111">
        <f ca="1">ROUND(C11*F15,0)</f>
        <v>0</v>
      </c>
      <c r="D15" s="2112"/>
      <c r="E15" s="2111"/>
      <c r="F15" s="2113">
        <f>'数据-取费表'!B36</f>
        <v>1.4999999999999999E-2</v>
      </c>
      <c r="G15" s="1857" t="s">
        <v>1077</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878</v>
      </c>
      <c r="B16" s="2105" t="s">
        <v>1078</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882</v>
      </c>
      <c r="B17" s="2105" t="s">
        <v>1079</v>
      </c>
      <c r="C17" s="293">
        <f ca="1">ROUND(D17*E17/10000,0)</f>
        <v>0</v>
      </c>
      <c r="D17" s="2110">
        <f ca="1">D14</f>
        <v>11398.58</v>
      </c>
      <c r="E17" s="293">
        <f>'数据-取费表'!B32</f>
        <v>0</v>
      </c>
      <c r="F17" s="2112"/>
      <c r="G17" s="1857" t="s">
        <v>1080</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1081</v>
      </c>
      <c r="B18" s="2105" t="s">
        <v>1082</v>
      </c>
      <c r="C18" s="293">
        <f ca="1">C19+C20-IF(C1="",'数据-取费表'!B29,IF(G18="已全部缴纳",C19+C20,H18))</f>
        <v>228</v>
      </c>
      <c r="D18" s="2110"/>
      <c r="E18" s="293"/>
      <c r="F18" s="2109"/>
      <c r="G18" s="2115"/>
      <c r="H18" s="2116"/>
      <c r="I18" s="2162" t="s">
        <v>1083</v>
      </c>
      <c r="J18" s="1971"/>
      <c r="K18" s="1972"/>
    </row>
    <row r="19" spans="1:33" s="2075" customFormat="1" ht="13.5" customHeight="1">
      <c r="A19" s="2104" t="s">
        <v>961</v>
      </c>
      <c r="B19" s="2105" t="s">
        <v>349</v>
      </c>
      <c r="C19" s="293">
        <f ca="1">ROUND(D19*E19/10000,0)</f>
        <v>0</v>
      </c>
      <c r="D19" s="2110">
        <f ca="1">IF(C1="",'数据-汇总表'!E5,IF(INDIRECT("'数据-取费表'!c"&amp;$K$1)="住宅",INDIRECT("'数据-取费表'!k"&amp;$K$1),0))</f>
        <v>0</v>
      </c>
      <c r="E19" s="293">
        <f>'数据-取费表'!B27</f>
        <v>0</v>
      </c>
      <c r="F19" s="2109"/>
      <c r="G19" s="1970"/>
      <c r="H19" s="2117"/>
      <c r="I19" s="2118"/>
      <c r="J19" s="2118"/>
      <c r="K19" s="2163"/>
    </row>
    <row r="20" spans="1:33" s="2075" customFormat="1" ht="13.5" customHeight="1">
      <c r="A20" s="2104" t="s">
        <v>965</v>
      </c>
      <c r="B20" s="2105" t="s">
        <v>1084</v>
      </c>
      <c r="C20" s="293">
        <f ca="1">ROUND(D20*E20/10000,0)</f>
        <v>228</v>
      </c>
      <c r="D20" s="2110">
        <f ca="1">IF(C1="",'数据-汇总表'!E6,IF(INDIRECT("'数据-取费表'!c"&amp;$K$1)="住宅",INDIRECT("'数据-取费表'!s"&amp;$K$1),INDIRECT("'数据-取费表'!k"&amp;$K$1)+INDIRECT("'数据-取费表'!s"&amp;$K$1)))</f>
        <v>11398.58</v>
      </c>
      <c r="E20" s="293">
        <f>'数据-取费表'!B28</f>
        <v>200</v>
      </c>
      <c r="F20" s="2109"/>
      <c r="G20" s="1970"/>
      <c r="H20" s="2118"/>
      <c r="I20" s="2118"/>
      <c r="J20" s="2118"/>
      <c r="K20" s="2163"/>
    </row>
    <row r="21" spans="1:33" s="2075" customFormat="1" ht="13.5" customHeight="1">
      <c r="A21" s="2093" t="s">
        <v>855</v>
      </c>
      <c r="B21" s="2119" t="s">
        <v>1085</v>
      </c>
      <c r="C21" s="2120">
        <f ca="1">C16+C17+C18</f>
        <v>228</v>
      </c>
      <c r="D21" s="2121"/>
      <c r="E21" s="2122"/>
      <c r="F21" s="2122"/>
      <c r="G21" s="1857" t="s">
        <v>1086</v>
      </c>
      <c r="H21" s="1971"/>
      <c r="I21" s="1971"/>
      <c r="J21" s="1971"/>
      <c r="K21" s="1972"/>
    </row>
    <row r="22" spans="1:33" s="2075" customFormat="1" ht="13.5" customHeight="1">
      <c r="A22" s="2093" t="s">
        <v>859</v>
      </c>
      <c r="B22" s="2119" t="s">
        <v>1087</v>
      </c>
      <c r="C22" s="2120">
        <f ca="1">ROUND(C21*F22,0)</f>
        <v>5</v>
      </c>
      <c r="D22" s="2122"/>
      <c r="E22" s="2122"/>
      <c r="F22" s="2123">
        <f>'数据-取费表'!B37</f>
        <v>0.02</v>
      </c>
      <c r="G22" s="2100" t="s">
        <v>1088</v>
      </c>
      <c r="H22" s="2103"/>
      <c r="I22" s="2103"/>
      <c r="J22" s="2103"/>
      <c r="K22" s="2161"/>
    </row>
    <row r="23" spans="1:33" s="2075" customFormat="1" ht="13.5" customHeight="1">
      <c r="A23" s="2093" t="s">
        <v>904</v>
      </c>
      <c r="B23" s="2119" t="s">
        <v>1089</v>
      </c>
      <c r="C23" s="2120">
        <f ca="1">ROUND(C4*F23*F11,0)</f>
        <v>0</v>
      </c>
      <c r="D23" s="2122"/>
      <c r="E23" s="2122"/>
      <c r="F23" s="2123">
        <f>'数据-取费表'!B38</f>
        <v>0.02</v>
      </c>
      <c r="G23" s="2100" t="s">
        <v>1090</v>
      </c>
      <c r="H23" s="2103"/>
      <c r="I23" s="2103"/>
      <c r="J23" s="2103"/>
      <c r="K23" s="2161"/>
    </row>
    <row r="24" spans="1:33" s="2075" customFormat="1" ht="13.5" customHeight="1">
      <c r="A24" s="2093" t="s">
        <v>907</v>
      </c>
      <c r="B24" s="2119" t="s">
        <v>1091</v>
      </c>
      <c r="C24" s="2124">
        <f>ROUND(F24/(1+'数据-取费表'!C42),4)</f>
        <v>2.9000000000000001E-2</v>
      </c>
      <c r="D24" s="2122" t="s">
        <v>1092</v>
      </c>
      <c r="E24" s="2122"/>
      <c r="F24" s="2123">
        <f>IF(项目基本情况!B8="出让",0,'数据-取费表'!B48+'数据-取费表'!B49)</f>
        <v>3.0499999999999999E-2</v>
      </c>
      <c r="G24" s="2100" t="s">
        <v>1093</v>
      </c>
      <c r="H24" s="2125"/>
      <c r="I24" s="2125"/>
      <c r="J24" s="2125"/>
      <c r="K24" s="2164"/>
    </row>
    <row r="25" spans="1:33" s="2075" customFormat="1" ht="13.5" customHeight="1">
      <c r="A25" s="2093" t="s">
        <v>911</v>
      </c>
      <c r="B25" s="2121" t="s">
        <v>1094</v>
      </c>
      <c r="C25" s="2126">
        <f ca="1">C27</f>
        <v>0</v>
      </c>
      <c r="D25" s="2124">
        <f ca="1">C26</f>
        <v>0</v>
      </c>
      <c r="E25" s="2127" t="s">
        <v>1092</v>
      </c>
      <c r="F25" s="2128">
        <f ca="1">'数据-取费表'!B40</f>
        <v>4.1499999999999995E-2</v>
      </c>
      <c r="G25" s="1857" t="str">
        <f>IF('数据-取费表'!B22&lt;=1,"单利计息。","复利计息。")&amp;"后续开发成本、管理费用及销售费用产生的利息。"</f>
        <v>单利计息。后续开发成本、管理费用及销售费用产生的利息。</v>
      </c>
      <c r="H25" s="2125"/>
      <c r="I25" s="2125"/>
      <c r="J25" s="2125"/>
      <c r="K25" s="2164"/>
    </row>
    <row r="26" spans="1:33" s="2077" customFormat="1" ht="13.5" customHeight="1">
      <c r="A26" s="2104" t="s">
        <v>878</v>
      </c>
      <c r="B26" s="2129" t="s">
        <v>1095</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（(1)+取得税费率/(1+5%)）×年利率×建设期</v>
      </c>
      <c r="H26" s="1971"/>
      <c r="I26" s="1971"/>
      <c r="J26" s="1971"/>
      <c r="K26" s="1972"/>
    </row>
    <row r="27" spans="1:33" s="2077" customFormat="1" ht="13.5" customHeight="1">
      <c r="A27" s="2104" t="s">
        <v>882</v>
      </c>
      <c r="B27" s="2129" t="s">
        <v>1096</v>
      </c>
      <c r="C27" s="2135">
        <f ca="1">ROUND(IF('数据-取费表'!B22&lt;=1,(C21+C22+C23)*F25*'数据-取费表'!B24/2,(C21+C22+C23)*(POWER((1+F25),'数据-取费表'!B24/2)-1)),0)</f>
        <v>0</v>
      </c>
      <c r="D27" s="2131"/>
      <c r="E27" s="2132"/>
      <c r="F27" s="2133"/>
      <c r="G27" s="2134" t="str">
        <f>IF('数据-取费表'!B22&lt;=1,"（1）-（3）项×年利率×建设期÷2","（1）-（3）项×((1+年利率)^(建设期÷2)-1)")</f>
        <v>（1）-（3）项×年利率×建设期÷2</v>
      </c>
      <c r="H27" s="1971"/>
      <c r="I27" s="1971"/>
      <c r="J27" s="1971"/>
      <c r="K27" s="1972"/>
    </row>
    <row r="28" spans="1:33" s="2078" customFormat="1" ht="13.5" customHeight="1">
      <c r="A28" s="2093" t="s">
        <v>912</v>
      </c>
      <c r="B28" s="2136" t="s">
        <v>1097</v>
      </c>
      <c r="C28" s="2137">
        <f ca="1">C30</f>
        <v>35</v>
      </c>
      <c r="D28" s="2124">
        <f ca="1">C29</f>
        <v>0</v>
      </c>
      <c r="E28" s="2127" t="s">
        <v>1092</v>
      </c>
      <c r="F28" s="1139">
        <f ca="1">IF(C1="",'数据-取费表'!Q16,INDIRECT("'数据-取费表'!q"&amp;$K$1))</f>
        <v>0.15</v>
      </c>
      <c r="G28" s="2138"/>
      <c r="H28" s="2125"/>
      <c r="I28" s="2125"/>
      <c r="J28" s="2125"/>
      <c r="K28" s="2164"/>
    </row>
    <row r="29" spans="1:33" s="2079" customFormat="1" ht="13.5" customHeight="1">
      <c r="A29" s="2104" t="s">
        <v>878</v>
      </c>
      <c r="B29" s="2139" t="s">
        <v>1098</v>
      </c>
      <c r="C29" s="2131">
        <f ca="1">ROUND((1+C24)*F28*'数据-取费表'!B24/'数据-取费表'!B20,4)</f>
        <v>0</v>
      </c>
      <c r="D29" s="2131"/>
      <c r="E29" s="2132"/>
      <c r="F29" s="2140"/>
      <c r="G29" s="1857" t="s">
        <v>1099</v>
      </c>
      <c r="H29" s="1971"/>
      <c r="I29" s="1971"/>
      <c r="J29" s="1971"/>
      <c r="K29" s="1972"/>
    </row>
    <row r="30" spans="1:33" s="2079" customFormat="1" ht="13.5" customHeight="1">
      <c r="A30" s="2104" t="s">
        <v>882</v>
      </c>
      <c r="B30" s="2139" t="s">
        <v>1100</v>
      </c>
      <c r="C30" s="2141">
        <f ca="1">ROUND((C21+C22+C23)*F28,0)</f>
        <v>35</v>
      </c>
      <c r="D30" s="2131"/>
      <c r="E30" s="2132"/>
      <c r="F30" s="2140"/>
      <c r="G30" s="1857"/>
      <c r="H30" s="1971"/>
      <c r="I30" s="1971"/>
      <c r="J30" s="1971"/>
      <c r="K30" s="1972"/>
    </row>
    <row r="31" spans="1:33" s="2075" customFormat="1" ht="13.5" customHeight="1">
      <c r="A31" s="2142" t="s">
        <v>1101</v>
      </c>
      <c r="B31" s="2143" t="s">
        <v>1102</v>
      </c>
      <c r="C31" s="2144">
        <f>ROUND(C4*F31/(1+'数据-取费表'!C42),0)</f>
        <v>0</v>
      </c>
      <c r="D31" s="2145"/>
      <c r="E31" s="2146"/>
      <c r="F31" s="2147">
        <f>'数据-取费表'!B41</f>
        <v>5.6000000000000001E-2</v>
      </c>
      <c r="G31" s="2148" t="s">
        <v>1103</v>
      </c>
      <c r="H31" s="2149"/>
      <c r="I31" s="2149"/>
      <c r="J31" s="2149"/>
      <c r="K31" s="2165"/>
    </row>
    <row r="32" spans="1:33" s="2074" customFormat="1" ht="13.5" customHeight="1">
      <c r="A32" s="2150" t="s">
        <v>1104</v>
      </c>
      <c r="B32" s="2151"/>
      <c r="C32" s="2152">
        <f ca="1">ROUND((C4-C21-C22-C23-C25-C28-C31)/(1+C24+D25+D28),0)</f>
        <v>-260</v>
      </c>
      <c r="D32" s="2151"/>
      <c r="E32" s="2151"/>
      <c r="F32" s="2151"/>
      <c r="G32" s="2153" t="s">
        <v>1105</v>
      </c>
      <c r="H32" s="2151"/>
      <c r="I32" s="2151"/>
      <c r="J32" s="2151"/>
      <c r="K32" s="2166"/>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0" zoomScaleNormal="70" zoomScaleSheetLayoutView="80" workbookViewId="0">
      <selection activeCell="M27" activeCellId="1" sqref="F41 M2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1106</v>
      </c>
      <c r="B1" s="1129"/>
      <c r="C1" s="1788" t="s">
        <v>529</v>
      </c>
      <c r="D1" s="1789" t="s">
        <v>124</v>
      </c>
      <c r="E1" s="1790" t="s">
        <v>1107</v>
      </c>
      <c r="F1" s="1791">
        <f ca="1">J53</f>
        <v>33.06</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1108</v>
      </c>
      <c r="B2" s="1794">
        <f ca="1">C40+J29+L46</f>
        <v>23109</v>
      </c>
      <c r="C2" s="1795" t="s">
        <v>1109</v>
      </c>
      <c r="D2" s="1795"/>
      <c r="E2" s="1797"/>
      <c r="F2" s="1798"/>
      <c r="G2" s="1799"/>
      <c r="H2" s="1800"/>
      <c r="I2" s="1800"/>
      <c r="J2" s="1800"/>
      <c r="K2" s="1958"/>
      <c r="L2" s="1800"/>
      <c r="M2" s="1800"/>
    </row>
    <row r="3" spans="1:37" ht="18" customHeight="1">
      <c r="A3" s="1801" t="s">
        <v>1110</v>
      </c>
      <c r="B3" s="1802">
        <f ca="1">IF(ISERROR(B2*10000/F43),0,ROUND(B2*10000/F43,0))</f>
        <v>20274</v>
      </c>
      <c r="C3" s="1795" t="s">
        <v>1111</v>
      </c>
      <c r="D3" s="1795"/>
      <c r="E3" s="1797"/>
      <c r="F3" s="1798"/>
      <c r="G3" s="1799"/>
      <c r="H3" s="1803" t="s">
        <v>1112</v>
      </c>
      <c r="I3" s="1959"/>
      <c r="J3" s="1959"/>
      <c r="K3" s="1960"/>
      <c r="L3" s="1959"/>
      <c r="M3" s="1959"/>
    </row>
    <row r="4" spans="1:37" ht="18" customHeight="1">
      <c r="A4" s="1804" t="s">
        <v>1113</v>
      </c>
      <c r="B4" s="1805" t="s">
        <v>1114</v>
      </c>
      <c r="C4" s="1805" t="s">
        <v>1115</v>
      </c>
      <c r="D4" s="1805" t="s">
        <v>1116</v>
      </c>
      <c r="E4" s="1806" t="s">
        <v>1117</v>
      </c>
      <c r="F4" s="1807"/>
      <c r="G4" s="773"/>
      <c r="H4" s="1804" t="s">
        <v>1113</v>
      </c>
      <c r="I4" s="1805" t="s">
        <v>1114</v>
      </c>
      <c r="J4" s="1805" t="s">
        <v>1115</v>
      </c>
      <c r="K4" s="1805" t="s">
        <v>1116</v>
      </c>
      <c r="L4" s="1806" t="s">
        <v>1117</v>
      </c>
      <c r="M4" s="1807"/>
    </row>
    <row r="5" spans="1:37" ht="18" customHeight="1">
      <c r="A5" s="1808">
        <v>1</v>
      </c>
      <c r="B5" s="1809" t="s">
        <v>1118</v>
      </c>
      <c r="C5" s="1810">
        <f ca="1">C6+C10+C12</f>
        <v>1689</v>
      </c>
      <c r="D5" s="1811" t="s">
        <v>1119</v>
      </c>
      <c r="E5" s="1812"/>
      <c r="F5" s="1813"/>
      <c r="G5" s="773"/>
      <c r="H5" s="1808">
        <v>1</v>
      </c>
      <c r="I5" s="1809" t="s">
        <v>1118</v>
      </c>
      <c r="J5" s="1810">
        <f ca="1">J6+J10+J12</f>
        <v>1644</v>
      </c>
      <c r="K5" s="1811" t="s">
        <v>1119</v>
      </c>
      <c r="L5" s="1812"/>
      <c r="M5" s="1813"/>
    </row>
    <row r="6" spans="1:37" ht="18" customHeight="1">
      <c r="A6" s="1814" t="s">
        <v>855</v>
      </c>
      <c r="B6" s="3423" t="s">
        <v>1120</v>
      </c>
      <c r="C6" s="1815">
        <f ca="1">ROUND(F6*F8*F7*(1-F9)/10000,0)</f>
        <v>1685</v>
      </c>
      <c r="D6" s="1816" t="s">
        <v>1121</v>
      </c>
      <c r="E6" s="1817" t="s">
        <v>1122</v>
      </c>
      <c r="F6" s="1818">
        <f ca="1">INDIRECT("'数据-取费表'!u"&amp;$G$1)</f>
        <v>4.05</v>
      </c>
      <c r="G6" s="773"/>
      <c r="H6" s="1814" t="s">
        <v>855</v>
      </c>
      <c r="I6" s="3423" t="s">
        <v>1120</v>
      </c>
      <c r="J6" s="1889">
        <f ca="1">ROUND(M6*M8*M7*(1-M9)/10000,0)</f>
        <v>1640</v>
      </c>
      <c r="K6" s="1816" t="s">
        <v>1123</v>
      </c>
      <c r="L6" s="1817" t="s">
        <v>1122</v>
      </c>
      <c r="M6" s="1818">
        <f ca="1">INDIRECT("'数据-取费表'!z"&amp;$G$1)</f>
        <v>4.38</v>
      </c>
    </row>
    <row r="7" spans="1:37" ht="18" customHeight="1">
      <c r="A7" s="1819"/>
      <c r="B7" s="3424"/>
      <c r="C7" s="1820"/>
      <c r="D7" s="1821"/>
      <c r="E7" s="1822" t="s">
        <v>1124</v>
      </c>
      <c r="F7" s="1818">
        <f ca="1">IF(INDIRECT("'数据-取费表'!ah"&amp;$G$1)="",INDIRECT("'数据-取费表'!k"&amp;$G$1),INDIRECT("'数据-取费表'!ah"&amp;$G$1))</f>
        <v>11398.58</v>
      </c>
      <c r="G7" s="773"/>
      <c r="H7" s="1823"/>
      <c r="I7" s="3424"/>
      <c r="J7" s="1824"/>
      <c r="K7" s="1821"/>
      <c r="L7" s="1817" t="s">
        <v>1124</v>
      </c>
      <c r="M7" s="1818">
        <f ca="1">F7</f>
        <v>11398.58</v>
      </c>
    </row>
    <row r="8" spans="1:37" ht="18" customHeight="1">
      <c r="A8" s="1823"/>
      <c r="B8" s="3424"/>
      <c r="C8" s="1824"/>
      <c r="D8" s="1821"/>
      <c r="E8" s="1817" t="s">
        <v>1125</v>
      </c>
      <c r="F8" s="1818">
        <f ca="1">INDIRECT("'数据-取费表'!ai"&amp;$G$1)</f>
        <v>365</v>
      </c>
      <c r="G8" s="773"/>
      <c r="H8" s="1823"/>
      <c r="I8" s="3424"/>
      <c r="J8" s="1824"/>
      <c r="K8" s="1821"/>
      <c r="L8" s="1817" t="s">
        <v>1125</v>
      </c>
      <c r="M8" s="1818">
        <f ca="1">INDIRECT("'数据-取费表'!ai"&amp;$G$1)</f>
        <v>365</v>
      </c>
    </row>
    <row r="9" spans="1:37" ht="18" customHeight="1">
      <c r="A9" s="1823"/>
      <c r="B9" s="3425"/>
      <c r="C9" s="1824"/>
      <c r="D9" s="1821"/>
      <c r="E9" s="1817" t="s">
        <v>1126</v>
      </c>
      <c r="F9" s="1825">
        <f ca="1">INDIRECT("'数据-取费表'!w"&amp;$G$1)</f>
        <v>0</v>
      </c>
      <c r="G9" s="773"/>
      <c r="H9" s="1823"/>
      <c r="I9" s="3425"/>
      <c r="J9" s="1824"/>
      <c r="K9" s="1821"/>
      <c r="L9" s="1828" t="s">
        <v>1126</v>
      </c>
      <c r="M9" s="1833">
        <f ca="1">INDIRECT("'数据-取费表'!ab"&amp;$G$1)</f>
        <v>0.1</v>
      </c>
    </row>
    <row r="10" spans="1:37" ht="18" customHeight="1">
      <c r="A10" s="1814" t="s">
        <v>859</v>
      </c>
      <c r="B10" s="1826" t="s">
        <v>1127</v>
      </c>
      <c r="C10" s="292">
        <f ca="1">ROUND(IF(F10="押一",C6/12*F11,IF(F10="押二",C6/12*2*F11,IF(F10="押三",C6/12*3*F11,C11*F11))),0)</f>
        <v>4</v>
      </c>
      <c r="D10" s="1827" t="s">
        <v>1128</v>
      </c>
      <c r="E10" s="1828" t="s">
        <v>1129</v>
      </c>
      <c r="F10" s="1829" t="s">
        <v>1130</v>
      </c>
      <c r="G10" s="773"/>
      <c r="H10" s="1814" t="s">
        <v>859</v>
      </c>
      <c r="I10" s="1826" t="s">
        <v>1127</v>
      </c>
      <c r="J10" s="1889">
        <f ca="1">ROUND(IF(M10="押一",J6/12*M11,IF(M10="押二",J6/12*2*M11,IF(M10="押三",J6/12*3*M11,J11*M11))),0)</f>
        <v>4</v>
      </c>
      <c r="K10" s="1827" t="s">
        <v>1128</v>
      </c>
      <c r="L10" s="1828" t="s">
        <v>1129</v>
      </c>
      <c r="M10" s="1829" t="s">
        <v>1131</v>
      </c>
    </row>
    <row r="11" spans="1:37" ht="18" customHeight="1">
      <c r="A11" s="1830"/>
      <c r="B11" s="1831" t="s">
        <v>1132</v>
      </c>
      <c r="C11" s="1832">
        <v>250.31280000000001</v>
      </c>
      <c r="D11" s="2064"/>
      <c r="E11" s="1828" t="s">
        <v>1133</v>
      </c>
      <c r="F11" s="1833">
        <f ca="1">'数据-取费表'!B39</f>
        <v>1.4999999999999999E-2</v>
      </c>
      <c r="G11" s="773"/>
      <c r="H11" s="1834"/>
      <c r="I11" s="1831" t="s">
        <v>1132</v>
      </c>
      <c r="J11" s="1832"/>
      <c r="K11" s="1963"/>
      <c r="L11" s="1828" t="s">
        <v>1133</v>
      </c>
      <c r="M11" s="1964">
        <f ca="1">'数据-取费表'!B39</f>
        <v>1.4999999999999999E-2</v>
      </c>
    </row>
    <row r="12" spans="1:37" ht="18" customHeight="1">
      <c r="A12" s="1835" t="s">
        <v>904</v>
      </c>
      <c r="B12" s="1836" t="s">
        <v>1134</v>
      </c>
      <c r="C12" s="1837"/>
      <c r="D12" s="1838"/>
      <c r="E12" s="1839"/>
      <c r="F12" s="1840"/>
      <c r="G12" s="773"/>
      <c r="H12" s="1835" t="s">
        <v>904</v>
      </c>
      <c r="I12" s="1836" t="s">
        <v>1134</v>
      </c>
      <c r="J12" s="1837"/>
      <c r="K12" s="1965"/>
      <c r="L12" s="1839"/>
      <c r="M12" s="1966"/>
    </row>
    <row r="13" spans="1:37" ht="18" customHeight="1">
      <c r="A13" s="1841">
        <v>2</v>
      </c>
      <c r="B13" s="1842" t="s">
        <v>1135</v>
      </c>
      <c r="C13" s="1843">
        <f ca="1">ROUND(C29*F13,0)</f>
        <v>7837</v>
      </c>
      <c r="D13" s="1844" t="s">
        <v>1136</v>
      </c>
      <c r="E13" s="1844" t="s">
        <v>1137</v>
      </c>
      <c r="F13" s="1845">
        <f ca="1">INDIRECT("'数据-取费表'!y"&amp;$G$1)</f>
        <v>0.98</v>
      </c>
      <c r="G13" s="773"/>
      <c r="H13" s="1841">
        <v>2</v>
      </c>
      <c r="I13" s="1842" t="s">
        <v>1135</v>
      </c>
      <c r="J13" s="1967">
        <f ca="1">ROUND(J14*J15,0)</f>
        <v>6158</v>
      </c>
      <c r="K13" s="1867" t="s">
        <v>1136</v>
      </c>
      <c r="L13" s="1968"/>
      <c r="M13" s="1969"/>
    </row>
    <row r="14" spans="1:37" ht="18" customHeight="1">
      <c r="A14" s="1846" t="s">
        <v>878</v>
      </c>
      <c r="B14" s="1817" t="s">
        <v>1138</v>
      </c>
      <c r="C14" s="1847">
        <f ca="1">INDIRECT("'数据-取费表'!m"&amp;$G$1)+INDIRECT("'数据-取费表'!t"&amp;$G$1)</f>
        <v>5699</v>
      </c>
      <c r="D14" s="1848" t="s">
        <v>1139</v>
      </c>
      <c r="E14" s="1849"/>
      <c r="F14" s="1850"/>
      <c r="G14" s="773"/>
      <c r="H14" s="1846" t="s">
        <v>855</v>
      </c>
      <c r="I14" s="1817" t="s">
        <v>1140</v>
      </c>
      <c r="J14" s="293">
        <f ca="1">C29</f>
        <v>7997</v>
      </c>
      <c r="K14" s="1970"/>
      <c r="L14" s="1971"/>
      <c r="M14" s="1972"/>
    </row>
    <row r="15" spans="1:37" s="1785" customFormat="1" ht="18" customHeight="1">
      <c r="A15" s="1846" t="s">
        <v>882</v>
      </c>
      <c r="B15" s="1817" t="s">
        <v>1067</v>
      </c>
      <c r="C15" s="293">
        <f ca="1">ROUND(C14*F15,0)</f>
        <v>171</v>
      </c>
      <c r="D15" s="1851" t="s">
        <v>1141</v>
      </c>
      <c r="E15" s="1851" t="s">
        <v>1142</v>
      </c>
      <c r="F15" s="1852">
        <f>'数据-取费表'!B33</f>
        <v>0.03</v>
      </c>
      <c r="G15" s="1853"/>
      <c r="H15" s="1854" t="s">
        <v>859</v>
      </c>
      <c r="I15" s="1839" t="s">
        <v>1137</v>
      </c>
      <c r="J15" s="1966">
        <f ca="1">INDIRECT("'数据-取费表'!ad"&amp;$G$1)</f>
        <v>0.77</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885</v>
      </c>
      <c r="B16" s="1817" t="s">
        <v>1070</v>
      </c>
      <c r="C16" s="293">
        <f ca="1">ROUND(INDIRECT("'数据-取费表'!m"&amp;$G$1)*F16,0)</f>
        <v>0</v>
      </c>
      <c r="D16" s="1817" t="s">
        <v>1141</v>
      </c>
      <c r="E16" s="1817" t="s">
        <v>1142</v>
      </c>
      <c r="F16" s="1855">
        <f ca="1">IF(INDIRECT("'数据-取费表'!c"&amp;$G$1)="住宅",'数据-取费表'!B34,0)</f>
        <v>0</v>
      </c>
      <c r="G16" s="773"/>
      <c r="H16" s="1841" t="s">
        <v>1143</v>
      </c>
      <c r="I16" s="1842" t="s">
        <v>1144</v>
      </c>
      <c r="J16" s="1843">
        <f ca="1">ROUND(J17+J22+J23+J24,0)</f>
        <v>287</v>
      </c>
      <c r="K16" s="1867" t="s">
        <v>1145</v>
      </c>
      <c r="L16" s="1868"/>
      <c r="M16" s="1813"/>
    </row>
    <row r="17" spans="1:37" s="1785" customFormat="1" ht="18" customHeight="1">
      <c r="A17" s="1846" t="s">
        <v>1146</v>
      </c>
      <c r="B17" s="1817" t="s">
        <v>1147</v>
      </c>
      <c r="C17" s="293">
        <f ca="1">ROUND(F17*(F43+INDIRECT("'数据-取费表'!S"&amp;$G$1))/10000,0)</f>
        <v>228</v>
      </c>
      <c r="D17" s="1817" t="s">
        <v>1148</v>
      </c>
      <c r="E17" s="1817" t="s">
        <v>1149</v>
      </c>
      <c r="F17" s="1856">
        <f>'数据-取费表'!B35</f>
        <v>200</v>
      </c>
      <c r="G17" s="1853"/>
      <c r="H17" s="1846" t="s">
        <v>855</v>
      </c>
      <c r="I17" s="1817" t="s">
        <v>1150</v>
      </c>
      <c r="J17" s="1870">
        <f ca="1">ROUND(IF(AND(项目基本情况!B11="自然人",项目基本情况!B10="北京市"),J6*M17/(1+'数据-取费表'!C42),J18+J19+J20),0)</f>
        <v>279</v>
      </c>
      <c r="K17" s="1848" t="s">
        <v>1151</v>
      </c>
      <c r="L17" s="1871" t="s">
        <v>1152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1153</v>
      </c>
      <c r="B18" s="1817" t="s">
        <v>1076</v>
      </c>
      <c r="C18" s="293">
        <f ca="1">ROUND(C14*F18,0)</f>
        <v>85</v>
      </c>
      <c r="D18" s="1817" t="s">
        <v>1141</v>
      </c>
      <c r="E18" s="1817" t="s">
        <v>1142</v>
      </c>
      <c r="F18" s="1855">
        <f>'数据-取费表'!B36</f>
        <v>1.4999999999999999E-2</v>
      </c>
      <c r="G18" s="1853"/>
      <c r="H18" s="1846" t="s">
        <v>878</v>
      </c>
      <c r="I18" s="1817" t="s">
        <v>1154</v>
      </c>
      <c r="J18" s="293">
        <f ca="1">ROUND(J6*M18/(1+'数据-取费表'!C42),2)</f>
        <v>87.47</v>
      </c>
      <c r="K18" s="1871" t="s">
        <v>1155</v>
      </c>
      <c r="L18" s="1817" t="s">
        <v>1142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855</v>
      </c>
      <c r="B19" s="1817" t="s">
        <v>1156</v>
      </c>
      <c r="C19" s="293">
        <f ca="1">SUM(C14:C18)</f>
        <v>6183</v>
      </c>
      <c r="D19" s="1857" t="s">
        <v>1157</v>
      </c>
      <c r="E19" s="295"/>
      <c r="F19" s="1856"/>
      <c r="G19" s="773"/>
      <c r="H19" s="1846" t="s">
        <v>882</v>
      </c>
      <c r="I19" s="1817" t="s">
        <v>1158</v>
      </c>
      <c r="J19" s="293">
        <f ca="1">IF(K19="按租金收入计税",ROUND(J6*M19/(1+'数据-取费表'!C42),2),ROUND(C29*M19*0.7,2))</f>
        <v>187.43</v>
      </c>
      <c r="K19" s="1874" t="s">
        <v>1159</v>
      </c>
      <c r="L19" s="1817" t="s">
        <v>1142</v>
      </c>
      <c r="M19" s="1855">
        <f>IF(K19="按租金收入计税",'数据-取费表'!B51,'数据-取费表'!B50)</f>
        <v>0.12</v>
      </c>
    </row>
    <row r="20" spans="1:37" s="1785" customFormat="1" ht="18" customHeight="1">
      <c r="A20" s="1846" t="s">
        <v>859</v>
      </c>
      <c r="B20" s="1817" t="s">
        <v>1160</v>
      </c>
      <c r="C20" s="293">
        <f ca="1">ROUND(C19*F20,0)</f>
        <v>124</v>
      </c>
      <c r="D20" s="1858" t="s">
        <v>1161</v>
      </c>
      <c r="E20" s="1817" t="s">
        <v>1142</v>
      </c>
      <c r="F20" s="1855">
        <f>'数据-取费表'!B37</f>
        <v>0.02</v>
      </c>
      <c r="G20" s="1853"/>
      <c r="H20" s="1846" t="s">
        <v>885</v>
      </c>
      <c r="I20" s="1816" t="s">
        <v>1162</v>
      </c>
      <c r="J20" s="1876">
        <f ca="1">ROUND(M20*M21/10000,2)</f>
        <v>4.12</v>
      </c>
      <c r="K20" s="1877" t="s">
        <v>1163</v>
      </c>
      <c r="L20" s="1817" t="s">
        <v>1164</v>
      </c>
      <c r="M20" s="1861">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904</v>
      </c>
      <c r="B21" s="1817" t="s">
        <v>1165</v>
      </c>
      <c r="C21" s="293" t="s">
        <v>124</v>
      </c>
      <c r="D21" s="1858" t="s">
        <v>1166</v>
      </c>
      <c r="E21" s="1817" t="s">
        <v>1167</v>
      </c>
      <c r="F21" s="1855">
        <f>'数据-取费表'!B38</f>
        <v>0.02</v>
      </c>
      <c r="G21" s="1853"/>
      <c r="H21" s="1859"/>
      <c r="I21" s="1976"/>
      <c r="J21" s="1880"/>
      <c r="K21" s="1881"/>
      <c r="L21" s="1817" t="s">
        <v>1168</v>
      </c>
      <c r="M21" s="1818">
        <f ca="1">INDIRECT("'数据-取费表'!r"&amp;$G$1)</f>
        <v>3431.42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907</v>
      </c>
      <c r="B22" s="1817" t="s">
        <v>1169</v>
      </c>
      <c r="C22" s="293"/>
      <c r="D22" s="1857" t="str">
        <f>IF(F23&lt;=1,"单利计息。","复利计息。")&amp;"建造成本、管理费用、销售费用产生的利息。"</f>
        <v>单利计息。建造成本、管理费用、销售费用产生的利息。</v>
      </c>
      <c r="E22" s="295"/>
      <c r="F22" s="1856"/>
      <c r="G22" s="773"/>
      <c r="H22" s="1846" t="s">
        <v>859</v>
      </c>
      <c r="I22" s="1817" t="s">
        <v>1170</v>
      </c>
      <c r="J22" s="293">
        <f ca="1">ROUND(J14*M22,1)</f>
        <v>0</v>
      </c>
      <c r="K22" s="1871" t="s">
        <v>1171</v>
      </c>
      <c r="L22" s="1817" t="s">
        <v>1142</v>
      </c>
      <c r="M22" s="1883">
        <f ca="1">INDIRECT("'数据-取费表'!Ak"&amp;$G$1)</f>
        <v>0</v>
      </c>
    </row>
    <row r="23" spans="1:37" s="1785" customFormat="1" ht="18" customHeight="1">
      <c r="A23" s="1846" t="s">
        <v>878</v>
      </c>
      <c r="B23" s="1817" t="s">
        <v>1172</v>
      </c>
      <c r="C23" s="293">
        <f ca="1">IF('数据-取费表'!B22&lt;=1,ROUND(C19*F24*F23/2,0)+ROUND(C20*F24*F23/2,0),ROUND(C19*(POWER((1+F24),F23/2)-1),0)+ROUND(C20*(POWER((1+F24),F23/2)-1),0))</f>
        <v>131</v>
      </c>
      <c r="D23" s="1860" t="str">
        <f>IF(F23&lt;=1,"(建造成本+管理费用)×利率×(建设周期÷2)","(建造成本+管理费用)×((1+利率)^(建设周期÷2)-1)")</f>
        <v>(建造成本+管理费用)×利率×(建设周期÷2)</v>
      </c>
      <c r="E23" s="1817" t="s">
        <v>1173</v>
      </c>
      <c r="F23" s="1861">
        <f>'数据-取费表'!B20</f>
        <v>1</v>
      </c>
      <c r="G23" s="1853"/>
      <c r="H23" s="1846" t="s">
        <v>904</v>
      </c>
      <c r="I23" s="1817" t="s">
        <v>1174</v>
      </c>
      <c r="J23" s="293">
        <f ca="1">ROUND(J13*M23,1)</f>
        <v>0</v>
      </c>
      <c r="K23" s="1871" t="s">
        <v>1175</v>
      </c>
      <c r="L23" s="1817" t="s">
        <v>1142</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882</v>
      </c>
      <c r="B24" s="1817" t="s">
        <v>1176</v>
      </c>
      <c r="C24" s="293">
        <f ca="1">ROUND(IF('数据-取费表'!B22&lt;=1,F21*F24*F23/2,F21*(POWER((1+F24),F23/2)-1)),4)</f>
        <v>4.0000000000000002E-4</v>
      </c>
      <c r="D24" s="1860" t="str">
        <f>IF(F23&lt;=1,"销售费用×利率×(建设周期÷2)","销售费用×((1+利率)^(建设周期÷2)-1)")</f>
        <v>销售费用×利率×(建设周期÷2)</v>
      </c>
      <c r="E24" s="1817" t="s">
        <v>1177</v>
      </c>
      <c r="F24" s="1862">
        <f ca="1">'数据-取费表'!B40</f>
        <v>4.1499999999999995E-2</v>
      </c>
      <c r="G24" s="1853"/>
      <c r="H24" s="1854" t="s">
        <v>907</v>
      </c>
      <c r="I24" s="1839" t="s">
        <v>1160</v>
      </c>
      <c r="J24" s="1863">
        <f ca="1">ROUND(J5*M24,1)</f>
        <v>8.1999999999999993</v>
      </c>
      <c r="K24" s="1864" t="s">
        <v>1178</v>
      </c>
      <c r="L24" s="1839" t="s">
        <v>1142</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911</v>
      </c>
      <c r="B25" s="1817" t="s">
        <v>1179</v>
      </c>
      <c r="C25" s="293"/>
      <c r="D25" s="1857" t="s">
        <v>1180</v>
      </c>
      <c r="E25" s="295"/>
      <c r="F25" s="1856"/>
      <c r="G25" s="773"/>
      <c r="H25" s="1841" t="s">
        <v>1181</v>
      </c>
      <c r="I25" s="1885" t="s">
        <v>1182</v>
      </c>
      <c r="J25" s="1843">
        <f ca="1">J5-J16</f>
        <v>1357</v>
      </c>
      <c r="K25" s="1886" t="s">
        <v>1183</v>
      </c>
      <c r="L25" s="1887"/>
      <c r="M25" s="1888"/>
    </row>
    <row r="26" spans="1:37">
      <c r="A26" s="1846" t="s">
        <v>878</v>
      </c>
      <c r="B26" s="1817" t="s">
        <v>1184</v>
      </c>
      <c r="C26" s="293">
        <f ca="1">ROUND((C19+C20)*F26,0)</f>
        <v>946</v>
      </c>
      <c r="D26" s="1858" t="s">
        <v>1185</v>
      </c>
      <c r="E26" s="1828" t="s">
        <v>1186</v>
      </c>
      <c r="F26" s="1825">
        <f ca="1">INDIRECT("'数据-取费表'!q"&amp;$G$1)</f>
        <v>0.15</v>
      </c>
      <c r="G26" s="773"/>
      <c r="H26" s="1808" t="s">
        <v>1187</v>
      </c>
      <c r="I26" s="1809" t="s">
        <v>1188</v>
      </c>
      <c r="J26" s="1889">
        <f ca="1">IF(J5&lt;&gt;0,ROUND(J25*(1-((1+M28)/(1+M26))^M27)/(M26-M28),0),0)</f>
        <v>20913</v>
      </c>
      <c r="K26" s="1877" t="s">
        <v>1189</v>
      </c>
      <c r="L26" s="1817" t="s">
        <v>1190</v>
      </c>
      <c r="M26" s="1825">
        <f ca="1">INDIRECT("'数据-取费表'!I"&amp;$G$1)</f>
        <v>5.5E-2</v>
      </c>
    </row>
    <row r="27" spans="1:37" ht="18" customHeight="1">
      <c r="A27" s="1846" t="s">
        <v>882</v>
      </c>
      <c r="B27" s="1817" t="s">
        <v>1191</v>
      </c>
      <c r="C27" s="293">
        <f ca="1">ROUND(F21*F26,4)</f>
        <v>3.0000000000000001E-3</v>
      </c>
      <c r="D27" s="1858" t="s">
        <v>1192</v>
      </c>
      <c r="E27" s="1851"/>
      <c r="F27" s="1852"/>
      <c r="G27" s="773"/>
      <c r="H27" s="1823"/>
      <c r="I27" s="1891"/>
      <c r="J27" s="1824"/>
      <c r="K27" s="1892" t="s">
        <v>1193</v>
      </c>
      <c r="L27" s="1817" t="s">
        <v>1194</v>
      </c>
      <c r="M27" s="1893">
        <f ca="1">INDIRECT("'数据-取费表'!ag"&amp;$G$1)</f>
        <v>20.290000000000003</v>
      </c>
    </row>
    <row r="28" spans="1:37" s="1785" customFormat="1" ht="18" customHeight="1">
      <c r="A28" s="1846" t="s">
        <v>912</v>
      </c>
      <c r="B28" s="1817" t="s">
        <v>1195</v>
      </c>
      <c r="C28" s="293">
        <f>ROUND(F28/(1+'数据-取费表'!C42),4)</f>
        <v>5.33E-2</v>
      </c>
      <c r="D28" s="1858" t="s">
        <v>1196</v>
      </c>
      <c r="E28" s="1817" t="s">
        <v>1142</v>
      </c>
      <c r="F28" s="1855">
        <f>'数据-取费表'!B41</f>
        <v>5.6000000000000001E-2</v>
      </c>
      <c r="G28" s="1853"/>
      <c r="H28" s="1830"/>
      <c r="I28" s="1895"/>
      <c r="J28" s="1843"/>
      <c r="K28" s="1881"/>
      <c r="L28" s="1817" t="s">
        <v>1197</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1101</v>
      </c>
      <c r="B29" s="1839" t="s">
        <v>1198</v>
      </c>
      <c r="C29" s="1863">
        <f ca="1">ROUND((C19+C20+C23+C26)/(1-F21-C24-C27-C28),0)</f>
        <v>7997</v>
      </c>
      <c r="D29" s="1864"/>
      <c r="E29" s="1839"/>
      <c r="F29" s="1865"/>
      <c r="G29" s="1853"/>
      <c r="H29" s="1866" t="s">
        <v>1199</v>
      </c>
      <c r="I29" s="1896" t="s">
        <v>1200</v>
      </c>
      <c r="J29" s="1897">
        <f ca="1">ROUND(J26/(1+F40)^F41,0)</f>
        <v>10556</v>
      </c>
      <c r="K29" s="1898" t="s">
        <v>1201</v>
      </c>
      <c r="L29" s="1899"/>
      <c r="M29" s="1900">
        <f ca="1">INDIRECT("'数据-取费表'!k"&amp;$G$1)</f>
        <v>11398.58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1143</v>
      </c>
      <c r="B30" s="1842" t="s">
        <v>1144</v>
      </c>
      <c r="C30" s="1843">
        <f ca="1">ROUND(C31+C36+C37+C38,0)</f>
        <v>295</v>
      </c>
      <c r="D30" s="1867" t="s">
        <v>1145</v>
      </c>
      <c r="E30" s="1868"/>
      <c r="F30" s="1813"/>
      <c r="G30" s="773"/>
      <c r="H30" s="1869"/>
      <c r="I30" s="1977"/>
      <c r="J30" s="1978"/>
      <c r="K30" s="1979"/>
      <c r="L30" s="1980"/>
      <c r="M30" s="1981"/>
    </row>
    <row r="31" spans="1:37" ht="18" customHeight="1">
      <c r="A31" s="1846" t="s">
        <v>855</v>
      </c>
      <c r="B31" s="1817" t="s">
        <v>1150</v>
      </c>
      <c r="C31" s="1870">
        <f ca="1">ROUND(IF(AND(项目基本情况!B11="自然人",项目基本情况!B10="北京市"),C6*F31/(1+'数据-取费表'!C42),C32+C33+C34),0)</f>
        <v>287</v>
      </c>
      <c r="D31" s="1848" t="s">
        <v>1151</v>
      </c>
      <c r="E31" s="1871" t="s">
        <v>1152</v>
      </c>
      <c r="F31" s="1872" t="str">
        <f>IF(项目基本情况!B11="企业","——",IF('数据-取费表'!B10="住宅",IF(F6*F7*F8/12/(1+'数据-取费表'!F30)&gt;100000,4%,2.5%),IF(F6*F7*F8/12/(1+'数据-取费表'!F30)&gt;100000,12%,7%)))</f>
        <v>——</v>
      </c>
      <c r="G31" s="773"/>
      <c r="H31" s="1873" t="s">
        <v>1202</v>
      </c>
      <c r="I31" s="1977"/>
      <c r="J31" s="1978"/>
      <c r="K31" s="1979"/>
      <c r="L31" s="1980"/>
      <c r="M31" s="1981"/>
    </row>
    <row r="32" spans="1:37" ht="18" customHeight="1">
      <c r="A32" s="1846" t="s">
        <v>878</v>
      </c>
      <c r="B32" s="1817" t="s">
        <v>1154</v>
      </c>
      <c r="C32" s="293">
        <f ca="1">IF(项目基本情况!B11="自然人","——",ROUND(C6*F32/(1+'数据-取费表'!C42),2))</f>
        <v>89.87</v>
      </c>
      <c r="D32" s="1871" t="s">
        <v>1155</v>
      </c>
      <c r="E32" s="1817" t="s">
        <v>1142</v>
      </c>
      <c r="F32" s="1862">
        <f>'数据-取费表'!B41</f>
        <v>5.6000000000000001E-2</v>
      </c>
      <c r="G32" s="773"/>
      <c r="H32" s="1869"/>
      <c r="I32" s="1977"/>
      <c r="J32" s="1978"/>
      <c r="K32" s="1979"/>
      <c r="L32" s="1980"/>
      <c r="M32" s="1981"/>
    </row>
    <row r="33" spans="1:18" ht="18" customHeight="1">
      <c r="A33" s="1846" t="s">
        <v>882</v>
      </c>
      <c r="B33" s="1817" t="s">
        <v>1158</v>
      </c>
      <c r="C33" s="293">
        <f ca="1">IF(项目基本情况!B11="自然人","——",IF(D33="按租金收入计税",ROUND(C6*F33/(1+'数据-取费表'!C42),2),IF(D33="按房产原值计税",ROUND(C29*F33*0.7,2),INDIRECT("'数据-取费表'!Aj"&amp;$G$1))))</f>
        <v>192.57</v>
      </c>
      <c r="D33" s="1874" t="s">
        <v>1159</v>
      </c>
      <c r="E33" s="1817" t="s">
        <v>1142</v>
      </c>
      <c r="F33" s="1855">
        <f>IF(D33="按票据","——",IF(D33="按租金收入计税",'数据-取费表'!B51,'数据-取费表'!B50))</f>
        <v>0.12</v>
      </c>
      <c r="G33" s="773"/>
      <c r="H33" s="1875"/>
      <c r="I33" s="1977"/>
      <c r="J33" s="1978"/>
      <c r="K33" s="1982"/>
      <c r="L33" s="1875"/>
      <c r="M33" s="1875"/>
    </row>
    <row r="34" spans="1:18" ht="18" customHeight="1">
      <c r="A34" s="1814" t="s">
        <v>885</v>
      </c>
      <c r="B34" s="1816" t="s">
        <v>1162</v>
      </c>
      <c r="C34" s="1876">
        <f ca="1">IF(项目基本情况!B11="自然人","——",ROUND(F34*F35/10000,2))</f>
        <v>4.12</v>
      </c>
      <c r="D34" s="1877" t="s">
        <v>1163</v>
      </c>
      <c r="E34" s="1817" t="s">
        <v>1164</v>
      </c>
      <c r="F34" s="1861">
        <f>'数据-取费表'!B52</f>
        <v>12</v>
      </c>
      <c r="G34" s="773"/>
      <c r="H34" s="1869"/>
      <c r="I34" s="1977"/>
      <c r="J34" s="1978"/>
      <c r="K34" s="1983"/>
      <c r="L34" s="1984"/>
      <c r="M34" s="1984"/>
    </row>
    <row r="35" spans="1:18" ht="18" customHeight="1">
      <c r="A35" s="1878"/>
      <c r="B35" s="1879"/>
      <c r="C35" s="1880"/>
      <c r="D35" s="1881"/>
      <c r="E35" s="1817" t="s">
        <v>1168</v>
      </c>
      <c r="F35" s="1818">
        <f ca="1">INDIRECT("'数据-取费表'!r"&amp;$G$1)</f>
        <v>3431.42</v>
      </c>
      <c r="G35" s="773"/>
      <c r="H35" s="1869"/>
      <c r="I35" s="1977"/>
      <c r="J35" s="1978"/>
      <c r="K35" s="1982"/>
      <c r="L35" s="1875"/>
      <c r="M35" s="1875"/>
    </row>
    <row r="36" spans="1:18" ht="18" customHeight="1">
      <c r="A36" s="1882" t="s">
        <v>859</v>
      </c>
      <c r="B36" s="1817" t="s">
        <v>1170</v>
      </c>
      <c r="C36" s="293">
        <f ca="1">ROUND(C29*F36,1)</f>
        <v>0</v>
      </c>
      <c r="D36" s="1871" t="s">
        <v>1203</v>
      </c>
      <c r="E36" s="1817" t="s">
        <v>1142</v>
      </c>
      <c r="F36" s="1883">
        <f ca="1">INDIRECT("'数据-取费表'!Ak"&amp;$G$1)</f>
        <v>0</v>
      </c>
      <c r="G36" s="773"/>
      <c r="H36" s="1875"/>
      <c r="I36" s="1977"/>
      <c r="J36" s="1978"/>
      <c r="K36" s="1985"/>
      <c r="L36" s="1875"/>
      <c r="M36" s="1875"/>
    </row>
    <row r="37" spans="1:18" ht="18" customHeight="1">
      <c r="A37" s="1846" t="s">
        <v>904</v>
      </c>
      <c r="B37" s="1817" t="s">
        <v>1174</v>
      </c>
      <c r="C37" s="293">
        <f ca="1">ROUND(C13*F37,1)</f>
        <v>0</v>
      </c>
      <c r="D37" s="1871" t="s">
        <v>1175</v>
      </c>
      <c r="E37" s="1817" t="s">
        <v>1142</v>
      </c>
      <c r="F37" s="1884">
        <f ca="1">INDIRECT("'数据-取费表'!Al"&amp;$G$1)</f>
        <v>0</v>
      </c>
      <c r="G37" s="773"/>
      <c r="H37" s="1875"/>
      <c r="I37" s="1977"/>
      <c r="J37" s="1978"/>
      <c r="K37" s="1985"/>
      <c r="L37" s="1875"/>
      <c r="M37" s="1875"/>
    </row>
    <row r="38" spans="1:18" ht="18" customHeight="1">
      <c r="A38" s="1854" t="s">
        <v>907</v>
      </c>
      <c r="B38" s="1839" t="s">
        <v>1160</v>
      </c>
      <c r="C38" s="1863">
        <f ca="1">ROUND(C5*F38,1)</f>
        <v>8.4</v>
      </c>
      <c r="D38" s="1864" t="s">
        <v>1178</v>
      </c>
      <c r="E38" s="1839" t="s">
        <v>1142</v>
      </c>
      <c r="F38" s="1840">
        <f ca="1">INDIRECT("'数据-取费表'!Am"&amp;$G$1)</f>
        <v>5.0000000000000001E-3</v>
      </c>
      <c r="G38" s="773"/>
      <c r="H38" s="1875"/>
      <c r="I38" s="1977"/>
      <c r="J38" s="1978"/>
      <c r="K38" s="1986"/>
      <c r="L38" s="1875"/>
      <c r="M38" s="1875"/>
    </row>
    <row r="39" spans="1:18" ht="24.6" customHeight="1">
      <c r="A39" s="1841" t="s">
        <v>1181</v>
      </c>
      <c r="B39" s="1885" t="s">
        <v>1182</v>
      </c>
      <c r="C39" s="1843">
        <f ca="1">C5-C30</f>
        <v>1394</v>
      </c>
      <c r="D39" s="1886" t="s">
        <v>1183</v>
      </c>
      <c r="E39" s="1887"/>
      <c r="F39" s="1888"/>
      <c r="G39" s="773"/>
      <c r="H39" s="1875"/>
      <c r="I39" s="1977"/>
      <c r="J39" s="1978"/>
      <c r="K39" s="1986"/>
      <c r="L39" s="1875"/>
      <c r="M39" s="1875"/>
    </row>
    <row r="40" spans="1:18" ht="18" customHeight="1">
      <c r="A40" s="1808" t="s">
        <v>1187</v>
      </c>
      <c r="B40" s="1809" t="s">
        <v>1204</v>
      </c>
      <c r="C40" s="1889">
        <f ca="1">ROUND(C39*(1-((1+F42)/(1+F40))^F41)/(F40-F42),0)</f>
        <v>12553</v>
      </c>
      <c r="D40" s="1877" t="s">
        <v>1189</v>
      </c>
      <c r="E40" s="1817" t="s">
        <v>1190</v>
      </c>
      <c r="F40" s="1825">
        <f ca="1">INDIRECT("'数据-取费表'!I"&amp;$G$1)</f>
        <v>5.5E-2</v>
      </c>
      <c r="G40" s="773"/>
      <c r="H40" s="1890"/>
      <c r="I40" s="1977"/>
      <c r="J40" s="1978"/>
      <c r="K40" s="1986"/>
      <c r="L40" s="1890"/>
      <c r="M40" s="1890"/>
    </row>
    <row r="41" spans="1:18" ht="18" customHeight="1">
      <c r="A41" s="1823"/>
      <c r="B41" s="1891"/>
      <c r="C41" s="1824"/>
      <c r="D41" s="1892" t="s">
        <v>1193</v>
      </c>
      <c r="E41" s="1817" t="s">
        <v>1194</v>
      </c>
      <c r="F41" s="1893">
        <f ca="1">IF(INDIRECT("'数据-取费表'!af"&amp;$G$1)=0,INDIRECT("'数据-取费表'!ae"&amp;$G$1),INDIRECT("'数据-取费表'!af"&amp;$G$1))</f>
        <v>12.77</v>
      </c>
      <c r="G41" s="773"/>
      <c r="H41" s="1894"/>
      <c r="I41" s="1977"/>
      <c r="J41" s="1978"/>
      <c r="K41" s="1985"/>
      <c r="L41" s="1894"/>
      <c r="M41" s="1894"/>
    </row>
    <row r="42" spans="1:18" ht="18" customHeight="1">
      <c r="A42" s="1830"/>
      <c r="B42" s="1895"/>
      <c r="C42" s="1843"/>
      <c r="D42" s="1881"/>
      <c r="E42" s="1817" t="s">
        <v>1197</v>
      </c>
      <c r="F42" s="1825">
        <f ca="1">INDIRECT("'数据-取费表'!v"&amp;$G$1)</f>
        <v>0</v>
      </c>
      <c r="G42" s="773"/>
      <c r="H42" s="1894"/>
      <c r="I42" s="1977"/>
      <c r="J42" s="1978"/>
      <c r="K42" s="1985"/>
      <c r="L42" s="1894"/>
      <c r="M42" s="1894"/>
    </row>
    <row r="43" spans="1:18" ht="18" customHeight="1">
      <c r="A43" s="1866" t="s">
        <v>1199</v>
      </c>
      <c r="B43" s="1896" t="s">
        <v>1205</v>
      </c>
      <c r="C43" s="1897">
        <f ca="1">ROUND(C40*10000/F43,0)</f>
        <v>11013</v>
      </c>
      <c r="D43" s="1898" t="s">
        <v>1206</v>
      </c>
      <c r="E43" s="1899" t="s">
        <v>1207</v>
      </c>
      <c r="F43" s="1900">
        <f ca="1">INDIRECT("'数据-取费表'!k"&amp;$G$1)</f>
        <v>11398.58</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1208</v>
      </c>
      <c r="P45" s="1890"/>
      <c r="Q45" s="1890"/>
      <c r="R45" s="1890"/>
    </row>
    <row r="46" spans="1:18" s="773" customFormat="1">
      <c r="A46" s="1905" t="s">
        <v>1209</v>
      </c>
      <c r="C46" s="1906">
        <f ca="1">C68-C40</f>
        <v>2156</v>
      </c>
      <c r="D46" s="1907" t="str">
        <f>C2</f>
        <v>万元</v>
      </c>
      <c r="E46" s="1901"/>
      <c r="F46" s="1901"/>
      <c r="I46" s="1989" t="s">
        <v>1210</v>
      </c>
      <c r="J46" s="1990"/>
      <c r="K46" s="1991"/>
      <c r="L46" s="1992" t="str">
        <f ca="1">IF(M47="住宅",0,IF(L48&gt;J51,L60,J60))</f>
        <v>0</v>
      </c>
      <c r="O46" s="1993" t="s">
        <v>1211</v>
      </c>
      <c r="P46" s="1994" t="s">
        <v>1212</v>
      </c>
      <c r="Q46" s="2038" t="s">
        <v>1213</v>
      </c>
      <c r="R46" s="2038" t="s">
        <v>1214</v>
      </c>
    </row>
    <row r="47" spans="1:18" s="773" customFormat="1">
      <c r="A47" s="1908" t="s">
        <v>1113</v>
      </c>
      <c r="B47" s="1909" t="s">
        <v>1114</v>
      </c>
      <c r="C47" s="2065" t="s">
        <v>1115</v>
      </c>
      <c r="D47" s="1909" t="s">
        <v>1116</v>
      </c>
      <c r="E47" s="1910" t="s">
        <v>1117</v>
      </c>
      <c r="F47" s="286"/>
      <c r="G47" s="1911"/>
      <c r="I47" s="1995" t="s">
        <v>1215</v>
      </c>
      <c r="J47" s="1996" t="s">
        <v>1216</v>
      </c>
      <c r="K47" s="1997" t="s">
        <v>1217</v>
      </c>
      <c r="L47" s="1998">
        <f ca="1">INDIRECT("'数据-取费表'!d"&amp;$G$1)</f>
        <v>50</v>
      </c>
      <c r="M47" s="1999" t="str">
        <f>IF(ISNUMBER(FIND("住宅",C1)),"住宅","非住宅")</f>
        <v>非住宅</v>
      </c>
      <c r="O47" s="2000" t="s">
        <v>961</v>
      </c>
      <c r="P47" s="2001" t="s">
        <v>1218</v>
      </c>
      <c r="Q47" s="2039">
        <f ca="1">C40+J29</f>
        <v>23109</v>
      </c>
      <c r="R47" s="2039" t="s">
        <v>1219</v>
      </c>
    </row>
    <row r="48" spans="1:18" s="773" customFormat="1" ht="27.75">
      <c r="A48" s="1912" t="s">
        <v>1220</v>
      </c>
      <c r="B48" s="1809" t="s">
        <v>1118</v>
      </c>
      <c r="C48" s="294">
        <f ca="1">C49+C53+C55</f>
        <v>1689</v>
      </c>
      <c r="D48" s="1913"/>
      <c r="E48" s="1914"/>
      <c r="F48" s="1915"/>
      <c r="G48" s="1911"/>
      <c r="H48" s="1916"/>
      <c r="I48" s="834" t="s">
        <v>1221</v>
      </c>
      <c r="J48" s="2002" t="s">
        <v>1222</v>
      </c>
      <c r="K48" s="2003" t="s">
        <v>1223</v>
      </c>
      <c r="L48" s="2004">
        <f ca="1">INDIRECT("'数据-取费表'!f"&amp;$G$1)</f>
        <v>33.06</v>
      </c>
      <c r="O48" s="2000" t="s">
        <v>965</v>
      </c>
      <c r="P48" s="2001" t="s">
        <v>1224</v>
      </c>
      <c r="Q48" s="2039" t="str">
        <f ca="1">J60</f>
        <v>0</v>
      </c>
      <c r="R48" s="2039" t="s">
        <v>1225</v>
      </c>
    </row>
    <row r="49" spans="1:18" s="773" customFormat="1">
      <c r="A49" s="1917" t="s">
        <v>1226</v>
      </c>
      <c r="B49" s="1918" t="s">
        <v>1227</v>
      </c>
      <c r="C49" s="1919">
        <f ca="1">ROUND(F49*F51*F50*(1-F52)/10000,0)</f>
        <v>1685</v>
      </c>
      <c r="D49" s="1920" t="s">
        <v>1123</v>
      </c>
      <c r="E49" s="1921" t="s">
        <v>1228</v>
      </c>
      <c r="F49" s="1922">
        <v>4.5</v>
      </c>
      <c r="G49" s="1923"/>
      <c r="H49" s="1916"/>
      <c r="I49" s="834" t="s">
        <v>1229</v>
      </c>
      <c r="J49" s="2005">
        <v>1996</v>
      </c>
      <c r="K49" s="2003" t="s">
        <v>1230</v>
      </c>
      <c r="L49" s="2006"/>
      <c r="O49" s="2007" t="s">
        <v>1231</v>
      </c>
      <c r="P49" s="2001" t="s">
        <v>1232</v>
      </c>
      <c r="Q49" s="2039">
        <f ca="1">C29</f>
        <v>7997</v>
      </c>
      <c r="R49" s="2039" t="s">
        <v>1219</v>
      </c>
    </row>
    <row r="50" spans="1:18" s="773" customFormat="1">
      <c r="A50" s="1924"/>
      <c r="B50" s="1925"/>
      <c r="C50" s="2066"/>
      <c r="D50" s="1927"/>
      <c r="E50" s="1928" t="s">
        <v>1124</v>
      </c>
      <c r="F50" s="1929">
        <f ca="1">F7</f>
        <v>11398.58</v>
      </c>
      <c r="H50" s="1916"/>
      <c r="I50" s="834" t="s">
        <v>1233</v>
      </c>
      <c r="J50" s="2008">
        <f>SUMPRODUCT((I63:I65=J47)*(J62:L62=J48)*(J63:L65))</f>
        <v>60</v>
      </c>
      <c r="K50" s="2003" t="s">
        <v>1234</v>
      </c>
      <c r="L50" s="2006"/>
      <c r="M50" s="2009"/>
      <c r="O50" s="2007" t="s">
        <v>1235</v>
      </c>
      <c r="P50" s="2001" t="s">
        <v>1236</v>
      </c>
      <c r="Q50" s="2040" t="e">
        <f ca="1">J58</f>
        <v>#VALUE!</v>
      </c>
      <c r="R50" s="2039"/>
    </row>
    <row r="51" spans="1:18" s="773" customFormat="1">
      <c r="A51" s="1930"/>
      <c r="B51" s="1925"/>
      <c r="C51" s="1926"/>
      <c r="D51" s="1927"/>
      <c r="E51" s="1931" t="s">
        <v>1125</v>
      </c>
      <c r="F51" s="1818">
        <f ca="1">F8</f>
        <v>365</v>
      </c>
      <c r="I51" s="2010" t="s">
        <v>1237</v>
      </c>
      <c r="J51" s="2011">
        <f>IF(J49="",J50,J49+J50-YEAR('数据-取费表'!B2))</f>
        <v>34</v>
      </c>
      <c r="K51" s="2012" t="s">
        <v>1238</v>
      </c>
      <c r="L51" s="2013">
        <f ca="1">ROUND(-PV(INDIRECT("'数据-取费表'!h"&amp;$G$1),J51,(C39-C13*C76),0),0)</f>
        <v>13055</v>
      </c>
      <c r="M51" s="2014"/>
      <c r="O51" s="2007" t="s">
        <v>1239</v>
      </c>
      <c r="P51" s="2001" t="s">
        <v>1240</v>
      </c>
      <c r="Q51" s="2040">
        <f>J52</f>
        <v>0.08</v>
      </c>
      <c r="R51" s="2039"/>
    </row>
    <row r="52" spans="1:18" s="773" customFormat="1">
      <c r="A52" s="1930"/>
      <c r="B52" s="1925"/>
      <c r="C52" s="1926"/>
      <c r="D52" s="1927"/>
      <c r="E52" s="1931" t="s">
        <v>1126</v>
      </c>
      <c r="F52" s="1932">
        <f>'数据-取费表'!AB6</f>
        <v>0.1</v>
      </c>
      <c r="I52" s="2015" t="s">
        <v>1241</v>
      </c>
      <c r="J52" s="2016">
        <f>'数据-取费表'!J6+0.5%</f>
        <v>0.08</v>
      </c>
      <c r="K52" s="2015" t="s">
        <v>1242</v>
      </c>
      <c r="L52" s="2016"/>
      <c r="O52" s="2007" t="s">
        <v>1243</v>
      </c>
      <c r="P52" s="2001" t="s">
        <v>1244</v>
      </c>
      <c r="Q52" s="2039">
        <f ca="1">J53</f>
        <v>33.06</v>
      </c>
      <c r="R52" s="2039" t="s">
        <v>1245</v>
      </c>
    </row>
    <row r="53" spans="1:18" s="773" customFormat="1" ht="24">
      <c r="A53" s="2067" t="s">
        <v>1246</v>
      </c>
      <c r="B53" s="2068" t="s">
        <v>1127</v>
      </c>
      <c r="C53" s="292">
        <f ca="1">ROUND(IF(F53="押一",C49/12*F11,IF(F53="押二",C49/12*2*F11,IF(F53="押三",C49/12*3*F11,C54*F11))),0)</f>
        <v>4</v>
      </c>
      <c r="D53" s="1827" t="s">
        <v>1128</v>
      </c>
      <c r="E53" s="1828" t="s">
        <v>1129</v>
      </c>
      <c r="F53" s="1829" t="s">
        <v>1247</v>
      </c>
      <c r="I53" s="2017" t="s">
        <v>1248</v>
      </c>
      <c r="J53" s="2018">
        <f ca="1">IF(M47="住宅",IF(D1="——",MAX(J51,L48),MAX(J51,L48-'数据-取费表'!B24)),IF(D1="——",MIN(J51,L48),MIN(J51,L48-'数据-取费表'!B24)))</f>
        <v>33.06</v>
      </c>
      <c r="K53" s="3421" t="s">
        <v>1249</v>
      </c>
      <c r="L53" s="3422"/>
      <c r="O53" s="2000" t="s">
        <v>1069</v>
      </c>
      <c r="P53" s="2001" t="s">
        <v>1250</v>
      </c>
      <c r="Q53" s="2039">
        <f ca="1">Q47+Q48</f>
        <v>23109</v>
      </c>
      <c r="R53" s="2039" t="s">
        <v>1251</v>
      </c>
    </row>
    <row r="54" spans="1:18" s="773" customFormat="1">
      <c r="A54" s="2069"/>
      <c r="B54" s="1831" t="s">
        <v>1132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1252</v>
      </c>
      <c r="P54" s="2021"/>
      <c r="Q54" s="2021"/>
      <c r="R54" s="2021"/>
    </row>
    <row r="55" spans="1:18" s="773" customFormat="1">
      <c r="A55" s="1835" t="s">
        <v>904</v>
      </c>
      <c r="B55" s="1836" t="s">
        <v>1134</v>
      </c>
      <c r="C55" s="1837"/>
      <c r="D55" s="1827"/>
      <c r="E55" s="1935"/>
      <c r="F55" s="1936"/>
      <c r="I55" s="2022" t="s">
        <v>1253</v>
      </c>
      <c r="J55" s="2023" t="e">
        <f ca="1">ROUND(IF(J47="钢混",J57/J50,1-(1-2%)*(J50-J57)/J50),3)</f>
        <v>#VALUE!</v>
      </c>
      <c r="K55" s="2024" t="s">
        <v>1254</v>
      </c>
      <c r="L55" s="2025" t="s">
        <v>1255</v>
      </c>
      <c r="O55" s="1993" t="s">
        <v>1211</v>
      </c>
      <c r="P55" s="1994" t="s">
        <v>1212</v>
      </c>
      <c r="Q55" s="2038" t="s">
        <v>1213</v>
      </c>
      <c r="R55" s="2038" t="s">
        <v>1214</v>
      </c>
    </row>
    <row r="56" spans="1:18" s="773" customFormat="1" ht="24">
      <c r="A56" s="1937">
        <v>2</v>
      </c>
      <c r="B56" s="1938" t="s">
        <v>1135</v>
      </c>
      <c r="C56" s="186">
        <f ca="1">C13</f>
        <v>7837</v>
      </c>
      <c r="D56" s="1939"/>
      <c r="E56" s="1940"/>
      <c r="F56" s="1936"/>
      <c r="I56" s="2026" t="s">
        <v>1256</v>
      </c>
      <c r="J56" s="2027" t="s">
        <v>462</v>
      </c>
      <c r="K56" s="834" t="s">
        <v>1257</v>
      </c>
      <c r="L56" s="2004" t="str">
        <f ca="1">IF(L48&lt;J51,"——",L48-J53)</f>
        <v>——</v>
      </c>
      <c r="O56" s="2000" t="s">
        <v>961</v>
      </c>
      <c r="P56" s="2001" t="s">
        <v>1218</v>
      </c>
      <c r="Q56" s="2039">
        <f ca="1">C40+J29</f>
        <v>23109</v>
      </c>
      <c r="R56" s="2039" t="s">
        <v>1219</v>
      </c>
    </row>
    <row r="57" spans="1:18" s="773" customFormat="1" ht="24">
      <c r="A57" s="1941"/>
      <c r="B57" s="1942" t="s">
        <v>1198</v>
      </c>
      <c r="C57" s="196">
        <f ca="1">C29</f>
        <v>7997</v>
      </c>
      <c r="D57" s="1943"/>
      <c r="E57" s="1944"/>
      <c r="F57" s="1945"/>
      <c r="I57" s="2028" t="s">
        <v>1258</v>
      </c>
      <c r="J57" s="2029" t="str">
        <f ca="1">IF(OR(M47="住宅",J51&lt;L48,J56="是"),"——",J51-L48)</f>
        <v>——</v>
      </c>
      <c r="K57" s="834" t="s">
        <v>1259</v>
      </c>
      <c r="L57" s="2004" t="str">
        <f ca="1">IF(L48&lt;J51,"——",IF(L55="比较法",L49,IF(L55="基准地价",L50,L51)))</f>
        <v>——</v>
      </c>
      <c r="O57" s="2000" t="s">
        <v>965</v>
      </c>
      <c r="P57" s="2001" t="s">
        <v>1260</v>
      </c>
      <c r="Q57" s="2039">
        <f ca="1">L60</f>
        <v>0</v>
      </c>
      <c r="R57" s="2039" t="s">
        <v>1261</v>
      </c>
    </row>
    <row r="58" spans="1:18" s="773" customFormat="1" ht="24">
      <c r="A58" s="1946" t="s">
        <v>1143</v>
      </c>
      <c r="B58" s="1938" t="s">
        <v>1144</v>
      </c>
      <c r="C58" s="292">
        <f ca="1">ROUND(C59+C64+C65+C66,0)</f>
        <v>295</v>
      </c>
      <c r="D58" s="1947" t="s">
        <v>1145</v>
      </c>
      <c r="E58" s="1948"/>
      <c r="F58" s="1915"/>
      <c r="I58" s="2028" t="s">
        <v>1262</v>
      </c>
      <c r="J58" s="2030" t="e">
        <f ca="1">IF(J55&lt;0.4,0.4,J55)</f>
        <v>#VALUE!</v>
      </c>
      <c r="K58" s="2012" t="s">
        <v>1263</v>
      </c>
      <c r="L58" s="2004" t="e">
        <f ca="1">ROUND(POWER(1+L52,L47-L48)*(POWER(1+L52,L48)-1)/(POWER(1+L52,L47)-1),4)</f>
        <v>#DIV/0!</v>
      </c>
      <c r="O58" s="2007" t="s">
        <v>1231</v>
      </c>
      <c r="P58" s="2001" t="s">
        <v>1264</v>
      </c>
      <c r="Q58" s="2039">
        <f>IF(L55="比较法",L49,IF(L55="基准地价",L50,0))</f>
        <v>0</v>
      </c>
      <c r="R58" s="2039" t="s">
        <v>1219</v>
      </c>
    </row>
    <row r="59" spans="1:18" s="773" customFormat="1" ht="24">
      <c r="A59" s="1846" t="s">
        <v>855</v>
      </c>
      <c r="B59" s="1942" t="s">
        <v>1150</v>
      </c>
      <c r="C59" s="1870">
        <f ca="1">ROUND(IF(AND(项目基本情况!B11="自然人",项目基本情况!B10="北京市"),C49*F59/(1+'数据-取费表'!C42),C60+C61+C62),0)</f>
        <v>287</v>
      </c>
      <c r="D59" s="1949" t="s">
        <v>1151</v>
      </c>
      <c r="E59" s="1950" t="s">
        <v>1152</v>
      </c>
      <c r="F59" s="1872" t="str">
        <f>IF(项目基本情况!B11="企业","——",IF('数据-取费表'!B10="住宅",IF(F49*F50*F51/12/(1+'数据-取费表'!F30)&gt;100000,4%,2.5%),IF(F49*F50*F51/12/(1+'数据-取费表'!F30)&gt;100000,12%,7%)))</f>
        <v>——</v>
      </c>
      <c r="I59" s="2028" t="s">
        <v>1265</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1235</v>
      </c>
      <c r="P59" s="2001" t="s">
        <v>1266</v>
      </c>
      <c r="Q59" s="2040">
        <f>L52</f>
        <v>0</v>
      </c>
      <c r="R59" s="2039"/>
    </row>
    <row r="60" spans="1:18" s="773" customFormat="1" ht="15.75">
      <c r="A60" s="1846" t="s">
        <v>878</v>
      </c>
      <c r="B60" s="1942" t="s">
        <v>1154</v>
      </c>
      <c r="C60" s="293">
        <f ca="1">IF(项目基本情况!B11="自然人","——",ROUND(C48*F60/(1+'数据-取费表'!C42),2))</f>
        <v>90.08</v>
      </c>
      <c r="D60" s="1950" t="s">
        <v>1155</v>
      </c>
      <c r="E60" s="1942" t="s">
        <v>1142</v>
      </c>
      <c r="F60" s="1862">
        <f t="shared" ref="F60:F66" si="0">F32</f>
        <v>5.6000000000000001E-2</v>
      </c>
      <c r="I60" s="2031" t="s">
        <v>1267</v>
      </c>
      <c r="J60" s="2032" t="str">
        <f ca="1">IF(OR(M47="住宅",J51&lt;L48,J56="是"),"0",ROUND(J59/(1+J52)^J53,0))</f>
        <v>0</v>
      </c>
      <c r="K60" s="2033" t="s">
        <v>1268</v>
      </c>
      <c r="L60" s="2032">
        <f ca="1">IF(OR(M47="住宅",L48&lt;J51),0,ROUND(L57*(L58/L59-1),0))</f>
        <v>0</v>
      </c>
      <c r="O60" s="2007" t="s">
        <v>1239</v>
      </c>
      <c r="P60" s="2001" t="s">
        <v>1269</v>
      </c>
      <c r="Q60" s="2039" t="e">
        <f ca="1">L58</f>
        <v>#DIV/0!</v>
      </c>
      <c r="R60" s="2039" t="s">
        <v>1270</v>
      </c>
    </row>
    <row r="61" spans="1:18" s="773" customFormat="1">
      <c r="A61" s="1846" t="s">
        <v>882</v>
      </c>
      <c r="B61" s="1942" t="s">
        <v>1158</v>
      </c>
      <c r="C61" s="293">
        <f ca="1">IF(项目基本情况!B11="自然人","——",IF(D61="按租金收入计税",ROUND(C49*F61/(1+'数据-取费表'!C42),2),IF(D61="按房产原值计税",ROUND(C57*F61*0.7,2),INDIRECT("'数据-取费表'!Aj"&amp;$G$1))))</f>
        <v>192.57</v>
      </c>
      <c r="D61" s="1874" t="s">
        <v>1159</v>
      </c>
      <c r="E61" s="1942" t="s">
        <v>1142</v>
      </c>
      <c r="F61" s="1855">
        <f t="shared" si="0"/>
        <v>0.12</v>
      </c>
      <c r="I61" s="1890"/>
      <c r="J61" s="1890"/>
      <c r="K61" s="1890"/>
      <c r="L61" s="1890"/>
      <c r="O61" s="2007" t="s">
        <v>1243</v>
      </c>
      <c r="P61" s="2001" t="str">
        <f>K59</f>
        <v>建筑物剩余耐用年限下的土地年期修正系数Kn</v>
      </c>
      <c r="Q61" s="2039" t="e">
        <f ca="1">L59</f>
        <v>#DIV/0!</v>
      </c>
      <c r="R61" s="2039" t="s">
        <v>1271</v>
      </c>
    </row>
    <row r="62" spans="1:18" s="773" customFormat="1">
      <c r="A62" s="1846" t="s">
        <v>885</v>
      </c>
      <c r="B62" s="1951" t="s">
        <v>1162</v>
      </c>
      <c r="C62" s="1876">
        <f ca="1">IF(项目基本情况!B11="自然人","——",ROUND(F62*F63/10000,2))</f>
        <v>4.12</v>
      </c>
      <c r="D62" s="1952" t="s">
        <v>1163</v>
      </c>
      <c r="E62" s="1942" t="s">
        <v>1164</v>
      </c>
      <c r="F62" s="1861">
        <f t="shared" si="0"/>
        <v>12</v>
      </c>
      <c r="I62" s="2034" t="s">
        <v>1272</v>
      </c>
      <c r="J62" s="2035" t="s">
        <v>1273</v>
      </c>
      <c r="K62" s="2035" t="s">
        <v>1274</v>
      </c>
      <c r="L62" s="2035" t="s">
        <v>1275</v>
      </c>
      <c r="M62" s="2036" t="s">
        <v>1276</v>
      </c>
      <c r="O62" s="2000" t="s">
        <v>1069</v>
      </c>
      <c r="P62" s="2001" t="s">
        <v>1250</v>
      </c>
      <c r="Q62" s="2039">
        <f ca="1">Q56+Q57</f>
        <v>23109</v>
      </c>
      <c r="R62" s="2039" t="s">
        <v>1251</v>
      </c>
    </row>
    <row r="63" spans="1:18" s="773" customFormat="1">
      <c r="A63" s="1859"/>
      <c r="B63" s="1953"/>
      <c r="C63" s="1880"/>
      <c r="D63" s="1954"/>
      <c r="E63" s="1942" t="s">
        <v>1168</v>
      </c>
      <c r="F63" s="1818">
        <f t="shared" ca="1" si="0"/>
        <v>3431.42</v>
      </c>
      <c r="I63" s="2034" t="s">
        <v>1277</v>
      </c>
      <c r="J63" s="2035">
        <v>70</v>
      </c>
      <c r="K63" s="2035">
        <v>50</v>
      </c>
      <c r="L63" s="2035">
        <v>80</v>
      </c>
      <c r="M63" s="2037">
        <v>0.02</v>
      </c>
      <c r="O63" s="1988" t="s">
        <v>1278</v>
      </c>
      <c r="P63" s="2021"/>
      <c r="Q63" s="2021"/>
      <c r="R63" s="2021"/>
    </row>
    <row r="64" spans="1:18" s="773" customFormat="1">
      <c r="A64" s="1846" t="s">
        <v>859</v>
      </c>
      <c r="B64" s="1942" t="s">
        <v>1170</v>
      </c>
      <c r="C64" s="293">
        <f ca="1">ROUND(C57*F64,1)</f>
        <v>0</v>
      </c>
      <c r="D64" s="1950" t="s">
        <v>1203</v>
      </c>
      <c r="E64" s="1942" t="s">
        <v>1142</v>
      </c>
      <c r="F64" s="1883">
        <f t="shared" ca="1" si="0"/>
        <v>0</v>
      </c>
      <c r="I64" s="2034" t="s">
        <v>1279</v>
      </c>
      <c r="J64" s="2035">
        <v>50</v>
      </c>
      <c r="K64" s="2035">
        <v>35</v>
      </c>
      <c r="L64" s="2035">
        <v>60</v>
      </c>
      <c r="M64" s="2036">
        <v>0</v>
      </c>
      <c r="O64" s="1993" t="s">
        <v>1211</v>
      </c>
      <c r="P64" s="1994" t="s">
        <v>1212</v>
      </c>
      <c r="Q64" s="2038" t="s">
        <v>1213</v>
      </c>
      <c r="R64" s="2038" t="s">
        <v>1214</v>
      </c>
    </row>
    <row r="65" spans="1:18" s="773" customFormat="1">
      <c r="A65" s="1846" t="s">
        <v>904</v>
      </c>
      <c r="B65" s="1942" t="s">
        <v>1174</v>
      </c>
      <c r="C65" s="293">
        <f ca="1">ROUND(C56*F65,1)</f>
        <v>0</v>
      </c>
      <c r="D65" s="1950" t="s">
        <v>1175</v>
      </c>
      <c r="E65" s="1942" t="s">
        <v>1142</v>
      </c>
      <c r="F65" s="1884">
        <f t="shared" ca="1" si="0"/>
        <v>0</v>
      </c>
      <c r="I65" s="2034" t="s">
        <v>1280</v>
      </c>
      <c r="J65" s="2035">
        <v>40</v>
      </c>
      <c r="K65" s="2035">
        <v>30</v>
      </c>
      <c r="L65" s="2035">
        <v>50</v>
      </c>
      <c r="M65" s="2037">
        <v>0.02</v>
      </c>
      <c r="O65" s="2000" t="s">
        <v>961</v>
      </c>
      <c r="P65" s="2001" t="s">
        <v>1218</v>
      </c>
      <c r="Q65" s="2039">
        <f ca="1">C40+J29</f>
        <v>23109</v>
      </c>
      <c r="R65" s="2039" t="s">
        <v>1219</v>
      </c>
    </row>
    <row r="66" spans="1:18" s="773" customFormat="1" ht="15.75">
      <c r="A66" s="1846" t="s">
        <v>907</v>
      </c>
      <c r="B66" s="1942" t="s">
        <v>1160</v>
      </c>
      <c r="C66" s="293">
        <f ca="1">ROUND(C48*F66,1)</f>
        <v>8.4</v>
      </c>
      <c r="D66" s="1950" t="s">
        <v>1178</v>
      </c>
      <c r="E66" s="1942" t="s">
        <v>1142</v>
      </c>
      <c r="F66" s="1825">
        <f t="shared" ca="1" si="0"/>
        <v>5.0000000000000001E-3</v>
      </c>
      <c r="O66" s="2000" t="s">
        <v>965</v>
      </c>
      <c r="P66" s="2001" t="s">
        <v>1260</v>
      </c>
      <c r="Q66" s="2039">
        <f ca="1">L60</f>
        <v>0</v>
      </c>
      <c r="R66" s="2039" t="s">
        <v>1261</v>
      </c>
    </row>
    <row r="67" spans="1:18" s="773" customFormat="1" ht="15.75">
      <c r="A67" s="1937" t="s">
        <v>1181</v>
      </c>
      <c r="B67" s="2041" t="s">
        <v>1182</v>
      </c>
      <c r="C67" s="292">
        <f ca="1">C48-C58</f>
        <v>1394</v>
      </c>
      <c r="D67" s="1949" t="s">
        <v>1183</v>
      </c>
      <c r="E67" s="2042"/>
      <c r="F67" s="2043"/>
      <c r="O67" s="2007" t="s">
        <v>1231</v>
      </c>
      <c r="P67" s="2001" t="s">
        <v>1264</v>
      </c>
      <c r="Q67" s="2063">
        <f ca="1">L51</f>
        <v>13055</v>
      </c>
      <c r="R67" s="2039" t="s">
        <v>1281</v>
      </c>
    </row>
    <row r="68" spans="1:18" s="773" customFormat="1" ht="15.75">
      <c r="A68" s="2044" t="s">
        <v>1187</v>
      </c>
      <c r="B68" s="2045" t="s">
        <v>1204</v>
      </c>
      <c r="C68" s="1889">
        <f ca="1">ROUND(C67*(1-((1+F70)/(1+F68))^F69)/(F68-F70),0)</f>
        <v>14709</v>
      </c>
      <c r="D68" s="1952" t="s">
        <v>1189</v>
      </c>
      <c r="E68" s="1942" t="s">
        <v>1190</v>
      </c>
      <c r="F68" s="1825">
        <f ca="1">F40</f>
        <v>5.5E-2</v>
      </c>
      <c r="O68" s="2007" t="s">
        <v>1235</v>
      </c>
      <c r="P68" s="2062" t="s">
        <v>1282</v>
      </c>
      <c r="Q68" s="2039">
        <f ca="1">ROUND(Q69-Q70*Q71,0)</f>
        <v>806</v>
      </c>
      <c r="R68" s="2039" t="s">
        <v>1283</v>
      </c>
    </row>
    <row r="69" spans="1:18" s="773" customFormat="1">
      <c r="A69" s="2046"/>
      <c r="B69" s="2047"/>
      <c r="C69" s="1824"/>
      <c r="D69" s="2048" t="s">
        <v>1193</v>
      </c>
      <c r="E69" s="1942" t="s">
        <v>1194</v>
      </c>
      <c r="F69" s="1893">
        <f ca="1">F41</f>
        <v>12.77</v>
      </c>
      <c r="O69" s="2007" t="s">
        <v>1284</v>
      </c>
      <c r="P69" s="2062" t="s">
        <v>1285</v>
      </c>
      <c r="Q69" s="2039">
        <f ca="1">C39</f>
        <v>1394</v>
      </c>
      <c r="R69" s="2039" t="s">
        <v>1219</v>
      </c>
    </row>
    <row r="70" spans="1:18" s="773" customFormat="1">
      <c r="A70" s="2049"/>
      <c r="B70" s="2050"/>
      <c r="C70" s="1843"/>
      <c r="D70" s="1954"/>
      <c r="E70" s="1942" t="s">
        <v>1197</v>
      </c>
      <c r="F70" s="1932">
        <f>'数据-取费表'!AA6</f>
        <v>0.03</v>
      </c>
      <c r="O70" s="2007" t="s">
        <v>1286</v>
      </c>
      <c r="P70" s="2062" t="s">
        <v>1287</v>
      </c>
      <c r="Q70" s="2039">
        <f ca="1">C13</f>
        <v>7837</v>
      </c>
      <c r="R70" s="2039" t="s">
        <v>1219</v>
      </c>
    </row>
    <row r="71" spans="1:18" s="773" customFormat="1">
      <c r="A71" s="2051" t="s">
        <v>1199</v>
      </c>
      <c r="B71" s="2052" t="s">
        <v>1205</v>
      </c>
      <c r="C71" s="1897">
        <f ca="1">ROUND(C68*10000/F71,0)</f>
        <v>12904</v>
      </c>
      <c r="D71" s="2053" t="s">
        <v>1206</v>
      </c>
      <c r="E71" s="2054" t="s">
        <v>1207</v>
      </c>
      <c r="F71" s="1900">
        <f ca="1">F43</f>
        <v>11398.58</v>
      </c>
      <c r="O71" s="2007" t="s">
        <v>1288</v>
      </c>
      <c r="P71" s="2062" t="s">
        <v>1289</v>
      </c>
      <c r="Q71" s="2040">
        <f ca="1">C76</f>
        <v>7.4999999999999997E-2</v>
      </c>
      <c r="R71" s="2039"/>
    </row>
    <row r="72" spans="1:18" s="773" customFormat="1">
      <c r="B72" s="327"/>
      <c r="C72" s="327"/>
      <c r="O72" s="2007" t="s">
        <v>1239</v>
      </c>
      <c r="P72" s="2001" t="s">
        <v>1266</v>
      </c>
      <c r="Q72" s="2040">
        <f>L52</f>
        <v>0</v>
      </c>
      <c r="R72" s="2039"/>
    </row>
    <row r="73" spans="1:18" ht="15.75">
      <c r="A73" s="773"/>
      <c r="B73" s="327"/>
      <c r="C73" s="327"/>
      <c r="D73" s="773"/>
      <c r="E73" s="773"/>
      <c r="F73" s="773"/>
      <c r="O73" s="2007" t="s">
        <v>1243</v>
      </c>
      <c r="P73" s="2001" t="s">
        <v>1269</v>
      </c>
      <c r="Q73" s="2039" t="e">
        <f ca="1">L58</f>
        <v>#DIV/0!</v>
      </c>
      <c r="R73" s="2039" t="s">
        <v>1270</v>
      </c>
    </row>
    <row r="74" spans="1:18">
      <c r="A74" s="773"/>
      <c r="B74" s="228" t="s">
        <v>1290</v>
      </c>
      <c r="C74" s="2055"/>
      <c r="D74" s="773"/>
      <c r="E74" s="773"/>
      <c r="F74" s="773"/>
      <c r="O74" s="2007" t="s">
        <v>1291</v>
      </c>
      <c r="P74" s="2001" t="str">
        <f>K59</f>
        <v>建筑物剩余耐用年限下的土地年期修正系数Kn</v>
      </c>
      <c r="Q74" s="2039" t="e">
        <f ca="1">L59</f>
        <v>#DIV/0!</v>
      </c>
      <c r="R74" s="2039" t="s">
        <v>1271</v>
      </c>
    </row>
    <row r="75" spans="1:18">
      <c r="A75" s="773"/>
      <c r="B75" s="2056" t="s">
        <v>1292</v>
      </c>
      <c r="C75" s="2057">
        <f ca="1">ROUND(C13*C76,0)</f>
        <v>588</v>
      </c>
      <c r="D75" s="773"/>
      <c r="E75" s="773"/>
      <c r="F75" s="773"/>
      <c r="K75" s="1987"/>
      <c r="L75" s="773"/>
      <c r="O75" s="2000" t="s">
        <v>1069</v>
      </c>
      <c r="P75" s="2001" t="s">
        <v>1250</v>
      </c>
      <c r="Q75" s="2039">
        <f ca="1">Q65+Q66</f>
        <v>23109</v>
      </c>
      <c r="R75" s="2039" t="s">
        <v>1251</v>
      </c>
    </row>
    <row r="76" spans="1:18">
      <c r="B76" s="592" t="s">
        <v>1293</v>
      </c>
      <c r="C76" s="2058">
        <f ca="1">INDIRECT("'数据-取费表'!j"&amp;$G$1)</f>
        <v>7.4999999999999997E-2</v>
      </c>
      <c r="I76" s="773"/>
      <c r="J76" s="773"/>
      <c r="K76" s="1987"/>
      <c r="L76" s="773"/>
    </row>
    <row r="77" spans="1:18">
      <c r="B77" s="2059" t="s">
        <v>1294</v>
      </c>
      <c r="C77" s="2060"/>
      <c r="I77" s="773"/>
      <c r="J77" s="773"/>
      <c r="K77" s="1987"/>
      <c r="L77" s="773"/>
    </row>
    <row r="78" spans="1:18">
      <c r="B78" s="226" t="s">
        <v>1295</v>
      </c>
      <c r="C78" s="2061"/>
    </row>
    <row r="79" spans="1:18">
      <c r="B79" s="2056" t="s">
        <v>1296</v>
      </c>
      <c r="C79" s="229">
        <f ca="1">1-C80</f>
        <v>0.57800000000000007</v>
      </c>
    </row>
    <row r="80" spans="1:18">
      <c r="B80" s="2056" t="s">
        <v>1297</v>
      </c>
      <c r="C80" s="229">
        <f ca="1">ROUND(C75/C39,3)</f>
        <v>0.42199999999999999</v>
      </c>
    </row>
    <row r="81" spans="2:3">
      <c r="B81" s="226" t="s">
        <v>1298</v>
      </c>
      <c r="C81" s="196"/>
    </row>
    <row r="82" spans="2:3">
      <c r="B82" s="228" t="s">
        <v>1042</v>
      </c>
      <c r="C82" s="230">
        <f ca="1">1-C83</f>
        <v>0.376</v>
      </c>
    </row>
    <row r="83" spans="2:3">
      <c r="B83" s="228" t="s">
        <v>1043</v>
      </c>
      <c r="C83" s="229">
        <f ca="1">ROUND(C13/C40,3)</f>
        <v>0.624</v>
      </c>
    </row>
  </sheetData>
  <sheetProtection formatCells="0" formatColumns="0" formatRows="0"/>
  <mergeCells count="3">
    <mergeCell ref="K53:L53"/>
    <mergeCell ref="B6:B9"/>
    <mergeCell ref="I6:I9"/>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1106</v>
      </c>
      <c r="B1" s="1129"/>
      <c r="C1" s="1788"/>
      <c r="D1" s="1789"/>
      <c r="E1" s="1790" t="s">
        <v>1107</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1108</v>
      </c>
      <c r="B2" s="1794" t="e">
        <f ca="1">ROUND(D2/10000,0)</f>
        <v>#DIV/0!</v>
      </c>
      <c r="C2" s="1795" t="s">
        <v>1109</v>
      </c>
      <c r="D2" s="1796" t="e">
        <f ca="1">C40+J29+L46</f>
        <v>#DIV/0!</v>
      </c>
      <c r="E2" s="1797" t="s">
        <v>1299</v>
      </c>
      <c r="F2" s="1798"/>
      <c r="G2" s="1799"/>
      <c r="H2" s="1800"/>
      <c r="I2" s="1800"/>
      <c r="J2" s="1800"/>
      <c r="K2" s="1958"/>
      <c r="L2" s="1800"/>
      <c r="M2" s="1800"/>
    </row>
    <row r="3" spans="1:37" ht="18" customHeight="1">
      <c r="A3" s="1801" t="s">
        <v>1110</v>
      </c>
      <c r="B3" s="1802">
        <f ca="1">IF(ISERROR(D2/F43),0,ROUND(D2/F43,0))</f>
        <v>0</v>
      </c>
      <c r="C3" s="1795" t="s">
        <v>1111</v>
      </c>
      <c r="D3" s="1795"/>
      <c r="E3" s="1797"/>
      <c r="F3" s="1798"/>
      <c r="G3" s="1799"/>
      <c r="H3" s="1803" t="s">
        <v>1112</v>
      </c>
      <c r="I3" s="1959"/>
      <c r="J3" s="1959"/>
      <c r="K3" s="1960"/>
      <c r="L3" s="1959"/>
      <c r="M3" s="1959"/>
    </row>
    <row r="4" spans="1:37" ht="18" customHeight="1">
      <c r="A4" s="1804" t="s">
        <v>1113</v>
      </c>
      <c r="B4" s="1805" t="s">
        <v>1114</v>
      </c>
      <c r="C4" s="1805" t="s">
        <v>1115</v>
      </c>
      <c r="D4" s="1805" t="s">
        <v>1116</v>
      </c>
      <c r="E4" s="1806" t="s">
        <v>1117</v>
      </c>
      <c r="F4" s="1807"/>
      <c r="G4" s="773"/>
      <c r="H4" s="1804" t="s">
        <v>1113</v>
      </c>
      <c r="I4" s="1805" t="s">
        <v>1114</v>
      </c>
      <c r="J4" s="1805" t="s">
        <v>1115</v>
      </c>
      <c r="K4" s="1805" t="s">
        <v>1116</v>
      </c>
      <c r="L4" s="1806" t="s">
        <v>1117</v>
      </c>
      <c r="M4" s="1807"/>
    </row>
    <row r="5" spans="1:37" ht="18" customHeight="1">
      <c r="A5" s="1808">
        <v>1</v>
      </c>
      <c r="B5" s="1809" t="s">
        <v>1118</v>
      </c>
      <c r="C5" s="1810">
        <f ca="1">C6+C10+C12</f>
        <v>0</v>
      </c>
      <c r="D5" s="1811" t="s">
        <v>1119</v>
      </c>
      <c r="E5" s="1812"/>
      <c r="F5" s="1813"/>
      <c r="G5" s="773"/>
      <c r="H5" s="1808">
        <v>1</v>
      </c>
      <c r="I5" s="1809" t="s">
        <v>1118</v>
      </c>
      <c r="J5" s="1810">
        <f ca="1">J6+J10+J12</f>
        <v>0</v>
      </c>
      <c r="K5" s="1811" t="s">
        <v>1119</v>
      </c>
      <c r="L5" s="1812"/>
      <c r="M5" s="1813"/>
    </row>
    <row r="6" spans="1:37" ht="18" customHeight="1">
      <c r="A6" s="1814" t="s">
        <v>855</v>
      </c>
      <c r="B6" s="3423" t="s">
        <v>1120</v>
      </c>
      <c r="C6" s="1815">
        <f ca="1">ROUND(F6*F8*F7*(1-F9),0)</f>
        <v>0</v>
      </c>
      <c r="D6" s="1816" t="s">
        <v>1300</v>
      </c>
      <c r="E6" s="1817" t="s">
        <v>1122</v>
      </c>
      <c r="F6" s="1818">
        <f ca="1">INDIRECT("'数据-取费表'!u"&amp;$G$1)</f>
        <v>0</v>
      </c>
      <c r="G6" s="773"/>
      <c r="H6" s="1814" t="s">
        <v>855</v>
      </c>
      <c r="I6" s="3423" t="s">
        <v>1120</v>
      </c>
      <c r="J6" s="1889">
        <f ca="1">ROUND(M6*M8*M7*(1-M9),0)</f>
        <v>0</v>
      </c>
      <c r="K6" s="1961" t="s">
        <v>1301</v>
      </c>
      <c r="L6" s="1817" t="s">
        <v>1122</v>
      </c>
      <c r="M6" s="1818">
        <f ca="1">INDIRECT("'数据-取费表'!z"&amp;$G$1)</f>
        <v>0</v>
      </c>
    </row>
    <row r="7" spans="1:37" ht="18" customHeight="1">
      <c r="A7" s="1819"/>
      <c r="B7" s="3424"/>
      <c r="C7" s="1820"/>
      <c r="D7" s="1821"/>
      <c r="E7" s="1822" t="s">
        <v>1124</v>
      </c>
      <c r="F7" s="1818">
        <f ca="1">IF(INDIRECT("'数据-取费表'!ah"&amp;$G$1)="",INDIRECT("'数据-取费表'!k"&amp;$G$1),INDIRECT("'数据-取费表'!ah"&amp;$G$1))</f>
        <v>0</v>
      </c>
      <c r="G7" s="773"/>
      <c r="H7" s="1823"/>
      <c r="I7" s="3424"/>
      <c r="J7" s="1824"/>
      <c r="K7" s="1821"/>
      <c r="L7" s="1817" t="s">
        <v>1124</v>
      </c>
      <c r="M7" s="1818">
        <f ca="1">F7</f>
        <v>0</v>
      </c>
    </row>
    <row r="8" spans="1:37" ht="18" customHeight="1">
      <c r="A8" s="1823"/>
      <c r="B8" s="3424"/>
      <c r="C8" s="1824"/>
      <c r="D8" s="1821"/>
      <c r="E8" s="1817" t="s">
        <v>1125</v>
      </c>
      <c r="F8" s="1818">
        <f ca="1">INDIRECT("'数据-取费表'!ai"&amp;$G$1)</f>
        <v>0</v>
      </c>
      <c r="G8" s="773"/>
      <c r="H8" s="1823"/>
      <c r="I8" s="3424"/>
      <c r="J8" s="1824"/>
      <c r="K8" s="1821"/>
      <c r="L8" s="1817" t="s">
        <v>1125</v>
      </c>
      <c r="M8" s="1818">
        <f ca="1">INDIRECT("'数据-取费表'!ai"&amp;$G$1)</f>
        <v>0</v>
      </c>
    </row>
    <row r="9" spans="1:37" ht="18" customHeight="1">
      <c r="A9" s="1823"/>
      <c r="B9" s="3425"/>
      <c r="C9" s="1824"/>
      <c r="D9" s="1821"/>
      <c r="E9" s="1817" t="s">
        <v>1126</v>
      </c>
      <c r="F9" s="1825">
        <f ca="1">INDIRECT("'数据-取费表'!w"&amp;$G$1)</f>
        <v>0</v>
      </c>
      <c r="G9" s="773"/>
      <c r="H9" s="1823"/>
      <c r="I9" s="3425"/>
      <c r="J9" s="1824"/>
      <c r="K9" s="1821"/>
      <c r="L9" s="1828" t="s">
        <v>1126</v>
      </c>
      <c r="M9" s="1833">
        <f ca="1">INDIRECT("'数据-取费表'!ab"&amp;$G$1)</f>
        <v>0</v>
      </c>
    </row>
    <row r="10" spans="1:37" ht="18" customHeight="1">
      <c r="A10" s="1814" t="s">
        <v>859</v>
      </c>
      <c r="B10" s="1826" t="s">
        <v>1127</v>
      </c>
      <c r="C10" s="292">
        <f ca="1">ROUND(IF(F10="押一",C6/12*F11,IF(F10="押二",C6/12*2*F11,IF(F10="押三",C6/12*3*F11,C11*F11))),0)</f>
        <v>0</v>
      </c>
      <c r="D10" s="1827" t="s">
        <v>1128</v>
      </c>
      <c r="E10" s="1828" t="s">
        <v>1129</v>
      </c>
      <c r="F10" s="1829"/>
      <c r="G10" s="773"/>
      <c r="H10" s="1814" t="s">
        <v>859</v>
      </c>
      <c r="I10" s="1826" t="s">
        <v>1127</v>
      </c>
      <c r="J10" s="1889">
        <f ca="1">ROUND(IF(M10="押一",J6/12*M11,IF(M10="押二",J6/12*2*M11,IF(M10="押三",J6/12*3*M11,J11*M11))),0)</f>
        <v>0</v>
      </c>
      <c r="K10" s="1962" t="s">
        <v>1302</v>
      </c>
      <c r="L10" s="1828" t="s">
        <v>1129</v>
      </c>
      <c r="M10" s="1829"/>
    </row>
    <row r="11" spans="1:37" ht="18" customHeight="1">
      <c r="A11" s="1830"/>
      <c r="B11" s="1831" t="s">
        <v>1303</v>
      </c>
      <c r="C11" s="1832"/>
      <c r="D11" s="1821"/>
      <c r="E11" s="1828" t="s">
        <v>1133</v>
      </c>
      <c r="F11" s="1833">
        <f ca="1">'数据-取费表'!B39</f>
        <v>1.4999999999999999E-2</v>
      </c>
      <c r="G11" s="773"/>
      <c r="H11" s="1834"/>
      <c r="I11" s="1831" t="s">
        <v>1304</v>
      </c>
      <c r="J11" s="1832"/>
      <c r="K11" s="1963"/>
      <c r="L11" s="1828" t="s">
        <v>1133</v>
      </c>
      <c r="M11" s="1964">
        <f ca="1">'数据-取费表'!B39</f>
        <v>1.4999999999999999E-2</v>
      </c>
    </row>
    <row r="12" spans="1:37" ht="18" customHeight="1">
      <c r="A12" s="1835" t="s">
        <v>904</v>
      </c>
      <c r="B12" s="1836" t="s">
        <v>1134</v>
      </c>
      <c r="C12" s="1837"/>
      <c r="D12" s="1838"/>
      <c r="E12" s="1839"/>
      <c r="F12" s="1840"/>
      <c r="G12" s="773"/>
      <c r="H12" s="1835" t="s">
        <v>904</v>
      </c>
      <c r="I12" s="1836" t="s">
        <v>1134</v>
      </c>
      <c r="J12" s="1837"/>
      <c r="K12" s="1965"/>
      <c r="L12" s="1839"/>
      <c r="M12" s="1966"/>
    </row>
    <row r="13" spans="1:37" ht="18" customHeight="1">
      <c r="A13" s="1841">
        <v>2</v>
      </c>
      <c r="B13" s="1842" t="s">
        <v>1135</v>
      </c>
      <c r="C13" s="1843">
        <f ca="1">ROUND(C29*F13,0)</f>
        <v>0</v>
      </c>
      <c r="D13" s="1844" t="s">
        <v>1136</v>
      </c>
      <c r="E13" s="1844" t="s">
        <v>1137</v>
      </c>
      <c r="F13" s="1845">
        <f ca="1">INDIRECT("'数据-取费表'!y"&amp;$G$1)</f>
        <v>0</v>
      </c>
      <c r="G13" s="773"/>
      <c r="H13" s="1841">
        <v>2</v>
      </c>
      <c r="I13" s="1842" t="s">
        <v>1135</v>
      </c>
      <c r="J13" s="1967">
        <f ca="1">ROUND(J14*J15,0)</f>
        <v>0</v>
      </c>
      <c r="K13" s="1867" t="s">
        <v>1136</v>
      </c>
      <c r="L13" s="1968"/>
      <c r="M13" s="1969"/>
    </row>
    <row r="14" spans="1:37" ht="18" customHeight="1">
      <c r="A14" s="1846" t="s">
        <v>878</v>
      </c>
      <c r="B14" s="1817" t="s">
        <v>1138</v>
      </c>
      <c r="C14" s="1847">
        <f ca="1">ROUND(INDIRECT("'数据-取费表'!l"&amp;$G$1)*F43+'数据-取费表'!L14*INDIRECT("'数据-取费表'!S"&amp;$G$1),0)</f>
        <v>0</v>
      </c>
      <c r="D14" s="1848" t="s">
        <v>1139</v>
      </c>
      <c r="E14" s="1849"/>
      <c r="F14" s="1850"/>
      <c r="G14" s="773"/>
      <c r="H14" s="1846" t="s">
        <v>855</v>
      </c>
      <c r="I14" s="1817" t="s">
        <v>1140</v>
      </c>
      <c r="J14" s="293">
        <f ca="1">C29</f>
        <v>0</v>
      </c>
      <c r="K14" s="1970"/>
      <c r="L14" s="1971"/>
      <c r="M14" s="1972"/>
    </row>
    <row r="15" spans="1:37" s="1785" customFormat="1" ht="18" customHeight="1">
      <c r="A15" s="1846" t="s">
        <v>882</v>
      </c>
      <c r="B15" s="1817" t="s">
        <v>1067</v>
      </c>
      <c r="C15" s="293">
        <f ca="1">ROUND(C14*F15,0)</f>
        <v>0</v>
      </c>
      <c r="D15" s="1851" t="s">
        <v>1141</v>
      </c>
      <c r="E15" s="1851" t="s">
        <v>1142</v>
      </c>
      <c r="F15" s="1852">
        <f>'数据-取费表'!B33</f>
        <v>0.03</v>
      </c>
      <c r="G15" s="1853"/>
      <c r="H15" s="1854" t="s">
        <v>859</v>
      </c>
      <c r="I15" s="1839" t="s">
        <v>1137</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885</v>
      </c>
      <c r="B16" s="1817" t="s">
        <v>1070</v>
      </c>
      <c r="C16" s="293">
        <f ca="1">ROUND(INDIRECT("'数据-取费表'!l"&amp;$G$1)*F43*F16,0)</f>
        <v>0</v>
      </c>
      <c r="D16" s="1817" t="s">
        <v>1141</v>
      </c>
      <c r="E16" s="1817" t="s">
        <v>1142</v>
      </c>
      <c r="F16" s="1855">
        <f ca="1">IF(INDIRECT("'数据-取费表'!c"&amp;$G$1)="住宅",'数据-取费表'!B34,0)</f>
        <v>0</v>
      </c>
      <c r="G16" s="773"/>
      <c r="H16" s="1841" t="s">
        <v>1143</v>
      </c>
      <c r="I16" s="1842" t="s">
        <v>1144</v>
      </c>
      <c r="J16" s="1843">
        <f ca="1">ROUND(J17+J22+J23+J24,0)</f>
        <v>0</v>
      </c>
      <c r="K16" s="1867" t="s">
        <v>1145</v>
      </c>
      <c r="L16" s="1868"/>
      <c r="M16" s="1813"/>
    </row>
    <row r="17" spans="1:37" s="1785" customFormat="1" ht="18" customHeight="1">
      <c r="A17" s="1846" t="s">
        <v>1146</v>
      </c>
      <c r="B17" s="1817" t="s">
        <v>1147</v>
      </c>
      <c r="C17" s="293">
        <f ca="1">ROUND(F17*(F43+INDIRECT("'数据-取费表'!S"&amp;$G$1)),0)</f>
        <v>0</v>
      </c>
      <c r="D17" s="1817" t="s">
        <v>1148</v>
      </c>
      <c r="E17" s="1817" t="s">
        <v>1149</v>
      </c>
      <c r="F17" s="1856">
        <f>'数据-取费表'!B35</f>
        <v>200</v>
      </c>
      <c r="G17" s="1853"/>
      <c r="H17" s="1846" t="s">
        <v>855</v>
      </c>
      <c r="I17" s="1817" t="s">
        <v>1150</v>
      </c>
      <c r="J17" s="1870">
        <f ca="1">ROUND(IF(AND(项目基本情况!B11="自然人",项目基本情况!B10="北京市"),J6*M17/(1+'数据-取费表'!C42),J18+J19+J20),0)</f>
        <v>0</v>
      </c>
      <c r="K17" s="1848" t="s">
        <v>1151</v>
      </c>
      <c r="L17" s="1871" t="s">
        <v>1152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1153</v>
      </c>
      <c r="B18" s="1817" t="s">
        <v>1076</v>
      </c>
      <c r="C18" s="293">
        <f ca="1">ROUND(C14*F18,0)</f>
        <v>0</v>
      </c>
      <c r="D18" s="1817" t="s">
        <v>1141</v>
      </c>
      <c r="E18" s="1817" t="s">
        <v>1142</v>
      </c>
      <c r="F18" s="1855">
        <f>'数据-取费表'!B36</f>
        <v>1.4999999999999999E-2</v>
      </c>
      <c r="G18" s="1853"/>
      <c r="H18" s="1846" t="s">
        <v>878</v>
      </c>
      <c r="I18" s="1817" t="s">
        <v>1154</v>
      </c>
      <c r="J18" s="293">
        <f ca="1">ROUND(J6*M18/(1+'数据-取费表'!C42),0)</f>
        <v>0</v>
      </c>
      <c r="K18" s="1871" t="s">
        <v>1155</v>
      </c>
      <c r="L18" s="1817" t="s">
        <v>1142</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855</v>
      </c>
      <c r="B19" s="1817" t="s">
        <v>1156</v>
      </c>
      <c r="C19" s="293">
        <f ca="1">SUM(C14:C18)</f>
        <v>0</v>
      </c>
      <c r="D19" s="1857" t="s">
        <v>1157</v>
      </c>
      <c r="E19" s="295"/>
      <c r="F19" s="1856"/>
      <c r="G19" s="773"/>
      <c r="H19" s="1846" t="s">
        <v>882</v>
      </c>
      <c r="I19" s="1817" t="s">
        <v>1158</v>
      </c>
      <c r="J19" s="293">
        <f ca="1">IF(K19="按租金收入计税",ROUND(J6*M19/(1+'数据-取费表'!C42),0),ROUND(C29*M19*0.7,0))</f>
        <v>0</v>
      </c>
      <c r="K19" s="1874" t="s">
        <v>1305</v>
      </c>
      <c r="L19" s="1817" t="s">
        <v>1142</v>
      </c>
      <c r="M19" s="1855">
        <f>IF(K19="按租金收入计税",'数据-取费表'!B51,'数据-取费表'!B50)</f>
        <v>1.2E-2</v>
      </c>
    </row>
    <row r="20" spans="1:37" s="1785" customFormat="1" ht="18" customHeight="1">
      <c r="A20" s="1846" t="s">
        <v>859</v>
      </c>
      <c r="B20" s="1817" t="s">
        <v>1160</v>
      </c>
      <c r="C20" s="293">
        <f ca="1">ROUND(C19*F20,0)</f>
        <v>0</v>
      </c>
      <c r="D20" s="1858" t="s">
        <v>1161</v>
      </c>
      <c r="E20" s="1817" t="s">
        <v>1142</v>
      </c>
      <c r="F20" s="1855">
        <f>'数据-取费表'!B37</f>
        <v>0.02</v>
      </c>
      <c r="G20" s="1853"/>
      <c r="H20" s="1846" t="s">
        <v>885</v>
      </c>
      <c r="I20" s="1816" t="s">
        <v>1162</v>
      </c>
      <c r="J20" s="1876">
        <f ca="1">ROUND(M20*M21,0)</f>
        <v>0</v>
      </c>
      <c r="K20" s="1877" t="s">
        <v>1163</v>
      </c>
      <c r="L20" s="1817" t="s">
        <v>1164</v>
      </c>
      <c r="M20" s="1861">
        <f>'数据-取费表'!B52</f>
        <v>12</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904</v>
      </c>
      <c r="B21" s="1817" t="s">
        <v>1165</v>
      </c>
      <c r="C21" s="293" t="s">
        <v>124</v>
      </c>
      <c r="D21" s="1858" t="s">
        <v>1166</v>
      </c>
      <c r="E21" s="1817" t="s">
        <v>1167</v>
      </c>
      <c r="F21" s="1855">
        <f>'数据-取费表'!B38</f>
        <v>0.02</v>
      </c>
      <c r="G21" s="1853"/>
      <c r="H21" s="1859"/>
      <c r="I21" s="1976"/>
      <c r="J21" s="1880"/>
      <c r="K21" s="1881"/>
      <c r="L21" s="1817" t="s">
        <v>1168</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907</v>
      </c>
      <c r="B22" s="1817" t="s">
        <v>1169</v>
      </c>
      <c r="C22" s="293"/>
      <c r="D22" s="1857" t="str">
        <f>IF(F23&lt;=1,"单利计息。","复利计息。")&amp;"建造成本、管理费用、销售费用产生的利息。"</f>
        <v>单利计息。建造成本、管理费用、销售费用产生的利息。</v>
      </c>
      <c r="E22" s="295"/>
      <c r="F22" s="1856"/>
      <c r="G22" s="773"/>
      <c r="H22" s="1846" t="s">
        <v>859</v>
      </c>
      <c r="I22" s="1817" t="s">
        <v>1170</v>
      </c>
      <c r="J22" s="293">
        <f ca="1">ROUND(J14*M22,0)</f>
        <v>0</v>
      </c>
      <c r="K22" s="1871" t="s">
        <v>1171</v>
      </c>
      <c r="L22" s="1817" t="s">
        <v>1142</v>
      </c>
      <c r="M22" s="1883">
        <f ca="1">INDIRECT("'数据-取费表'!Ak"&amp;$G$1)</f>
        <v>0</v>
      </c>
    </row>
    <row r="23" spans="1:37" s="1785" customFormat="1" ht="18" customHeight="1">
      <c r="A23" s="1846" t="s">
        <v>878</v>
      </c>
      <c r="B23" s="1817" t="s">
        <v>1172</v>
      </c>
      <c r="C23" s="293">
        <f ca="1">IF('数据-取费表'!B22&lt;=1,ROUND(C19*F24*F23/2,0)+ROUND(C20*F24*F23/2,0),ROUND(C19*(POWER((1+F24),F23/2)-1),0)+ROUND(C20*(POWER((1+F24),F23/2)-1),0))</f>
        <v>0</v>
      </c>
      <c r="D23" s="1860" t="str">
        <f>IF(F23&lt;=1,"(建造成本+管理费用)×利率×(建设周期÷2)","(建造成本+管理费用)×((1+利率)^(建设周期÷2)-1)")</f>
        <v>(建造成本+管理费用)×利率×(建设周期÷2)</v>
      </c>
      <c r="E23" s="1817" t="s">
        <v>1173</v>
      </c>
      <c r="F23" s="1861">
        <f>'数据-取费表'!B20</f>
        <v>1</v>
      </c>
      <c r="G23" s="1853"/>
      <c r="H23" s="1846" t="s">
        <v>904</v>
      </c>
      <c r="I23" s="1817" t="s">
        <v>1174</v>
      </c>
      <c r="J23" s="293">
        <f ca="1">ROUND(J13*M23,0)</f>
        <v>0</v>
      </c>
      <c r="K23" s="1871" t="s">
        <v>1175</v>
      </c>
      <c r="L23" s="1817" t="s">
        <v>1142</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882</v>
      </c>
      <c r="B24" s="1817" t="s">
        <v>1176</v>
      </c>
      <c r="C24" s="293">
        <f ca="1">ROUND(IF('数据-取费表'!B22&lt;=1,F21*F24*F23/2,F21*(POWER((1+F24),F23/2)-1)),4)</f>
        <v>4.0000000000000002E-4</v>
      </c>
      <c r="D24" s="1860" t="str">
        <f>IF(F23&lt;=1,"销售费用×利率×(建设周期÷2)","销售费用×((1+利率)^(建设周期÷2)-1)")</f>
        <v>销售费用×利率×(建设周期÷2)</v>
      </c>
      <c r="E24" s="1817" t="s">
        <v>1177</v>
      </c>
      <c r="F24" s="1862">
        <f ca="1">'数据-取费表'!B40</f>
        <v>4.1499999999999995E-2</v>
      </c>
      <c r="G24" s="1853"/>
      <c r="H24" s="1854" t="s">
        <v>907</v>
      </c>
      <c r="I24" s="1839" t="s">
        <v>1160</v>
      </c>
      <c r="J24" s="1863">
        <f ca="1">ROUND(J5*M24,0)</f>
        <v>0</v>
      </c>
      <c r="K24" s="1864" t="s">
        <v>1178</v>
      </c>
      <c r="L24" s="1839" t="s">
        <v>1142</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911</v>
      </c>
      <c r="B25" s="1817" t="s">
        <v>1179</v>
      </c>
      <c r="C25" s="293"/>
      <c r="D25" s="1857" t="s">
        <v>1180</v>
      </c>
      <c r="E25" s="295"/>
      <c r="F25" s="1856"/>
      <c r="G25" s="773"/>
      <c r="H25" s="1841" t="s">
        <v>1181</v>
      </c>
      <c r="I25" s="1885" t="s">
        <v>1182</v>
      </c>
      <c r="J25" s="1843">
        <f ca="1">J5-J16</f>
        <v>0</v>
      </c>
      <c r="K25" s="1886" t="s">
        <v>1183</v>
      </c>
      <c r="L25" s="1887"/>
      <c r="M25" s="1888"/>
    </row>
    <row r="26" spans="1:37" ht="18" customHeight="1">
      <c r="A26" s="1846" t="s">
        <v>878</v>
      </c>
      <c r="B26" s="1817" t="s">
        <v>1184</v>
      </c>
      <c r="C26" s="293">
        <f ca="1">ROUND((C19+C20)*F26,0)</f>
        <v>0</v>
      </c>
      <c r="D26" s="1858" t="s">
        <v>1185</v>
      </c>
      <c r="E26" s="1828" t="s">
        <v>1186</v>
      </c>
      <c r="F26" s="1825">
        <f ca="1">INDIRECT("'数据-取费表'!q"&amp;$G$1)</f>
        <v>0</v>
      </c>
      <c r="G26" s="773"/>
      <c r="H26" s="1808" t="s">
        <v>1187</v>
      </c>
      <c r="I26" s="1809" t="s">
        <v>1188</v>
      </c>
      <c r="J26" s="1889">
        <f ca="1">IF(J5&lt;&gt;0,ROUND(J25*(1-((1+M28)/(1+M26))^M27)/(M26-M28),0),0)</f>
        <v>0</v>
      </c>
      <c r="K26" s="1877" t="s">
        <v>1189</v>
      </c>
      <c r="L26" s="1817" t="s">
        <v>1190</v>
      </c>
      <c r="M26" s="1825">
        <f ca="1">INDIRECT("'数据-取费表'!I"&amp;$G$1)</f>
        <v>0</v>
      </c>
    </row>
    <row r="27" spans="1:37" ht="18" customHeight="1">
      <c r="A27" s="1846" t="s">
        <v>882</v>
      </c>
      <c r="B27" s="1817" t="s">
        <v>1191</v>
      </c>
      <c r="C27" s="293">
        <f ca="1">ROUND(F21*F26,4)</f>
        <v>0</v>
      </c>
      <c r="D27" s="1858" t="s">
        <v>1192</v>
      </c>
      <c r="E27" s="1851"/>
      <c r="F27" s="1852"/>
      <c r="G27" s="773"/>
      <c r="H27" s="1823"/>
      <c r="I27" s="1891"/>
      <c r="J27" s="1824"/>
      <c r="K27" s="1892" t="s">
        <v>1193</v>
      </c>
      <c r="L27" s="1817" t="s">
        <v>1194</v>
      </c>
      <c r="M27" s="1893">
        <f ca="1">INDIRECT("'数据-取费表'!ag"&amp;$G$1)</f>
        <v>0</v>
      </c>
    </row>
    <row r="28" spans="1:37" s="1785" customFormat="1" ht="18" customHeight="1">
      <c r="A28" s="1846" t="s">
        <v>912</v>
      </c>
      <c r="B28" s="1817" t="s">
        <v>1195</v>
      </c>
      <c r="C28" s="293">
        <f>ROUND(F28/(1+'数据-取费表'!C42),4)</f>
        <v>5.33E-2</v>
      </c>
      <c r="D28" s="1858" t="s">
        <v>1196</v>
      </c>
      <c r="E28" s="1817" t="s">
        <v>1142</v>
      </c>
      <c r="F28" s="1855">
        <f>'数据-取费表'!B41</f>
        <v>5.6000000000000001E-2</v>
      </c>
      <c r="G28" s="1853"/>
      <c r="H28" s="1830"/>
      <c r="I28" s="1895"/>
      <c r="J28" s="1843"/>
      <c r="K28" s="1881"/>
      <c r="L28" s="1817" t="s">
        <v>1197</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1101</v>
      </c>
      <c r="B29" s="1839" t="s">
        <v>1198</v>
      </c>
      <c r="C29" s="1863">
        <f ca="1">ROUND((C19+C20+C23+C26)/(1-F21-C24-C27-C28),0)</f>
        <v>0</v>
      </c>
      <c r="D29" s="1864"/>
      <c r="E29" s="1839"/>
      <c r="F29" s="1865"/>
      <c r="G29" s="1853"/>
      <c r="H29" s="1866" t="s">
        <v>1199</v>
      </c>
      <c r="I29" s="1896" t="s">
        <v>1200</v>
      </c>
      <c r="J29" s="1897">
        <f ca="1">ROUND(J26/(1+F40)^F41,0)</f>
        <v>0</v>
      </c>
      <c r="K29" s="1898" t="s">
        <v>1201</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1143</v>
      </c>
      <c r="B30" s="1842" t="s">
        <v>1144</v>
      </c>
      <c r="C30" s="1843">
        <f ca="1">ROUND(C31+C36+C37+C38,0)</f>
        <v>0</v>
      </c>
      <c r="D30" s="1867" t="s">
        <v>1145</v>
      </c>
      <c r="E30" s="1868"/>
      <c r="F30" s="1813"/>
      <c r="G30" s="773"/>
      <c r="H30" s="1869"/>
      <c r="I30" s="1977"/>
      <c r="J30" s="1978"/>
      <c r="K30" s="1979"/>
      <c r="L30" s="1980"/>
      <c r="M30" s="1981"/>
    </row>
    <row r="31" spans="1:37" ht="18" customHeight="1">
      <c r="A31" s="1846" t="s">
        <v>855</v>
      </c>
      <c r="B31" s="1817" t="s">
        <v>1150</v>
      </c>
      <c r="C31" s="1870">
        <f ca="1">ROUND(IF(AND(项目基本情况!B11="自然人",项目基本情况!B10="北京市"),C6*F31/(1+'数据-取费表'!C42),C32+C33+C34),0)</f>
        <v>0</v>
      </c>
      <c r="D31" s="1848" t="s">
        <v>1151</v>
      </c>
      <c r="E31" s="1871" t="s">
        <v>1152</v>
      </c>
      <c r="F31" s="1872" t="str">
        <f>IF(项目基本情况!B11="企业","——",IF('数据-取费表'!B10="住宅",IF(F6*F7*F8/12/(1+'数据-取费表'!F30)&gt;100000,4%,2.5%),IF(F6*F7*F8/12/(1+'数据-取费表'!F30)&gt;100000,12%,7%)))</f>
        <v>——</v>
      </c>
      <c r="G31" s="773"/>
      <c r="H31" s="1873" t="s">
        <v>1202</v>
      </c>
      <c r="I31" s="1977"/>
      <c r="J31" s="1978"/>
      <c r="K31" s="1979"/>
      <c r="L31" s="1980"/>
      <c r="M31" s="1981"/>
    </row>
    <row r="32" spans="1:37" ht="18" customHeight="1">
      <c r="A32" s="1846" t="s">
        <v>878</v>
      </c>
      <c r="B32" s="1817" t="s">
        <v>1154</v>
      </c>
      <c r="C32" s="293">
        <f ca="1">IF(项目基本情况!B11="自然人","——",ROUND(C6*F32/(1+'数据-取费表'!C42),0))</f>
        <v>0</v>
      </c>
      <c r="D32" s="1871" t="s">
        <v>1155</v>
      </c>
      <c r="E32" s="1817" t="s">
        <v>1142</v>
      </c>
      <c r="F32" s="1862">
        <f>'数据-取费表'!B41</f>
        <v>5.6000000000000001E-2</v>
      </c>
      <c r="G32" s="773"/>
      <c r="H32" s="1869"/>
      <c r="I32" s="1977"/>
      <c r="J32" s="1978"/>
      <c r="K32" s="1979"/>
      <c r="L32" s="1980"/>
      <c r="M32" s="1981"/>
    </row>
    <row r="33" spans="1:18" ht="18" customHeight="1">
      <c r="A33" s="1846" t="s">
        <v>882</v>
      </c>
      <c r="B33" s="1817" t="s">
        <v>1158</v>
      </c>
      <c r="C33" s="293">
        <f ca="1">IF(项目基本情况!B11="自然人","——",IF(D33="按租金收入计税",ROUND(C6*F33/(1+'数据-取费表'!C42),0),IF(D33="按房产原值计税",ROUND(C29*F33*0.7,0),INDIRECT("'数据-取费表'!Aj"&amp;$G$1))))</f>
        <v>0</v>
      </c>
      <c r="D33" s="1874" t="s">
        <v>1305</v>
      </c>
      <c r="E33" s="1817" t="s">
        <v>1142</v>
      </c>
      <c r="F33" s="1855">
        <f>IF(D33="按票据","——",IF(D33="按租金收入计税",'数据-取费表'!B51,'数据-取费表'!B50))</f>
        <v>1.2E-2</v>
      </c>
      <c r="G33" s="773"/>
      <c r="H33" s="1875"/>
      <c r="I33" s="1977"/>
      <c r="J33" s="1978"/>
      <c r="K33" s="1982"/>
      <c r="L33" s="1875"/>
      <c r="M33" s="1875"/>
    </row>
    <row r="34" spans="1:18" ht="18" customHeight="1">
      <c r="A34" s="1814" t="s">
        <v>885</v>
      </c>
      <c r="B34" s="1816" t="s">
        <v>1162</v>
      </c>
      <c r="C34" s="1876">
        <f ca="1">IF(项目基本情况!B11="自然人","——",ROUND(F34*F35,))</f>
        <v>0</v>
      </c>
      <c r="D34" s="1877" t="s">
        <v>1163</v>
      </c>
      <c r="E34" s="1817" t="s">
        <v>1164</v>
      </c>
      <c r="F34" s="1861">
        <f>'数据-取费表'!B52</f>
        <v>12</v>
      </c>
      <c r="G34" s="773"/>
      <c r="H34" s="1869"/>
      <c r="I34" s="1977"/>
      <c r="J34" s="1978"/>
      <c r="K34" s="1983"/>
      <c r="L34" s="1984"/>
      <c r="M34" s="1984"/>
    </row>
    <row r="35" spans="1:18" ht="18" customHeight="1">
      <c r="A35" s="1878"/>
      <c r="B35" s="1879"/>
      <c r="C35" s="1880"/>
      <c r="D35" s="1881"/>
      <c r="E35" s="1817" t="s">
        <v>1168</v>
      </c>
      <c r="F35" s="1818">
        <f ca="1">INDIRECT("'数据-取费表'!r"&amp;$G$1)</f>
        <v>0</v>
      </c>
      <c r="G35" s="773"/>
      <c r="H35" s="1869"/>
      <c r="I35" s="1977"/>
      <c r="J35" s="1978"/>
      <c r="K35" s="1982"/>
      <c r="L35" s="1875"/>
      <c r="M35" s="1875"/>
    </row>
    <row r="36" spans="1:18" ht="18" customHeight="1">
      <c r="A36" s="1882" t="s">
        <v>859</v>
      </c>
      <c r="B36" s="1817" t="s">
        <v>1170</v>
      </c>
      <c r="C36" s="293">
        <f ca="1">ROUND(C29*F36,0)</f>
        <v>0</v>
      </c>
      <c r="D36" s="1871" t="s">
        <v>1203</v>
      </c>
      <c r="E36" s="1817" t="s">
        <v>1142</v>
      </c>
      <c r="F36" s="1883">
        <f ca="1">INDIRECT("'数据-取费表'!Ak"&amp;$G$1)</f>
        <v>0</v>
      </c>
      <c r="G36" s="773"/>
      <c r="H36" s="1875"/>
      <c r="I36" s="1977"/>
      <c r="J36" s="1978"/>
      <c r="K36" s="1985"/>
      <c r="L36" s="1875"/>
      <c r="M36" s="1875"/>
    </row>
    <row r="37" spans="1:18" ht="18" customHeight="1">
      <c r="A37" s="1846" t="s">
        <v>904</v>
      </c>
      <c r="B37" s="1817" t="s">
        <v>1174</v>
      </c>
      <c r="C37" s="293">
        <f ca="1">ROUND(C13*F37,0)</f>
        <v>0</v>
      </c>
      <c r="D37" s="1871" t="s">
        <v>1175</v>
      </c>
      <c r="E37" s="1817" t="s">
        <v>1142</v>
      </c>
      <c r="F37" s="1884">
        <f ca="1">INDIRECT("'数据-取费表'!Al"&amp;$G$1)</f>
        <v>0</v>
      </c>
      <c r="G37" s="773"/>
      <c r="H37" s="1875"/>
      <c r="I37" s="1977"/>
      <c r="J37" s="1978"/>
      <c r="K37" s="1985"/>
      <c r="L37" s="1875"/>
      <c r="M37" s="1875"/>
    </row>
    <row r="38" spans="1:18" ht="18" customHeight="1">
      <c r="A38" s="1854" t="s">
        <v>907</v>
      </c>
      <c r="B38" s="1839" t="s">
        <v>1160</v>
      </c>
      <c r="C38" s="1863">
        <f ca="1">ROUND(C5*F38,1)</f>
        <v>0</v>
      </c>
      <c r="D38" s="1864" t="s">
        <v>1178</v>
      </c>
      <c r="E38" s="1839" t="s">
        <v>1142</v>
      </c>
      <c r="F38" s="1840">
        <f ca="1">INDIRECT("'数据-取费表'!Am"&amp;$G$1)</f>
        <v>0</v>
      </c>
      <c r="G38" s="773"/>
      <c r="H38" s="1875"/>
      <c r="I38" s="1977"/>
      <c r="J38" s="1978"/>
      <c r="K38" s="1986"/>
      <c r="L38" s="1875"/>
      <c r="M38" s="1875"/>
    </row>
    <row r="39" spans="1:18" ht="24.6" customHeight="1">
      <c r="A39" s="1841" t="s">
        <v>1181</v>
      </c>
      <c r="B39" s="1885" t="s">
        <v>1182</v>
      </c>
      <c r="C39" s="1843">
        <f ca="1">C5-C30</f>
        <v>0</v>
      </c>
      <c r="D39" s="1886" t="s">
        <v>1183</v>
      </c>
      <c r="E39" s="1887"/>
      <c r="F39" s="1888"/>
      <c r="G39" s="773"/>
      <c r="H39" s="1875"/>
      <c r="I39" s="1977"/>
      <c r="J39" s="1978"/>
      <c r="K39" s="1986"/>
      <c r="L39" s="1875"/>
      <c r="M39" s="1875"/>
    </row>
    <row r="40" spans="1:18" ht="18" customHeight="1">
      <c r="A40" s="1808" t="s">
        <v>1187</v>
      </c>
      <c r="B40" s="1809" t="s">
        <v>1204</v>
      </c>
      <c r="C40" s="1889" t="e">
        <f ca="1">ROUND(C39*(1-((1+F42)/(1+F40))^F41)/(F40-F42),0)</f>
        <v>#DIV/0!</v>
      </c>
      <c r="D40" s="1877" t="s">
        <v>1189</v>
      </c>
      <c r="E40" s="1817" t="s">
        <v>1190</v>
      </c>
      <c r="F40" s="1825">
        <f ca="1">INDIRECT("'数据-取费表'!I"&amp;$G$1)</f>
        <v>0</v>
      </c>
      <c r="G40" s="773"/>
      <c r="H40" s="1890"/>
      <c r="I40" s="1977"/>
      <c r="J40" s="1978"/>
      <c r="K40" s="1986"/>
      <c r="L40" s="1890"/>
      <c r="M40" s="1890"/>
    </row>
    <row r="41" spans="1:18" ht="18" customHeight="1">
      <c r="A41" s="1823"/>
      <c r="B41" s="1891"/>
      <c r="C41" s="1824"/>
      <c r="D41" s="1892" t="s">
        <v>1193</v>
      </c>
      <c r="E41" s="1817" t="s">
        <v>1194</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1197</v>
      </c>
      <c r="F42" s="1825">
        <f ca="1">INDIRECT("'数据-取费表'!v"&amp;$G$1)</f>
        <v>0</v>
      </c>
      <c r="G42" s="773"/>
      <c r="H42" s="1894"/>
      <c r="I42" s="1977"/>
      <c r="J42" s="1978"/>
      <c r="K42" s="1985"/>
      <c r="L42" s="1894"/>
      <c r="M42" s="1894"/>
    </row>
    <row r="43" spans="1:18" ht="18" customHeight="1">
      <c r="A43" s="1866" t="s">
        <v>1199</v>
      </c>
      <c r="B43" s="1896" t="s">
        <v>1205</v>
      </c>
      <c r="C43" s="1897" t="e">
        <f ca="1">ROUND(C40/F43,0)</f>
        <v>#DIV/0!</v>
      </c>
      <c r="D43" s="1898" t="s">
        <v>1206</v>
      </c>
      <c r="E43" s="1899" t="s">
        <v>1207</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1306</v>
      </c>
      <c r="E45" s="1901"/>
      <c r="F45" s="1901"/>
      <c r="O45" s="1988" t="s">
        <v>1208</v>
      </c>
      <c r="P45" s="1890"/>
      <c r="Q45" s="1890"/>
      <c r="R45" s="1890"/>
    </row>
    <row r="46" spans="1:18" s="773" customFormat="1">
      <c r="A46" s="1905" t="s">
        <v>1209</v>
      </c>
      <c r="C46" s="1906" t="e">
        <f ca="1">ROUND(C45/10000,0)</f>
        <v>#DIV/0!</v>
      </c>
      <c r="D46" s="1907" t="str">
        <f>C2</f>
        <v>万元</v>
      </c>
      <c r="I46" s="1989" t="s">
        <v>1210</v>
      </c>
      <c r="J46" s="1990"/>
      <c r="K46" s="1991"/>
      <c r="L46" s="1992" t="e">
        <f ca="1">IF(M47="住宅",0,IF(L48&gt;J51,L60,J60))</f>
        <v>#DIV/0!</v>
      </c>
      <c r="O46" s="1993" t="s">
        <v>1211</v>
      </c>
      <c r="P46" s="1994" t="s">
        <v>1212</v>
      </c>
      <c r="Q46" s="2038" t="s">
        <v>1213</v>
      </c>
      <c r="R46" s="2038" t="s">
        <v>1214</v>
      </c>
    </row>
    <row r="47" spans="1:18" s="773" customFormat="1">
      <c r="A47" s="1908" t="s">
        <v>1113</v>
      </c>
      <c r="B47" s="1909" t="s">
        <v>1114</v>
      </c>
      <c r="C47" s="1909" t="s">
        <v>1115</v>
      </c>
      <c r="D47" s="1909" t="s">
        <v>1116</v>
      </c>
      <c r="E47" s="1910" t="s">
        <v>1117</v>
      </c>
      <c r="F47" s="286"/>
      <c r="G47" s="1911"/>
      <c r="I47" s="1995" t="s">
        <v>1215</v>
      </c>
      <c r="J47" s="1996"/>
      <c r="K47" s="1997" t="s">
        <v>1217</v>
      </c>
      <c r="L47" s="1998">
        <f ca="1">INDIRECT("'数据-取费表'!d"&amp;$G$1)</f>
        <v>0</v>
      </c>
      <c r="M47" s="1999" t="str">
        <f>IF(ISNUMBER(FIND("住宅",C1)),"住宅","非住宅")</f>
        <v>非住宅</v>
      </c>
      <c r="O47" s="2000" t="s">
        <v>961</v>
      </c>
      <c r="P47" s="2001" t="s">
        <v>1218</v>
      </c>
      <c r="Q47" s="2039" t="e">
        <f ca="1">C40+J29</f>
        <v>#DIV/0!</v>
      </c>
      <c r="R47" s="2039" t="s">
        <v>1219</v>
      </c>
    </row>
    <row r="48" spans="1:18" s="773" customFormat="1" ht="27.75">
      <c r="A48" s="1912" t="s">
        <v>1220</v>
      </c>
      <c r="B48" s="1809" t="s">
        <v>1118</v>
      </c>
      <c r="C48" s="294">
        <f ca="1">C49+C53+C55</f>
        <v>0</v>
      </c>
      <c r="D48" s="1913"/>
      <c r="E48" s="1914"/>
      <c r="F48" s="1915"/>
      <c r="G48" s="1911"/>
      <c r="H48" s="1916"/>
      <c r="I48" s="834" t="s">
        <v>1221</v>
      </c>
      <c r="J48" s="2002"/>
      <c r="K48" s="2003" t="s">
        <v>1223</v>
      </c>
      <c r="L48" s="2004">
        <f ca="1">INDIRECT("'数据-取费表'!f"&amp;$G$1)</f>
        <v>0</v>
      </c>
      <c r="O48" s="2000" t="s">
        <v>965</v>
      </c>
      <c r="P48" s="2001" t="s">
        <v>1224</v>
      </c>
      <c r="Q48" s="2039" t="e">
        <f ca="1">J60</f>
        <v>#DIV/0!</v>
      </c>
      <c r="R48" s="2039" t="s">
        <v>1225</v>
      </c>
    </row>
    <row r="49" spans="1:18" s="773" customFormat="1">
      <c r="A49" s="1917" t="s">
        <v>1226</v>
      </c>
      <c r="B49" s="1918" t="s">
        <v>1227</v>
      </c>
      <c r="C49" s="1919">
        <f ca="1">ROUND(F49*F51*F50*(1-F52),0)</f>
        <v>0</v>
      </c>
      <c r="D49" s="1920" t="s">
        <v>1307</v>
      </c>
      <c r="E49" s="1921" t="s">
        <v>1228</v>
      </c>
      <c r="F49" s="1922"/>
      <c r="G49" s="1923"/>
      <c r="H49" s="1916"/>
      <c r="I49" s="834" t="s">
        <v>1229</v>
      </c>
      <c r="J49" s="2005"/>
      <c r="K49" s="2003" t="s">
        <v>1230</v>
      </c>
      <c r="L49" s="2006"/>
      <c r="O49" s="2007" t="s">
        <v>1231</v>
      </c>
      <c r="P49" s="2001" t="s">
        <v>1232</v>
      </c>
      <c r="Q49" s="2039">
        <f ca="1">C29</f>
        <v>0</v>
      </c>
      <c r="R49" s="2039" t="s">
        <v>1219</v>
      </c>
    </row>
    <row r="50" spans="1:18" s="773" customFormat="1">
      <c r="A50" s="1924"/>
      <c r="B50" s="1925"/>
      <c r="C50" s="1926"/>
      <c r="D50" s="1927"/>
      <c r="E50" s="1928" t="s">
        <v>1124</v>
      </c>
      <c r="F50" s="1929">
        <f ca="1">F7</f>
        <v>0</v>
      </c>
      <c r="H50" s="1916"/>
      <c r="I50" s="834" t="s">
        <v>1233</v>
      </c>
      <c r="J50" s="2008">
        <f>SUMPRODUCT((I63:I65=J47)*(J62:L62=J48)*(J63:L65))</f>
        <v>0</v>
      </c>
      <c r="K50" s="2003" t="s">
        <v>1234</v>
      </c>
      <c r="L50" s="2006"/>
      <c r="M50" s="2009"/>
      <c r="O50" s="2007" t="s">
        <v>1235</v>
      </c>
      <c r="P50" s="2001" t="s">
        <v>1236</v>
      </c>
      <c r="Q50" s="2040" t="e">
        <f ca="1">J58</f>
        <v>#DIV/0!</v>
      </c>
      <c r="R50" s="2039"/>
    </row>
    <row r="51" spans="1:18" s="773" customFormat="1">
      <c r="A51" s="1930"/>
      <c r="B51" s="1925"/>
      <c r="C51" s="1926"/>
      <c r="D51" s="1927"/>
      <c r="E51" s="1931" t="s">
        <v>1125</v>
      </c>
      <c r="F51" s="1818">
        <f ca="1">F8</f>
        <v>0</v>
      </c>
      <c r="I51" s="2010" t="s">
        <v>1237</v>
      </c>
      <c r="J51" s="2011">
        <f>IF(J49="",J50,J49+J50-YEAR('数据-取费表'!B2))</f>
        <v>0</v>
      </c>
      <c r="K51" s="2012" t="s">
        <v>1238</v>
      </c>
      <c r="L51" s="2013">
        <f ca="1">ROUND(-PV(INDIRECT("'数据-取费表'!h"&amp;$G$1),J51,(C39-C13*C76),0),0)</f>
        <v>0</v>
      </c>
      <c r="M51" s="2014"/>
      <c r="O51" s="2007" t="s">
        <v>1239</v>
      </c>
      <c r="P51" s="2001" t="s">
        <v>1240</v>
      </c>
      <c r="Q51" s="2040">
        <f>J52</f>
        <v>0</v>
      </c>
      <c r="R51" s="2039"/>
    </row>
    <row r="52" spans="1:18" s="773" customFormat="1">
      <c r="A52" s="1930"/>
      <c r="B52" s="1925"/>
      <c r="C52" s="1926"/>
      <c r="D52" s="1927"/>
      <c r="E52" s="1931" t="s">
        <v>1126</v>
      </c>
      <c r="F52" s="1932"/>
      <c r="I52" s="2015" t="s">
        <v>1241</v>
      </c>
      <c r="J52" s="2016"/>
      <c r="K52" s="2015" t="s">
        <v>1242</v>
      </c>
      <c r="L52" s="2016"/>
      <c r="O52" s="2007" t="s">
        <v>1243</v>
      </c>
      <c r="P52" s="2001" t="s">
        <v>1244</v>
      </c>
      <c r="Q52" s="2039">
        <f ca="1">J53</f>
        <v>0</v>
      </c>
      <c r="R52" s="2039" t="s">
        <v>1245</v>
      </c>
    </row>
    <row r="53" spans="1:18" s="773" customFormat="1" ht="30.75" customHeight="1">
      <c r="A53" s="1933" t="s">
        <v>1246</v>
      </c>
      <c r="B53" s="1858" t="s">
        <v>1127</v>
      </c>
      <c r="C53" s="292">
        <f ca="1">ROUND(IF(F53="押一",C49/12*F11,IF(F53="押二",C49/12*2*F11,IF(F53="押三",C49/12*3*F11,C54*F11))),0)</f>
        <v>0</v>
      </c>
      <c r="D53" s="1827" t="s">
        <v>1308</v>
      </c>
      <c r="E53" s="1828" t="s">
        <v>1129</v>
      </c>
      <c r="F53" s="1829"/>
      <c r="I53" s="2017" t="s">
        <v>1248</v>
      </c>
      <c r="J53" s="2018">
        <f ca="1">IF(M47="住宅",IF(D1="——",MAX(J51,L48),MAX(J51,L48-'数据-取费表'!B24)),IF(D1="——",MIN(J51,L48),MIN(J51,L48-'数据-取费表'!B24)))</f>
        <v>0</v>
      </c>
      <c r="K53" s="3421" t="s">
        <v>1249</v>
      </c>
      <c r="L53" s="3422"/>
      <c r="O53" s="2000" t="s">
        <v>1069</v>
      </c>
      <c r="P53" s="2001" t="s">
        <v>1250</v>
      </c>
      <c r="Q53" s="2039" t="e">
        <f ca="1">Q47+Q48</f>
        <v>#DIV/0!</v>
      </c>
      <c r="R53" s="2039" t="s">
        <v>1251</v>
      </c>
    </row>
    <row r="54" spans="1:18" s="773" customFormat="1">
      <c r="A54" s="1917"/>
      <c r="B54" s="1934" t="s">
        <v>1304</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1252</v>
      </c>
      <c r="P54" s="2021"/>
      <c r="Q54" s="2021"/>
      <c r="R54" s="2021"/>
    </row>
    <row r="55" spans="1:18" s="773" customFormat="1">
      <c r="A55" s="1835" t="s">
        <v>904</v>
      </c>
      <c r="B55" s="1836" t="s">
        <v>1134</v>
      </c>
      <c r="C55" s="1837"/>
      <c r="D55" s="1827"/>
      <c r="E55" s="1935"/>
      <c r="F55" s="1936"/>
      <c r="I55" s="2022" t="s">
        <v>1253</v>
      </c>
      <c r="J55" s="2023" t="e">
        <f ca="1">ROUND(IF(J47="钢混",J57/J50,1-(1-2%)*(J50-J57)/J50),3)</f>
        <v>#DIV/0!</v>
      </c>
      <c r="K55" s="2024" t="s">
        <v>1254</v>
      </c>
      <c r="L55" s="2025"/>
      <c r="O55" s="1993" t="s">
        <v>1211</v>
      </c>
      <c r="P55" s="1994" t="s">
        <v>1212</v>
      </c>
      <c r="Q55" s="2038" t="s">
        <v>1213</v>
      </c>
      <c r="R55" s="2038" t="s">
        <v>1214</v>
      </c>
    </row>
    <row r="56" spans="1:18" s="773" customFormat="1" ht="36" customHeight="1">
      <c r="A56" s="1937">
        <v>2</v>
      </c>
      <c r="B56" s="1938" t="s">
        <v>1135</v>
      </c>
      <c r="C56" s="186">
        <f ca="1">C13</f>
        <v>0</v>
      </c>
      <c r="D56" s="1939"/>
      <c r="E56" s="1940"/>
      <c r="F56" s="1936"/>
      <c r="I56" s="2026" t="s">
        <v>1256</v>
      </c>
      <c r="J56" s="2027"/>
      <c r="K56" s="834" t="s">
        <v>1257</v>
      </c>
      <c r="L56" s="2004">
        <f ca="1">IF(L48&lt;J51,"——",L48-J51)</f>
        <v>0</v>
      </c>
      <c r="O56" s="2000" t="s">
        <v>961</v>
      </c>
      <c r="P56" s="2001" t="s">
        <v>1218</v>
      </c>
      <c r="Q56" s="2039" t="e">
        <f ca="1">C40+J29</f>
        <v>#DIV/0!</v>
      </c>
      <c r="R56" s="2039" t="s">
        <v>1219</v>
      </c>
    </row>
    <row r="57" spans="1:18" s="773" customFormat="1" ht="24">
      <c r="A57" s="1941"/>
      <c r="B57" s="1942" t="s">
        <v>1198</v>
      </c>
      <c r="C57" s="196">
        <f ca="1">C29</f>
        <v>0</v>
      </c>
      <c r="D57" s="1943"/>
      <c r="E57" s="1944"/>
      <c r="F57" s="1945"/>
      <c r="I57" s="2028" t="s">
        <v>1258</v>
      </c>
      <c r="J57" s="2029">
        <f ca="1">IF(OR(M47="住宅",J51&lt;L48,J56="是"),"——",J51-L48)</f>
        <v>0</v>
      </c>
      <c r="K57" s="834" t="s">
        <v>1309</v>
      </c>
      <c r="L57" s="2004">
        <f ca="1">IF(L48&lt;J51,"——",IF(L55="比较法",L49,IF(L55="基准地价",L50,L51)))</f>
        <v>0</v>
      </c>
      <c r="O57" s="2000" t="s">
        <v>965</v>
      </c>
      <c r="P57" s="2001" t="s">
        <v>1260</v>
      </c>
      <c r="Q57" s="2039" t="e">
        <f ca="1">L60</f>
        <v>#DIV/0!</v>
      </c>
      <c r="R57" s="2039" t="s">
        <v>1261</v>
      </c>
    </row>
    <row r="58" spans="1:18" s="773" customFormat="1" ht="24">
      <c r="A58" s="1946" t="s">
        <v>1143</v>
      </c>
      <c r="B58" s="1938" t="s">
        <v>1144</v>
      </c>
      <c r="C58" s="292">
        <f ca="1">ROUND(C59+C64+C65+C66,0)</f>
        <v>0</v>
      </c>
      <c r="D58" s="1947" t="s">
        <v>1145</v>
      </c>
      <c r="E58" s="1948"/>
      <c r="F58" s="1915"/>
      <c r="I58" s="2028" t="s">
        <v>1262</v>
      </c>
      <c r="J58" s="2030" t="e">
        <f ca="1">IF(J55&lt;0.4,0.4,J55)</f>
        <v>#DIV/0!</v>
      </c>
      <c r="K58" s="2012" t="s">
        <v>1310</v>
      </c>
      <c r="L58" s="2004" t="e">
        <f ca="1">ROUND(POWER(1+L52,L47-L48)*(POWER(1+L52,L48)-1)/(POWER(1+L52,L47)-1),4)</f>
        <v>#DIV/0!</v>
      </c>
      <c r="O58" s="2007" t="s">
        <v>1231</v>
      </c>
      <c r="P58" s="2001" t="s">
        <v>1264</v>
      </c>
      <c r="Q58" s="2039">
        <f>IF(L55="比较法",L49,IF(L55="基准地价",L50,0))</f>
        <v>0</v>
      </c>
      <c r="R58" s="2039" t="s">
        <v>1219</v>
      </c>
    </row>
    <row r="59" spans="1:18" s="773" customFormat="1" ht="24">
      <c r="A59" s="1846" t="s">
        <v>855</v>
      </c>
      <c r="B59" s="1942" t="s">
        <v>1150</v>
      </c>
      <c r="C59" s="1870">
        <f ca="1">ROUND(IF(AND(项目基本情况!B11="自然人",项目基本情况!B10="北京市"),C49*F59/(1+'数据-取费表'!C42),C60+C61+C62),0)</f>
        <v>0</v>
      </c>
      <c r="D59" s="1949" t="s">
        <v>1151</v>
      </c>
      <c r="E59" s="1950" t="s">
        <v>1152</v>
      </c>
      <c r="F59" s="1872" t="str">
        <f>IF(项目基本情况!B11="企业","——",IF('数据-取费表'!B10="住宅",IF(F49*F50*F51/12/(1+'数据-取费表'!F30)&gt;100000,4%,2.5%),IF(F49*F50*F51/12/(1+'数据-取费表'!F30)&gt;100000,12%,7%)))</f>
        <v>——</v>
      </c>
      <c r="I59" s="2028" t="s">
        <v>1265</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1235</v>
      </c>
      <c r="P59" s="2001" t="s">
        <v>1266</v>
      </c>
      <c r="Q59" s="2040">
        <f>L52</f>
        <v>0</v>
      </c>
      <c r="R59" s="2039"/>
    </row>
    <row r="60" spans="1:18" s="773" customFormat="1" ht="15.75">
      <c r="A60" s="1846" t="s">
        <v>878</v>
      </c>
      <c r="B60" s="1942" t="s">
        <v>1154</v>
      </c>
      <c r="C60" s="293">
        <f ca="1">IF(项目基本情况!B11="自然人","——",ROUND(C48*F60/(1+'数据-取费表'!C42),0))</f>
        <v>0</v>
      </c>
      <c r="D60" s="1950" t="s">
        <v>1155</v>
      </c>
      <c r="E60" s="1942" t="s">
        <v>1142</v>
      </c>
      <c r="F60" s="1862">
        <f t="shared" ref="F60:F66" si="0">F32</f>
        <v>5.6000000000000001E-2</v>
      </c>
      <c r="I60" s="2031" t="s">
        <v>1267</v>
      </c>
      <c r="J60" s="2032" t="e">
        <f ca="1">IF(OR(M47="住宅",J51&lt;L48,J56="是"),"0",ROUND(J59/(1+J52)^J53,0))</f>
        <v>#DIV/0!</v>
      </c>
      <c r="K60" s="2033" t="s">
        <v>1268</v>
      </c>
      <c r="L60" s="2032" t="e">
        <f ca="1">IF(OR(M47="住宅",L48&lt;J51),0,ROUND(L57*(L58/L59-1),0))</f>
        <v>#DIV/0!</v>
      </c>
      <c r="O60" s="2007" t="s">
        <v>1239</v>
      </c>
      <c r="P60" s="2001" t="s">
        <v>1269</v>
      </c>
      <c r="Q60" s="2039" t="e">
        <f ca="1">L58</f>
        <v>#DIV/0!</v>
      </c>
      <c r="R60" s="2039" t="s">
        <v>1270</v>
      </c>
    </row>
    <row r="61" spans="1:18" s="773" customFormat="1">
      <c r="A61" s="1846" t="s">
        <v>882</v>
      </c>
      <c r="B61" s="1942" t="s">
        <v>1158</v>
      </c>
      <c r="C61" s="293">
        <f ca="1">IF(项目基本情况!B11="自然人","——",IF(D61="按租金收入计税",ROUND(C49*F61/(1+'数据-取费表'!C42),0),IF(D61="按房产原值计税",ROUND(C57*F61*0.7,0),INDIRECT("'数据-取费表'!Aj"&amp;$G$1))))</f>
        <v>0</v>
      </c>
      <c r="D61" s="1874" t="s">
        <v>1305</v>
      </c>
      <c r="E61" s="1942" t="s">
        <v>1142</v>
      </c>
      <c r="F61" s="1855">
        <f t="shared" si="0"/>
        <v>1.2E-2</v>
      </c>
      <c r="I61" s="1890"/>
      <c r="J61" s="1890"/>
      <c r="K61" s="1890"/>
      <c r="L61" s="1890"/>
      <c r="O61" s="2007" t="s">
        <v>1243</v>
      </c>
      <c r="P61" s="2001" t="str">
        <f>K59</f>
        <v>建设期及建筑物耐用年限下的土地年期修正系数Kn</v>
      </c>
      <c r="Q61" s="2039" t="e">
        <f ca="1">L59</f>
        <v>#DIV/0!</v>
      </c>
      <c r="R61" s="2039" t="s">
        <v>1271</v>
      </c>
    </row>
    <row r="62" spans="1:18" s="773" customFormat="1">
      <c r="A62" s="1846" t="s">
        <v>885</v>
      </c>
      <c r="B62" s="1951" t="s">
        <v>1162</v>
      </c>
      <c r="C62" s="1876">
        <f ca="1">IF(项目基本情况!B11="自然人","——",ROUND(F62*F63,0))</f>
        <v>0</v>
      </c>
      <c r="D62" s="1952" t="s">
        <v>1163</v>
      </c>
      <c r="E62" s="1942" t="s">
        <v>1164</v>
      </c>
      <c r="F62" s="1861">
        <f t="shared" si="0"/>
        <v>12</v>
      </c>
      <c r="I62" s="2034" t="s">
        <v>1272</v>
      </c>
      <c r="J62" s="2035" t="s">
        <v>1273</v>
      </c>
      <c r="K62" s="2035" t="s">
        <v>1274</v>
      </c>
      <c r="L62" s="2035" t="s">
        <v>1275</v>
      </c>
      <c r="M62" s="2036" t="s">
        <v>1276</v>
      </c>
      <c r="O62" s="2000" t="s">
        <v>1069</v>
      </c>
      <c r="P62" s="2001" t="s">
        <v>1250</v>
      </c>
      <c r="Q62" s="2039" t="e">
        <f ca="1">Q56+Q57</f>
        <v>#DIV/0!</v>
      </c>
      <c r="R62" s="2039" t="s">
        <v>1251</v>
      </c>
    </row>
    <row r="63" spans="1:18" s="773" customFormat="1">
      <c r="A63" s="1859"/>
      <c r="B63" s="1953"/>
      <c r="C63" s="1880"/>
      <c r="D63" s="1954"/>
      <c r="E63" s="1942" t="s">
        <v>1168</v>
      </c>
      <c r="F63" s="1818">
        <f t="shared" ca="1" si="0"/>
        <v>0</v>
      </c>
      <c r="I63" s="2034" t="s">
        <v>1277</v>
      </c>
      <c r="J63" s="2035">
        <v>70</v>
      </c>
      <c r="K63" s="2035">
        <v>50</v>
      </c>
      <c r="L63" s="2035">
        <v>80</v>
      </c>
      <c r="M63" s="2037">
        <v>0.02</v>
      </c>
      <c r="O63" s="1988" t="s">
        <v>1278</v>
      </c>
      <c r="P63" s="2021"/>
      <c r="Q63" s="2021"/>
      <c r="R63" s="2021"/>
    </row>
    <row r="64" spans="1:18" s="773" customFormat="1">
      <c r="A64" s="1846" t="s">
        <v>859</v>
      </c>
      <c r="B64" s="1942" t="s">
        <v>1170</v>
      </c>
      <c r="C64" s="293">
        <f ca="1">ROUND(C57*F64,0)</f>
        <v>0</v>
      </c>
      <c r="D64" s="1950" t="s">
        <v>1203</v>
      </c>
      <c r="E64" s="1942" t="s">
        <v>1142</v>
      </c>
      <c r="F64" s="1883">
        <f t="shared" ca="1" si="0"/>
        <v>0</v>
      </c>
      <c r="I64" s="2034" t="s">
        <v>1279</v>
      </c>
      <c r="J64" s="2035">
        <v>50</v>
      </c>
      <c r="K64" s="2035">
        <v>35</v>
      </c>
      <c r="L64" s="2035">
        <v>60</v>
      </c>
      <c r="M64" s="2036">
        <v>0</v>
      </c>
      <c r="O64" s="1993" t="s">
        <v>1211</v>
      </c>
      <c r="P64" s="1994" t="s">
        <v>1212</v>
      </c>
      <c r="Q64" s="2038" t="s">
        <v>1213</v>
      </c>
      <c r="R64" s="2038" t="s">
        <v>1214</v>
      </c>
    </row>
    <row r="65" spans="1:18" s="773" customFormat="1">
      <c r="A65" s="1846" t="s">
        <v>904</v>
      </c>
      <c r="B65" s="1942" t="s">
        <v>1174</v>
      </c>
      <c r="C65" s="293">
        <f ca="1">ROUND(C56*F65,0)</f>
        <v>0</v>
      </c>
      <c r="D65" s="1950" t="s">
        <v>1175</v>
      </c>
      <c r="E65" s="1942" t="s">
        <v>1142</v>
      </c>
      <c r="F65" s="1884">
        <f t="shared" ca="1" si="0"/>
        <v>0</v>
      </c>
      <c r="I65" s="2034" t="s">
        <v>1280</v>
      </c>
      <c r="J65" s="2035">
        <v>40</v>
      </c>
      <c r="K65" s="2035">
        <v>30</v>
      </c>
      <c r="L65" s="2035">
        <v>50</v>
      </c>
      <c r="M65" s="2037">
        <v>0.02</v>
      </c>
      <c r="O65" s="2000" t="s">
        <v>961</v>
      </c>
      <c r="P65" s="2001" t="s">
        <v>1218</v>
      </c>
      <c r="Q65" s="2039" t="e">
        <f ca="1">C40+J29</f>
        <v>#DIV/0!</v>
      </c>
      <c r="R65" s="2039" t="s">
        <v>1219</v>
      </c>
    </row>
    <row r="66" spans="1:18" s="773" customFormat="1" ht="15.75">
      <c r="A66" s="1846" t="s">
        <v>907</v>
      </c>
      <c r="B66" s="1942" t="s">
        <v>1160</v>
      </c>
      <c r="C66" s="293">
        <f ca="1">ROUND(C48*F66,0)</f>
        <v>0</v>
      </c>
      <c r="D66" s="1950" t="s">
        <v>1178</v>
      </c>
      <c r="E66" s="1942" t="s">
        <v>1142</v>
      </c>
      <c r="F66" s="1825">
        <f t="shared" ca="1" si="0"/>
        <v>0</v>
      </c>
      <c r="O66" s="2000" t="s">
        <v>965</v>
      </c>
      <c r="P66" s="2001" t="s">
        <v>1260</v>
      </c>
      <c r="Q66" s="2039" t="e">
        <f ca="1">L60</f>
        <v>#DIV/0!</v>
      </c>
      <c r="R66" s="2039" t="s">
        <v>1261</v>
      </c>
    </row>
    <row r="67" spans="1:18" s="773" customFormat="1" ht="15.75">
      <c r="A67" s="1937" t="s">
        <v>1181</v>
      </c>
      <c r="B67" s="2041" t="s">
        <v>1182</v>
      </c>
      <c r="C67" s="292">
        <f ca="1">C48-C58</f>
        <v>0</v>
      </c>
      <c r="D67" s="1949" t="s">
        <v>1183</v>
      </c>
      <c r="E67" s="2042"/>
      <c r="F67" s="2043"/>
      <c r="O67" s="2007" t="s">
        <v>1231</v>
      </c>
      <c r="P67" s="2001" t="s">
        <v>1264</v>
      </c>
      <c r="Q67" s="2063">
        <f ca="1">L51</f>
        <v>0</v>
      </c>
      <c r="R67" s="2039" t="s">
        <v>1281</v>
      </c>
    </row>
    <row r="68" spans="1:18" s="773" customFormat="1" ht="15.75">
      <c r="A68" s="2044" t="s">
        <v>1187</v>
      </c>
      <c r="B68" s="2045" t="s">
        <v>1204</v>
      </c>
      <c r="C68" s="1889" t="e">
        <f ca="1">ROUND(C67*(1-((1+F70)/(1+F68))^F69)/(F68-F70),0)</f>
        <v>#DIV/0!</v>
      </c>
      <c r="D68" s="1952" t="s">
        <v>1189</v>
      </c>
      <c r="E68" s="1942" t="s">
        <v>1190</v>
      </c>
      <c r="F68" s="1825">
        <f ca="1">F40</f>
        <v>0</v>
      </c>
      <c r="O68" s="2007" t="s">
        <v>1235</v>
      </c>
      <c r="P68" s="2062" t="s">
        <v>1282</v>
      </c>
      <c r="Q68" s="2039">
        <f ca="1">ROUND(Q69-Q70*Q71,0)</f>
        <v>0</v>
      </c>
      <c r="R68" s="2039" t="s">
        <v>1283</v>
      </c>
    </row>
    <row r="69" spans="1:18" s="773" customFormat="1">
      <c r="A69" s="2046"/>
      <c r="B69" s="2047"/>
      <c r="C69" s="1824"/>
      <c r="D69" s="2048" t="s">
        <v>1193</v>
      </c>
      <c r="E69" s="1942" t="s">
        <v>1194</v>
      </c>
      <c r="F69" s="1893">
        <f ca="1">F41</f>
        <v>0</v>
      </c>
      <c r="O69" s="2007" t="s">
        <v>1284</v>
      </c>
      <c r="P69" s="2062" t="s">
        <v>1285</v>
      </c>
      <c r="Q69" s="2039">
        <f ca="1">C39</f>
        <v>0</v>
      </c>
      <c r="R69" s="2039" t="s">
        <v>1219</v>
      </c>
    </row>
    <row r="70" spans="1:18" s="773" customFormat="1">
      <c r="A70" s="2049"/>
      <c r="B70" s="2050"/>
      <c r="C70" s="1843"/>
      <c r="D70" s="1954"/>
      <c r="E70" s="1942" t="s">
        <v>1197</v>
      </c>
      <c r="F70" s="1932">
        <f ca="1">F42</f>
        <v>0</v>
      </c>
      <c r="O70" s="2007" t="s">
        <v>1286</v>
      </c>
      <c r="P70" s="2062" t="s">
        <v>1287</v>
      </c>
      <c r="Q70" s="2039">
        <f ca="1">C13</f>
        <v>0</v>
      </c>
      <c r="R70" s="2039" t="s">
        <v>1219</v>
      </c>
    </row>
    <row r="71" spans="1:18" s="773" customFormat="1">
      <c r="A71" s="2051" t="s">
        <v>1199</v>
      </c>
      <c r="B71" s="2052" t="s">
        <v>1205</v>
      </c>
      <c r="C71" s="1897" t="e">
        <f ca="1">ROUND(C68/F71,0)</f>
        <v>#DIV/0!</v>
      </c>
      <c r="D71" s="2053" t="s">
        <v>1206</v>
      </c>
      <c r="E71" s="2054" t="s">
        <v>1207</v>
      </c>
      <c r="F71" s="1900">
        <f ca="1">F43</f>
        <v>0</v>
      </c>
      <c r="O71" s="2007" t="s">
        <v>1288</v>
      </c>
      <c r="P71" s="2062" t="s">
        <v>1289</v>
      </c>
      <c r="Q71" s="2040">
        <f ca="1">C76</f>
        <v>0</v>
      </c>
      <c r="R71" s="2039"/>
    </row>
    <row r="72" spans="1:18" s="773" customFormat="1">
      <c r="B72" s="327"/>
      <c r="C72" s="327"/>
      <c r="O72" s="2007" t="s">
        <v>1239</v>
      </c>
      <c r="P72" s="2001" t="s">
        <v>1266</v>
      </c>
      <c r="Q72" s="2040">
        <f>L52</f>
        <v>0</v>
      </c>
      <c r="R72" s="2039"/>
    </row>
    <row r="73" spans="1:18" ht="15.75">
      <c r="A73" s="773"/>
      <c r="B73" s="327"/>
      <c r="C73" s="327"/>
      <c r="D73" s="773"/>
      <c r="E73" s="773"/>
      <c r="F73" s="773"/>
      <c r="O73" s="2007" t="s">
        <v>1243</v>
      </c>
      <c r="P73" s="2001" t="s">
        <v>1269</v>
      </c>
      <c r="Q73" s="2039" t="e">
        <f ca="1">L58</f>
        <v>#DIV/0!</v>
      </c>
      <c r="R73" s="2039" t="s">
        <v>1270</v>
      </c>
    </row>
    <row r="74" spans="1:18">
      <c r="A74" s="773"/>
      <c r="B74" s="228" t="s">
        <v>1290</v>
      </c>
      <c r="C74" s="2055"/>
      <c r="D74" s="773"/>
      <c r="E74" s="773"/>
      <c r="F74" s="773"/>
      <c r="O74" s="2007" t="s">
        <v>1291</v>
      </c>
      <c r="P74" s="2001" t="str">
        <f>K59</f>
        <v>建设期及建筑物耐用年限下的土地年期修正系数Kn</v>
      </c>
      <c r="Q74" s="2039" t="e">
        <f ca="1">L59</f>
        <v>#DIV/0!</v>
      </c>
      <c r="R74" s="2039" t="s">
        <v>1271</v>
      </c>
    </row>
    <row r="75" spans="1:18">
      <c r="A75" s="773"/>
      <c r="B75" s="2056" t="s">
        <v>1292</v>
      </c>
      <c r="C75" s="2057">
        <f ca="1">ROUND(C13*C76,0)</f>
        <v>0</v>
      </c>
      <c r="D75" s="773"/>
      <c r="E75" s="773"/>
      <c r="F75" s="773"/>
      <c r="K75" s="1987"/>
      <c r="L75" s="773"/>
      <c r="O75" s="2000" t="s">
        <v>1069</v>
      </c>
      <c r="P75" s="2001" t="s">
        <v>1250</v>
      </c>
      <c r="Q75" s="2039" t="e">
        <f ca="1">Q65+Q66</f>
        <v>#DIV/0!</v>
      </c>
      <c r="R75" s="2039" t="s">
        <v>1251</v>
      </c>
    </row>
    <row r="76" spans="1:18">
      <c r="B76" s="592" t="s">
        <v>1293</v>
      </c>
      <c r="C76" s="2058">
        <f ca="1">INDIRECT("'数据-取费表'!j"&amp;$G$1)</f>
        <v>0</v>
      </c>
      <c r="I76" s="773"/>
      <c r="J76" s="773"/>
      <c r="K76" s="1987"/>
      <c r="L76" s="773"/>
    </row>
    <row r="77" spans="1:18">
      <c r="B77" s="2059" t="s">
        <v>1294</v>
      </c>
      <c r="C77" s="2060"/>
      <c r="I77" s="773"/>
      <c r="J77" s="773"/>
      <c r="K77" s="1987"/>
      <c r="L77" s="773"/>
    </row>
    <row r="78" spans="1:18">
      <c r="B78" s="226" t="s">
        <v>1295</v>
      </c>
      <c r="C78" s="2061"/>
    </row>
    <row r="79" spans="1:18">
      <c r="B79" s="2056" t="s">
        <v>1296</v>
      </c>
      <c r="C79" s="229" t="e">
        <f ca="1">1-C80</f>
        <v>#DIV/0!</v>
      </c>
    </row>
    <row r="80" spans="1:18">
      <c r="B80" s="2056" t="s">
        <v>1297</v>
      </c>
      <c r="C80" s="229" t="e">
        <f ca="1">ROUND(C75/C39,3)</f>
        <v>#DIV/0!</v>
      </c>
    </row>
    <row r="81" spans="2:3">
      <c r="B81" s="226" t="s">
        <v>1298</v>
      </c>
      <c r="C81" s="196"/>
    </row>
    <row r="82" spans="2:3">
      <c r="B82" s="228" t="s">
        <v>1042</v>
      </c>
      <c r="C82" s="230" t="e">
        <f ca="1">1-C83</f>
        <v>#DIV/0!</v>
      </c>
    </row>
    <row r="83" spans="2:3">
      <c r="B83" s="228" t="s">
        <v>1043</v>
      </c>
      <c r="C83" s="22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1311</v>
      </c>
      <c r="B1" s="1617"/>
      <c r="C1" s="1618"/>
      <c r="D1" s="1618"/>
      <c r="E1" s="1619"/>
      <c r="F1" s="1620"/>
      <c r="G1" s="1621"/>
      <c r="J1" s="1721" t="s">
        <v>1312</v>
      </c>
      <c r="K1" s="1722"/>
      <c r="L1" s="1722"/>
      <c r="M1" s="1722"/>
      <c r="N1" s="1722"/>
      <c r="O1" s="1722"/>
      <c r="P1" s="1722"/>
      <c r="Q1" s="1722"/>
      <c r="R1" s="1761"/>
      <c r="S1" s="1762"/>
      <c r="T1" s="1762"/>
      <c r="U1" s="1762"/>
    </row>
    <row r="2" spans="1:22" s="1609" customFormat="1" ht="13.15" customHeight="1">
      <c r="A2" s="1622" t="s">
        <v>1108</v>
      </c>
      <c r="B2" s="1623" t="e">
        <f>C40</f>
        <v>#DIV/0!</v>
      </c>
      <c r="C2" s="1618" t="s">
        <v>1109</v>
      </c>
      <c r="D2" s="1618"/>
      <c r="E2" s="1624"/>
      <c r="F2" s="1625"/>
      <c r="G2" s="1626"/>
      <c r="H2" s="1627"/>
      <c r="I2" s="1723"/>
      <c r="J2" s="3426" t="s">
        <v>1313</v>
      </c>
      <c r="K2" s="3427"/>
      <c r="L2" s="1724" t="s">
        <v>1314</v>
      </c>
      <c r="M2" s="1724" t="s">
        <v>1315</v>
      </c>
      <c r="N2" s="1724" t="s">
        <v>1316</v>
      </c>
      <c r="O2" s="1724" t="s">
        <v>1317</v>
      </c>
      <c r="P2" s="1724" t="s">
        <v>1318</v>
      </c>
      <c r="Q2" s="1763" t="s">
        <v>1319</v>
      </c>
      <c r="R2" s="1764" t="s">
        <v>1320</v>
      </c>
      <c r="S2" s="1762"/>
      <c r="T2" s="1762"/>
      <c r="U2" s="1762"/>
      <c r="V2" s="1723"/>
    </row>
    <row r="3" spans="1:22" s="1609" customFormat="1" ht="13.15" customHeight="1">
      <c r="A3" s="1628" t="s">
        <v>1110</v>
      </c>
      <c r="B3" s="1629" t="e">
        <f>ROUND(B2*10000/B4,0)</f>
        <v>#DIV/0!</v>
      </c>
      <c r="C3" s="1618" t="s">
        <v>1111</v>
      </c>
      <c r="D3" s="1618"/>
      <c r="E3" s="1624"/>
      <c r="F3" s="1625"/>
      <c r="G3" s="1626"/>
      <c r="H3" s="1627"/>
      <c r="I3" s="1723"/>
      <c r="J3" s="3428" t="s">
        <v>1321</v>
      </c>
      <c r="K3" s="3429"/>
      <c r="L3" s="1725"/>
      <c r="M3" s="1725"/>
      <c r="N3" s="1725"/>
      <c r="O3" s="1725"/>
      <c r="P3" s="1725"/>
      <c r="Q3" s="1765"/>
      <c r="R3" s="1766">
        <f>SUM(L3:Q3)</f>
        <v>0</v>
      </c>
      <c r="S3" s="1762"/>
      <c r="T3" s="1762"/>
      <c r="U3" s="1762"/>
      <c r="V3" s="1723"/>
    </row>
    <row r="4" spans="1:22" s="1609" customFormat="1" ht="13.15" customHeight="1">
      <c r="A4" s="1630" t="s">
        <v>467</v>
      </c>
      <c r="B4" s="1631"/>
      <c r="C4" s="1618"/>
      <c r="D4" s="1618"/>
      <c r="E4" s="1624"/>
      <c r="F4" s="1625"/>
      <c r="G4" s="1626"/>
      <c r="H4" s="1627"/>
      <c r="I4" s="1723"/>
      <c r="J4" s="3428" t="s">
        <v>1322</v>
      </c>
      <c r="K4" s="3429"/>
      <c r="L4" s="1726"/>
      <c r="M4" s="1726"/>
      <c r="N4" s="1726"/>
      <c r="O4" s="1726"/>
      <c r="P4" s="1726"/>
      <c r="Q4" s="1767"/>
      <c r="R4" s="1768">
        <f>SUM(L4:Q4)</f>
        <v>0</v>
      </c>
      <c r="S4" s="1762"/>
      <c r="T4" s="1762"/>
      <c r="U4" s="1762"/>
      <c r="V4" s="1723"/>
    </row>
    <row r="5" spans="1:22" s="1609" customFormat="1" ht="13.15" customHeight="1">
      <c r="A5" s="1632" t="s">
        <v>1323</v>
      </c>
      <c r="B5" s="1633"/>
      <c r="C5" s="1618"/>
      <c r="D5" s="1634"/>
      <c r="E5" s="1625"/>
      <c r="F5" s="1625"/>
      <c r="G5" s="1626"/>
      <c r="H5" s="1627"/>
      <c r="I5" s="1723"/>
      <c r="J5" s="1727" t="s">
        <v>1324</v>
      </c>
      <c r="K5" s="1728"/>
      <c r="L5" s="1728"/>
      <c r="M5" s="1729"/>
      <c r="N5" s="1729"/>
      <c r="O5" s="1729"/>
      <c r="P5" s="1729"/>
      <c r="Q5" s="1729"/>
      <c r="R5" s="1764">
        <f>SUM(R14,R19,R24,R25,R27,R28)</f>
        <v>0</v>
      </c>
      <c r="S5" s="1762"/>
      <c r="T5" s="1762" t="s">
        <v>1325</v>
      </c>
      <c r="U5" s="1762" t="e">
        <f>ROUND(R5*10000/365/R3,1)</f>
        <v>#DIV/0!</v>
      </c>
      <c r="V5" s="1723"/>
    </row>
    <row r="6" spans="1:22" s="1609" customFormat="1" ht="13.15" customHeight="1">
      <c r="A6" s="3430" t="s">
        <v>1326</v>
      </c>
      <c r="B6" s="3431"/>
      <c r="C6" s="3432"/>
      <c r="D6" s="1635"/>
      <c r="E6" s="1636"/>
      <c r="F6" s="1637"/>
      <c r="G6" s="1638"/>
      <c r="H6" s="1627"/>
      <c r="I6" s="1723"/>
      <c r="J6" s="3439">
        <v>1</v>
      </c>
      <c r="K6" s="3442" t="s">
        <v>1327</v>
      </c>
      <c r="L6" s="1731" t="s">
        <v>1328</v>
      </c>
      <c r="M6" s="1732" t="s">
        <v>1329</v>
      </c>
      <c r="N6" s="1732" t="s">
        <v>1330</v>
      </c>
      <c r="O6" s="1732" t="s">
        <v>1331</v>
      </c>
      <c r="P6" s="1732" t="s">
        <v>1332</v>
      </c>
      <c r="Q6" s="1732" t="s">
        <v>1333</v>
      </c>
      <c r="R6" s="1766" t="s">
        <v>1334</v>
      </c>
      <c r="S6" s="1762"/>
      <c r="T6" s="1762" t="s">
        <v>1335</v>
      </c>
      <c r="U6" s="1762"/>
      <c r="V6" s="1723"/>
    </row>
    <row r="7" spans="1:22" s="1609" customFormat="1" ht="13.15" customHeight="1">
      <c r="A7" s="1639" t="s">
        <v>1336</v>
      </c>
      <c r="B7" s="1640"/>
      <c r="C7" s="1641"/>
      <c r="D7" s="1642">
        <f>SUM(D9,D10,D11,D17,0)</f>
        <v>0</v>
      </c>
      <c r="E7" s="1643" t="e">
        <f>E9+E10+E11+E17</f>
        <v>#DIV/0!</v>
      </c>
      <c r="F7" s="1644"/>
      <c r="G7" s="1645"/>
      <c r="H7" s="1627"/>
      <c r="I7" s="1723"/>
      <c r="J7" s="3439"/>
      <c r="K7" s="3443"/>
      <c r="L7" s="1733" t="s">
        <v>1337</v>
      </c>
      <c r="M7" s="1734"/>
      <c r="N7" s="1631"/>
      <c r="O7" s="1735"/>
      <c r="P7" s="1735"/>
      <c r="Q7" s="1664">
        <v>365</v>
      </c>
      <c r="R7" s="1769">
        <f>ROUND(M7*N7*O7*P7*Q7/10000,0)</f>
        <v>0</v>
      </c>
      <c r="S7" s="1762"/>
      <c r="T7" s="1762" t="s">
        <v>1338</v>
      </c>
      <c r="U7" s="1762"/>
      <c r="V7" s="1723"/>
    </row>
    <row r="8" spans="1:22" s="1609" customFormat="1" ht="13.15" customHeight="1">
      <c r="A8" s="1646" t="s">
        <v>1339</v>
      </c>
      <c r="B8" s="3433" t="s">
        <v>1340</v>
      </c>
      <c r="C8" s="3434"/>
      <c r="D8" s="1649" t="s">
        <v>1341</v>
      </c>
      <c r="E8" s="1650" t="s">
        <v>1342</v>
      </c>
      <c r="F8" s="1651" t="s">
        <v>1343</v>
      </c>
      <c r="G8" s="1652"/>
      <c r="H8" s="1627"/>
      <c r="I8" s="1723"/>
      <c r="J8" s="3439"/>
      <c r="K8" s="3443"/>
      <c r="L8" s="1733" t="s">
        <v>1344</v>
      </c>
      <c r="M8" s="1734"/>
      <c r="N8" s="1631"/>
      <c r="O8" s="1735"/>
      <c r="P8" s="1735"/>
      <c r="Q8" s="1664">
        <v>365</v>
      </c>
      <c r="R8" s="1769">
        <f t="shared" ref="R8:R13" si="0">ROUND(M8*N8*O8*P8*Q8/10000,0)</f>
        <v>0</v>
      </c>
      <c r="S8" s="1762"/>
      <c r="T8" s="1762" t="s">
        <v>1345</v>
      </c>
      <c r="U8" s="1762"/>
      <c r="V8" s="1723"/>
    </row>
    <row r="9" spans="1:22" s="1609" customFormat="1" ht="13.15" customHeight="1">
      <c r="A9" s="1646">
        <v>1</v>
      </c>
      <c r="B9" s="3433" t="s">
        <v>1346</v>
      </c>
      <c r="C9" s="3434"/>
      <c r="D9" s="1649">
        <f>ROUND(D6*E9,0)</f>
        <v>0</v>
      </c>
      <c r="E9" s="1653"/>
      <c r="F9" s="1654" t="s">
        <v>1347</v>
      </c>
      <c r="G9" s="1638"/>
      <c r="H9" s="1627"/>
      <c r="I9" s="1723"/>
      <c r="J9" s="3439"/>
      <c r="K9" s="3443"/>
      <c r="L9" s="1733" t="s">
        <v>1348</v>
      </c>
      <c r="M9" s="1734"/>
      <c r="N9" s="1631"/>
      <c r="O9" s="1735"/>
      <c r="P9" s="1735"/>
      <c r="Q9" s="1664">
        <v>365</v>
      </c>
      <c r="R9" s="1769">
        <f t="shared" si="0"/>
        <v>0</v>
      </c>
      <c r="S9" s="1762"/>
      <c r="T9" s="1762"/>
      <c r="U9" s="1762"/>
      <c r="V9" s="1723"/>
    </row>
    <row r="10" spans="1:22" s="1609" customFormat="1" ht="13.15" customHeight="1">
      <c r="A10" s="1646">
        <v>2</v>
      </c>
      <c r="B10" s="3433" t="s">
        <v>1349</v>
      </c>
      <c r="C10" s="3434"/>
      <c r="D10" s="1649">
        <f>ROUND(D6*E10,0)</f>
        <v>0</v>
      </c>
      <c r="E10" s="1653"/>
      <c r="F10" s="1654" t="s">
        <v>1350</v>
      </c>
      <c r="G10" s="1638"/>
      <c r="H10" s="1627"/>
      <c r="I10" s="1723"/>
      <c r="J10" s="3439"/>
      <c r="K10" s="3443"/>
      <c r="L10" s="1733" t="s">
        <v>1351</v>
      </c>
      <c r="M10" s="1734"/>
      <c r="N10" s="1631"/>
      <c r="O10" s="1735"/>
      <c r="P10" s="1735"/>
      <c r="Q10" s="1664">
        <v>365</v>
      </c>
      <c r="R10" s="1769">
        <f t="shared" si="0"/>
        <v>0</v>
      </c>
      <c r="S10" s="1762"/>
      <c r="T10" s="1762"/>
      <c r="U10" s="1762"/>
      <c r="V10" s="1723"/>
    </row>
    <row r="11" spans="1:22" s="1609" customFormat="1" ht="13.15" customHeight="1">
      <c r="A11" s="1646">
        <v>3</v>
      </c>
      <c r="B11" s="3433" t="s">
        <v>1352</v>
      </c>
      <c r="C11" s="3434"/>
      <c r="D11" s="1649">
        <f>D12+D14+D15+D16</f>
        <v>0</v>
      </c>
      <c r="E11" s="1655" t="e">
        <f>D11/D6</f>
        <v>#DIV/0!</v>
      </c>
      <c r="F11" s="1651"/>
      <c r="G11" s="1652"/>
      <c r="H11" s="1627"/>
      <c r="I11" s="1723"/>
      <c r="J11" s="3439"/>
      <c r="K11" s="3443"/>
      <c r="L11" s="1733" t="s">
        <v>1353</v>
      </c>
      <c r="M11" s="1734"/>
      <c r="N11" s="1631"/>
      <c r="O11" s="1735"/>
      <c r="P11" s="1735"/>
      <c r="Q11" s="1664">
        <v>365</v>
      </c>
      <c r="R11" s="1769">
        <f t="shared" si="0"/>
        <v>0</v>
      </c>
      <c r="S11" s="1762"/>
      <c r="T11" s="1762"/>
      <c r="U11" s="1762"/>
      <c r="V11" s="1723"/>
    </row>
    <row r="12" spans="1:22" s="1609" customFormat="1" ht="13.15" customHeight="1">
      <c r="A12" s="1656" t="s">
        <v>1354</v>
      </c>
      <c r="B12" s="3435" t="s">
        <v>1355</v>
      </c>
      <c r="C12" s="3436"/>
      <c r="D12" s="1659">
        <f>ROUND(D13*1.2%*(1-30%),0)</f>
        <v>0</v>
      </c>
      <c r="E12" s="1660">
        <v>1.2E-2</v>
      </c>
      <c r="F12" s="1651" t="s">
        <v>1356</v>
      </c>
      <c r="G12" s="1652"/>
      <c r="H12" s="1627"/>
      <c r="I12" s="1723"/>
      <c r="J12" s="3439"/>
      <c r="K12" s="3443"/>
      <c r="L12" s="1733" t="s">
        <v>1357</v>
      </c>
      <c r="M12" s="1734"/>
      <c r="N12" s="1631"/>
      <c r="O12" s="1735"/>
      <c r="P12" s="1735"/>
      <c r="Q12" s="1664">
        <v>365</v>
      </c>
      <c r="R12" s="1769">
        <f t="shared" si="0"/>
        <v>0</v>
      </c>
      <c r="S12" s="1762"/>
      <c r="T12" s="1762"/>
      <c r="U12" s="1762"/>
      <c r="V12" s="1723"/>
    </row>
    <row r="13" spans="1:22" s="1609" customFormat="1" ht="13.15" customHeight="1">
      <c r="A13" s="1656"/>
      <c r="B13" s="1657"/>
      <c r="C13" s="1661" t="s">
        <v>1358</v>
      </c>
      <c r="D13" s="1662"/>
      <c r="E13" s="1663"/>
      <c r="F13" s="1651"/>
      <c r="G13" s="1652"/>
      <c r="H13" s="1627"/>
      <c r="I13" s="1723"/>
      <c r="J13" s="3439"/>
      <c r="K13" s="3443"/>
      <c r="L13" s="1733" t="s">
        <v>1359</v>
      </c>
      <c r="M13" s="1734"/>
      <c r="N13" s="1631"/>
      <c r="O13" s="1735"/>
      <c r="P13" s="1735"/>
      <c r="Q13" s="1664">
        <v>365</v>
      </c>
      <c r="R13" s="1769">
        <f t="shared" si="0"/>
        <v>0</v>
      </c>
      <c r="S13" s="1762"/>
      <c r="T13" s="1762"/>
      <c r="U13" s="1762"/>
      <c r="V13" s="1723"/>
    </row>
    <row r="14" spans="1:22" s="1609" customFormat="1" ht="13.15" customHeight="1">
      <c r="A14" s="1656" t="s">
        <v>1360</v>
      </c>
      <c r="B14" s="3435" t="s">
        <v>1361</v>
      </c>
      <c r="C14" s="3436"/>
      <c r="D14" s="1659">
        <f>ROUND(E14*B5/10000,0)</f>
        <v>0</v>
      </c>
      <c r="E14" s="1664"/>
      <c r="F14" s="1651" t="s">
        <v>1362</v>
      </c>
      <c r="G14" s="1652"/>
      <c r="H14" s="1627"/>
      <c r="I14" s="1723"/>
      <c r="J14" s="3439"/>
      <c r="K14" s="3444"/>
      <c r="L14" s="1736" t="s">
        <v>1363</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1364</v>
      </c>
      <c r="B15" s="3435" t="s">
        <v>1365</v>
      </c>
      <c r="C15" s="3436"/>
      <c r="D15" s="1659">
        <f>ROUND(D6*E15,0)</f>
        <v>0</v>
      </c>
      <c r="E15" s="1660">
        <v>5.5E-2</v>
      </c>
      <c r="F15" s="1651" t="s">
        <v>1366</v>
      </c>
      <c r="G15" s="1638"/>
      <c r="H15" s="1627"/>
      <c r="I15" s="1723"/>
      <c r="J15" s="3439">
        <v>2</v>
      </c>
      <c r="K15" s="3442" t="s">
        <v>1367</v>
      </c>
      <c r="L15" s="1733" t="s">
        <v>1368</v>
      </c>
      <c r="M15" s="1734" t="s">
        <v>1369</v>
      </c>
      <c r="N15" s="1734" t="s">
        <v>1370</v>
      </c>
      <c r="O15" s="1735" t="s">
        <v>1371</v>
      </c>
      <c r="P15" s="1735" t="s">
        <v>1333</v>
      </c>
      <c r="Q15" s="1631" t="s">
        <v>124</v>
      </c>
      <c r="R15" s="1771" t="s">
        <v>1334</v>
      </c>
      <c r="S15" s="1762"/>
      <c r="T15" s="1762"/>
      <c r="U15" s="1762"/>
      <c r="V15" s="1723"/>
    </row>
    <row r="16" spans="1:22" s="1609" customFormat="1" ht="13.15" customHeight="1">
      <c r="A16" s="1656" t="s">
        <v>1372</v>
      </c>
      <c r="B16" s="3435" t="s">
        <v>1373</v>
      </c>
      <c r="C16" s="3436"/>
      <c r="D16" s="1665">
        <f>D6*E16</f>
        <v>0</v>
      </c>
      <c r="E16" s="1666"/>
      <c r="F16" s="1654" t="s">
        <v>1374</v>
      </c>
      <c r="G16" s="1638"/>
      <c r="H16" s="1627"/>
      <c r="I16" s="1723"/>
      <c r="J16" s="3439"/>
      <c r="K16" s="3443"/>
      <c r="L16" s="1733" t="s">
        <v>1375</v>
      </c>
      <c r="M16" s="1734"/>
      <c r="N16" s="1734"/>
      <c r="O16" s="1735"/>
      <c r="P16" s="1664">
        <v>365</v>
      </c>
      <c r="Q16" s="1631"/>
      <c r="R16" s="1771">
        <f>ROUND(M16*N16*O16*P16/10000,0)</f>
        <v>0</v>
      </c>
      <c r="S16" s="1762"/>
      <c r="T16" s="1762"/>
      <c r="U16" s="1762"/>
      <c r="V16" s="1723"/>
    </row>
    <row r="17" spans="1:22" s="1609" customFormat="1" ht="13.15" customHeight="1">
      <c r="A17" s="1667">
        <v>4</v>
      </c>
      <c r="B17" s="3437" t="s">
        <v>1376</v>
      </c>
      <c r="C17" s="3438"/>
      <c r="D17" s="1668">
        <f>ROUND(D6*E17,0)</f>
        <v>0</v>
      </c>
      <c r="E17" s="1669"/>
      <c r="F17" s="1670" t="s">
        <v>1377</v>
      </c>
      <c r="G17" s="1638"/>
      <c r="H17" s="1627"/>
      <c r="I17" s="1723"/>
      <c r="J17" s="3439"/>
      <c r="K17" s="3443"/>
      <c r="L17" s="1733" t="s">
        <v>1378</v>
      </c>
      <c r="M17" s="1734"/>
      <c r="N17" s="1734"/>
      <c r="O17" s="1735"/>
      <c r="P17" s="1664">
        <v>365</v>
      </c>
      <c r="Q17" s="1631"/>
      <c r="R17" s="1771">
        <f>ROUND(M17*N17*O17*P17/10000,0)</f>
        <v>0</v>
      </c>
      <c r="S17" s="1762"/>
      <c r="T17" s="1762"/>
      <c r="U17" s="1762"/>
      <c r="V17" s="1723"/>
    </row>
    <row r="18" spans="1:22" s="1609" customFormat="1" ht="13.15" customHeight="1">
      <c r="A18" s="1639" t="s">
        <v>1379</v>
      </c>
      <c r="B18" s="1640"/>
      <c r="C18" s="1640"/>
      <c r="D18" s="1671">
        <f>ROUND(D6*E18,0)</f>
        <v>0</v>
      </c>
      <c r="E18" s="1672"/>
      <c r="F18" s="1673" t="s">
        <v>1380</v>
      </c>
      <c r="G18" s="1638"/>
      <c r="H18" s="1627"/>
      <c r="I18" s="1723"/>
      <c r="J18" s="3439"/>
      <c r="K18" s="3443"/>
      <c r="L18" s="1733" t="s">
        <v>1381</v>
      </c>
      <c r="M18" s="1734"/>
      <c r="N18" s="1734"/>
      <c r="O18" s="1735"/>
      <c r="P18" s="1664">
        <v>365</v>
      </c>
      <c r="Q18" s="1631"/>
      <c r="R18" s="1771">
        <f>ROUND(M18*N18*O18*P18/10000,0)</f>
        <v>0</v>
      </c>
      <c r="S18" s="1762"/>
      <c r="T18" s="1762"/>
      <c r="U18" s="1762"/>
      <c r="V18" s="1723"/>
    </row>
    <row r="19" spans="1:22" s="1609" customFormat="1" ht="13.15" customHeight="1">
      <c r="A19" s="1674" t="s">
        <v>1382</v>
      </c>
      <c r="B19" s="1636"/>
      <c r="C19" s="1636"/>
      <c r="D19" s="1636"/>
      <c r="E19" s="1636"/>
      <c r="F19" s="1637"/>
      <c r="G19" s="1652"/>
      <c r="H19" s="1627"/>
      <c r="I19" s="1723"/>
      <c r="J19" s="3439"/>
      <c r="K19" s="3444"/>
      <c r="L19" s="1736" t="s">
        <v>1363</v>
      </c>
      <c r="M19" s="1737"/>
      <c r="N19" s="1737">
        <f>SUM(N16:N18)</f>
        <v>0</v>
      </c>
      <c r="O19" s="1738"/>
      <c r="P19" s="1739" t="s">
        <v>1383</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9">
        <v>3</v>
      </c>
      <c r="K20" s="3442" t="s">
        <v>1384</v>
      </c>
      <c r="L20" s="1733" t="s">
        <v>1385</v>
      </c>
      <c r="M20" s="1734" t="s">
        <v>1386</v>
      </c>
      <c r="N20" s="1740" t="s">
        <v>1387</v>
      </c>
      <c r="O20" s="1735" t="s">
        <v>1388</v>
      </c>
      <c r="P20" s="1664" t="s">
        <v>1333</v>
      </c>
      <c r="Q20" s="1631" t="s">
        <v>124</v>
      </c>
      <c r="R20" s="1771" t="s">
        <v>1334</v>
      </c>
      <c r="S20" s="1759"/>
      <c r="T20" s="1759"/>
      <c r="U20" s="1759"/>
      <c r="V20" s="1723"/>
    </row>
    <row r="21" spans="1:22" s="1609" customFormat="1" ht="13.15" customHeight="1">
      <c r="A21" s="1639"/>
      <c r="B21" s="1640"/>
      <c r="C21" s="1647" t="s">
        <v>1389</v>
      </c>
      <c r="D21" s="1676" t="s">
        <v>1390</v>
      </c>
      <c r="E21" s="1648" t="s">
        <v>1391</v>
      </c>
      <c r="F21" s="1675"/>
      <c r="G21" s="1652"/>
      <c r="H21" s="1627"/>
      <c r="I21" s="1723"/>
      <c r="J21" s="3439"/>
      <c r="K21" s="3443"/>
      <c r="L21" s="1733" t="s">
        <v>1392</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1393</v>
      </c>
      <c r="D22" s="1678" t="s">
        <v>1394</v>
      </c>
      <c r="E22" s="1679" t="s">
        <v>1395</v>
      </c>
      <c r="F22" s="1675"/>
      <c r="G22" s="1680"/>
      <c r="H22" s="1627"/>
      <c r="I22" s="1723"/>
      <c r="J22" s="3439"/>
      <c r="K22" s="3443"/>
      <c r="L22" s="1733" t="s">
        <v>1396</v>
      </c>
      <c r="M22" s="1734"/>
      <c r="N22" s="1734"/>
      <c r="O22" s="1735"/>
      <c r="P22" s="1664">
        <v>365</v>
      </c>
      <c r="Q22" s="1631"/>
      <c r="R22" s="1773">
        <f>ROUND(M22*N22*O22*P22/10000,0)</f>
        <v>0</v>
      </c>
      <c r="S22" s="1759"/>
      <c r="T22" s="1759"/>
      <c r="U22" s="1759"/>
      <c r="V22" s="1723"/>
    </row>
    <row r="23" spans="1:22" s="1609" customFormat="1" ht="13.15" customHeight="1">
      <c r="A23" s="1681">
        <v>1</v>
      </c>
      <c r="B23" s="1682" t="s">
        <v>1397</v>
      </c>
      <c r="C23" s="1683">
        <f>D6</f>
        <v>0</v>
      </c>
      <c r="D23" s="1684">
        <f>C23*(1+D24)</f>
        <v>0</v>
      </c>
      <c r="E23" s="1685">
        <f>D23*(1+E24)</f>
        <v>0</v>
      </c>
      <c r="F23" s="1686"/>
      <c r="G23" s="1687"/>
      <c r="H23" s="1627"/>
      <c r="I23" s="1723"/>
      <c r="J23" s="3439"/>
      <c r="K23" s="3443"/>
      <c r="L23" s="1733" t="s">
        <v>1398</v>
      </c>
      <c r="M23" s="1734"/>
      <c r="N23" s="1734"/>
      <c r="O23" s="1735"/>
      <c r="P23" s="1664">
        <v>365</v>
      </c>
      <c r="Q23" s="1631"/>
      <c r="R23" s="1773">
        <f>ROUND(M23*N23*O23*P23/10000,0)</f>
        <v>0</v>
      </c>
      <c r="S23" s="1762"/>
      <c r="T23" s="1762"/>
      <c r="U23" s="1762"/>
      <c r="V23" s="1723"/>
    </row>
    <row r="24" spans="1:22" s="1609" customFormat="1" ht="13.15" customHeight="1">
      <c r="A24" s="1688"/>
      <c r="B24" s="1689" t="s">
        <v>1399</v>
      </c>
      <c r="C24" s="1690"/>
      <c r="D24" s="1691"/>
      <c r="E24" s="1692"/>
      <c r="F24" s="1693"/>
      <c r="G24" s="1687"/>
      <c r="H24" s="1627"/>
      <c r="I24" s="1723"/>
      <c r="J24" s="3439"/>
      <c r="K24" s="3444"/>
      <c r="L24" s="1736" t="s">
        <v>1363</v>
      </c>
      <c r="M24" s="1737">
        <f>SUM(M21:M23)</f>
        <v>0</v>
      </c>
      <c r="N24" s="1737"/>
      <c r="O24" s="1738"/>
      <c r="P24" s="1739" t="s">
        <v>1383</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1400</v>
      </c>
      <c r="L25" s="1742"/>
      <c r="M25" s="1742"/>
      <c r="N25" s="1742"/>
      <c r="O25" s="1742"/>
      <c r="P25" s="1743"/>
      <c r="Q25" s="1774">
        <v>0</v>
      </c>
      <c r="R25" s="1772">
        <f>ROUND(R14*Q25,0)</f>
        <v>0</v>
      </c>
      <c r="S25" s="1762"/>
      <c r="T25" s="1762"/>
      <c r="U25" s="1762"/>
      <c r="V25" s="1749"/>
    </row>
    <row r="26" spans="1:22" s="1610" customFormat="1" ht="13.15" customHeight="1">
      <c r="A26" s="1681">
        <v>2</v>
      </c>
      <c r="B26" s="1682" t="s">
        <v>1401</v>
      </c>
      <c r="C26" s="1683">
        <f>D7</f>
        <v>0</v>
      </c>
      <c r="D26" s="1684">
        <f>D23*D27</f>
        <v>0</v>
      </c>
      <c r="E26" s="1685">
        <f>E23*E27</f>
        <v>0</v>
      </c>
      <c r="F26" s="1686"/>
      <c r="G26" s="1687"/>
      <c r="H26" s="1627"/>
      <c r="I26" s="1723"/>
      <c r="J26" s="3440">
        <v>5</v>
      </c>
      <c r="K26" s="1744" t="s">
        <v>1402</v>
      </c>
      <c r="L26" s="1745"/>
      <c r="M26" s="1746"/>
      <c r="N26" s="1747" t="s">
        <v>361</v>
      </c>
      <c r="O26" s="1747" t="s">
        <v>1403</v>
      </c>
      <c r="P26" s="1748" t="s">
        <v>1404</v>
      </c>
      <c r="Q26" s="1748" t="s">
        <v>1405</v>
      </c>
      <c r="R26" s="1766" t="s">
        <v>1334</v>
      </c>
      <c r="S26" s="1775"/>
      <c r="T26" s="1775"/>
      <c r="U26" s="1775"/>
      <c r="V26" s="1749"/>
    </row>
    <row r="27" spans="1:22" s="1609" customFormat="1" ht="13.15" customHeight="1">
      <c r="A27" s="1688"/>
      <c r="B27" s="1689" t="s">
        <v>1406</v>
      </c>
      <c r="C27" s="1694" t="e">
        <f>E7</f>
        <v>#DIV/0!</v>
      </c>
      <c r="D27" s="1691"/>
      <c r="E27" s="1692"/>
      <c r="F27" s="1693"/>
      <c r="G27" s="1687"/>
      <c r="H27" s="1695"/>
      <c r="I27" s="1749"/>
      <c r="J27" s="3441"/>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1407</v>
      </c>
      <c r="F28" s="1693"/>
      <c r="G28" s="1680"/>
      <c r="H28" s="1695"/>
      <c r="I28" s="1749"/>
      <c r="J28" s="1754">
        <v>6</v>
      </c>
      <c r="K28" s="1755" t="s">
        <v>1408</v>
      </c>
      <c r="L28" s="1756" t="s">
        <v>1409</v>
      </c>
      <c r="M28" s="1757"/>
      <c r="N28" s="1756" t="s">
        <v>1410</v>
      </c>
      <c r="O28" s="1758"/>
      <c r="P28" s="1756" t="s">
        <v>1411</v>
      </c>
      <c r="Q28" s="1777">
        <v>1.4999999999999999E-2</v>
      </c>
      <c r="R28" s="1778"/>
      <c r="S28" s="1759"/>
      <c r="T28" s="1759"/>
      <c r="U28" s="1759"/>
      <c r="V28" s="1749"/>
    </row>
    <row r="29" spans="1:22" s="1610" customFormat="1" ht="13.15" customHeight="1">
      <c r="A29" s="1681">
        <v>3</v>
      </c>
      <c r="B29" s="1682" t="s">
        <v>1412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1406</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1413</v>
      </c>
      <c r="K31" s="1722"/>
      <c r="L31" s="1722"/>
      <c r="M31" s="1722"/>
      <c r="N31" s="1722"/>
      <c r="O31" s="1722"/>
      <c r="P31" s="1722"/>
      <c r="Q31" s="1722"/>
      <c r="R31" s="1761"/>
      <c r="S31" s="1759"/>
      <c r="T31" s="1762"/>
      <c r="U31" s="1762"/>
      <c r="V31" s="1749"/>
    </row>
    <row r="32" spans="1:22" s="1610" customFormat="1" ht="13.15" customHeight="1">
      <c r="A32" s="1681">
        <v>4</v>
      </c>
      <c r="B32" s="1682" t="s">
        <v>1414</v>
      </c>
      <c r="C32" s="1683">
        <f>C23-C26-C29</f>
        <v>0</v>
      </c>
      <c r="D32" s="1684">
        <f>D23-D26-D29</f>
        <v>0</v>
      </c>
      <c r="E32" s="1685">
        <f>E23-E26-E29</f>
        <v>0</v>
      </c>
      <c r="F32" s="1686"/>
      <c r="G32" s="1680"/>
      <c r="H32" s="1627"/>
      <c r="I32" s="1723"/>
      <c r="J32" s="3426" t="s">
        <v>1313</v>
      </c>
      <c r="K32" s="3427"/>
      <c r="L32" s="1724" t="s">
        <v>1314</v>
      </c>
      <c r="M32" s="1724" t="s">
        <v>1315</v>
      </c>
      <c r="N32" s="1724" t="s">
        <v>1316</v>
      </c>
      <c r="O32" s="1724" t="s">
        <v>1317</v>
      </c>
      <c r="P32" s="1724" t="s">
        <v>1318</v>
      </c>
      <c r="Q32" s="1763" t="s">
        <v>1319</v>
      </c>
      <c r="R32" s="1779" t="s">
        <v>1320</v>
      </c>
      <c r="S32" s="1759"/>
      <c r="T32" s="1762"/>
      <c r="U32" s="1762"/>
      <c r="V32" s="1749"/>
    </row>
    <row r="33" spans="1:23" s="1609" customFormat="1" ht="13.15" customHeight="1">
      <c r="A33" s="1681"/>
      <c r="B33" s="1682"/>
      <c r="C33" s="1683"/>
      <c r="D33" s="1698"/>
      <c r="E33" s="1658"/>
      <c r="F33" s="1686"/>
      <c r="G33" s="1680"/>
      <c r="H33" s="1695"/>
      <c r="I33" s="1749"/>
      <c r="J33" s="3428" t="s">
        <v>1321</v>
      </c>
      <c r="K33" s="3429"/>
      <c r="L33" s="1725"/>
      <c r="M33" s="1725"/>
      <c r="N33" s="1725"/>
      <c r="O33" s="1725"/>
      <c r="P33" s="1725"/>
      <c r="Q33" s="1765"/>
      <c r="R33" s="1780">
        <f>SUM(L33:Q33)</f>
        <v>0</v>
      </c>
      <c r="S33" s="1759"/>
      <c r="T33" s="1762"/>
      <c r="U33" s="1762"/>
      <c r="V33" s="1723"/>
    </row>
    <row r="34" spans="1:23" s="1609" customFormat="1" ht="13.15" customHeight="1">
      <c r="A34" s="1681">
        <v>5</v>
      </c>
      <c r="B34" s="1682" t="s">
        <v>1415</v>
      </c>
      <c r="C34" s="1699"/>
      <c r="D34" s="1700"/>
      <c r="E34" s="1701"/>
      <c r="F34" s="1686"/>
      <c r="G34" s="1680"/>
      <c r="H34" s="1695"/>
      <c r="I34" s="1749"/>
      <c r="J34" s="3428" t="s">
        <v>1322</v>
      </c>
      <c r="K34" s="3429"/>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1416</v>
      </c>
      <c r="C35" s="1702"/>
      <c r="D35" s="1703"/>
      <c r="E35" s="1704"/>
      <c r="F35" s="1686"/>
      <c r="G35" s="1705"/>
      <c r="H35" s="1627"/>
      <c r="I35" s="1749"/>
      <c r="J35" s="1727" t="s">
        <v>1324</v>
      </c>
      <c r="K35" s="1728"/>
      <c r="L35" s="1728"/>
      <c r="M35" s="1729"/>
      <c r="N35" s="1729"/>
      <c r="O35" s="1729"/>
      <c r="P35" s="1729"/>
      <c r="Q35" s="1729"/>
      <c r="R35" s="1782">
        <f>R40+R41+R43</f>
        <v>0</v>
      </c>
      <c r="S35" s="1759"/>
      <c r="T35" s="1762" t="s">
        <v>1325</v>
      </c>
      <c r="U35" s="1762"/>
      <c r="V35" s="1723"/>
    </row>
    <row r="36" spans="1:23" s="1609" customFormat="1" ht="13.15" customHeight="1">
      <c r="A36" s="1681">
        <v>7</v>
      </c>
      <c r="B36" s="1706" t="s">
        <v>1417</v>
      </c>
      <c r="C36" s="1707"/>
      <c r="D36" s="1708"/>
      <c r="E36" s="1709"/>
      <c r="F36" s="1710">
        <f>C36+D36+E36</f>
        <v>0</v>
      </c>
      <c r="G36" s="1680"/>
      <c r="H36" s="1627"/>
      <c r="I36" s="1723"/>
      <c r="J36" s="3439">
        <v>1</v>
      </c>
      <c r="K36" s="3442" t="s">
        <v>1418</v>
      </c>
      <c r="L36" s="1731"/>
      <c r="M36" s="1732"/>
      <c r="N36" s="1732"/>
      <c r="O36" s="1732"/>
      <c r="P36" s="1732"/>
      <c r="Q36" s="1732"/>
      <c r="R36" s="1766" t="s">
        <v>1334</v>
      </c>
      <c r="S36" s="1759"/>
      <c r="T36" s="1762" t="s">
        <v>1335</v>
      </c>
      <c r="U36" s="1762"/>
      <c r="V36" s="1723"/>
    </row>
    <row r="37" spans="1:23" s="1609" customFormat="1" ht="13.15" customHeight="1">
      <c r="A37" s="1681"/>
      <c r="B37" s="1682"/>
      <c r="C37" s="1682"/>
      <c r="D37" s="1682"/>
      <c r="E37" s="1682"/>
      <c r="F37" s="1686"/>
      <c r="G37" s="1680"/>
      <c r="H37" s="1627"/>
      <c r="I37" s="1723"/>
      <c r="J37" s="3439"/>
      <c r="K37" s="3443"/>
      <c r="L37" s="1733"/>
      <c r="M37" s="1734"/>
      <c r="N37" s="1631"/>
      <c r="O37" s="1735"/>
      <c r="P37" s="1735"/>
      <c r="Q37" s="1664"/>
      <c r="R37" s="1769"/>
      <c r="S37" s="1759"/>
      <c r="T37" s="1762" t="s">
        <v>1338</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9"/>
      <c r="K38" s="3443"/>
      <c r="L38" s="1733"/>
      <c r="M38" s="1734"/>
      <c r="N38" s="1631"/>
      <c r="O38" s="1735"/>
      <c r="P38" s="1735"/>
      <c r="Q38" s="1664"/>
      <c r="R38" s="1769"/>
      <c r="S38" s="1759"/>
      <c r="T38" s="1762" t="s">
        <v>1345</v>
      </c>
      <c r="U38" s="1762"/>
      <c r="V38" s="1723"/>
    </row>
    <row r="39" spans="1:23" s="1609" customFormat="1" ht="13.15" customHeight="1">
      <c r="A39" s="1681">
        <v>9</v>
      </c>
      <c r="B39" s="1682" t="s">
        <v>1419</v>
      </c>
      <c r="C39" s="1659" t="e">
        <f>C38</f>
        <v>#DIV/0!</v>
      </c>
      <c r="D39" s="1682">
        <f>D38/(1+D34)^C36</f>
        <v>0</v>
      </c>
      <c r="E39" s="1682">
        <f>E38/(1+E34)^(C36+D36)</f>
        <v>0</v>
      </c>
      <c r="F39" s="1686"/>
      <c r="G39" s="1711"/>
      <c r="H39" s="1627"/>
      <c r="I39" s="1723"/>
      <c r="J39" s="3439"/>
      <c r="K39" s="3443"/>
      <c r="L39" s="1733"/>
      <c r="M39" s="1734"/>
      <c r="N39" s="1631"/>
      <c r="O39" s="1735"/>
      <c r="P39" s="1735"/>
      <c r="Q39" s="1664"/>
      <c r="R39" s="1769"/>
      <c r="S39" s="1759"/>
      <c r="T39" s="1762"/>
      <c r="U39" s="1762"/>
      <c r="V39" s="1723"/>
    </row>
    <row r="40" spans="1:23" s="1609" customFormat="1" ht="13.15" customHeight="1">
      <c r="A40" s="1712">
        <v>10</v>
      </c>
      <c r="B40" s="1682" t="s">
        <v>1420</v>
      </c>
      <c r="C40" s="1713" t="e">
        <f>C39+D39+E39</f>
        <v>#DIV/0!</v>
      </c>
      <c r="D40" s="1714"/>
      <c r="E40" s="1714"/>
      <c r="F40" s="1715"/>
      <c r="G40" s="1680"/>
      <c r="H40" s="1627"/>
      <c r="I40" s="1723"/>
      <c r="J40" s="3439"/>
      <c r="K40" s="3444"/>
      <c r="L40" s="1736" t="s">
        <v>1363</v>
      </c>
      <c r="M40" s="1737"/>
      <c r="N40" s="1737"/>
      <c r="O40" s="1738"/>
      <c r="P40" s="1738"/>
      <c r="Q40" s="1770"/>
      <c r="R40" s="1764">
        <f>SUM(R37:R39)</f>
        <v>0</v>
      </c>
      <c r="S40" s="1759"/>
      <c r="T40" s="1762"/>
      <c r="U40" s="1762"/>
      <c r="V40" s="1723"/>
    </row>
    <row r="41" spans="1:23" s="1609" customFormat="1" ht="13.15" customHeight="1">
      <c r="A41" s="1716">
        <v>11</v>
      </c>
      <c r="B41" s="1717" t="s">
        <v>1421</v>
      </c>
      <c r="C41" s="1717" t="e">
        <f>ROUND(C40*10000/B4,0)</f>
        <v>#DIV/0!</v>
      </c>
      <c r="D41" s="1718"/>
      <c r="E41" s="1718"/>
      <c r="F41" s="1719"/>
      <c r="G41" s="1720"/>
      <c r="H41" s="1627"/>
      <c r="I41" s="1723"/>
      <c r="J41" s="1730">
        <v>2</v>
      </c>
      <c r="K41" s="1741" t="s">
        <v>1400</v>
      </c>
      <c r="L41" s="1742"/>
      <c r="M41" s="1742"/>
      <c r="N41" s="1742"/>
      <c r="O41" s="1742"/>
      <c r="P41" s="1743"/>
      <c r="Q41" s="1774"/>
      <c r="R41" s="1772">
        <f>ROUND(R40*Q41,0)</f>
        <v>0</v>
      </c>
      <c r="S41" s="1759"/>
      <c r="T41" s="1762"/>
      <c r="U41" s="1775"/>
      <c r="V41" s="1723"/>
    </row>
    <row r="42" spans="1:23" s="1609" customFormat="1" ht="13.15" customHeight="1">
      <c r="G42" s="1720"/>
      <c r="H42" s="1627"/>
      <c r="I42" s="1723"/>
      <c r="J42" s="3440">
        <v>3</v>
      </c>
      <c r="K42" s="1744" t="s">
        <v>1402</v>
      </c>
      <c r="L42" s="1745"/>
      <c r="M42" s="1746"/>
      <c r="N42" s="1747" t="s">
        <v>361</v>
      </c>
      <c r="O42" s="1747" t="s">
        <v>1403</v>
      </c>
      <c r="P42" s="1748" t="s">
        <v>1404</v>
      </c>
      <c r="Q42" s="1748" t="s">
        <v>1405</v>
      </c>
      <c r="R42" s="1766" t="s">
        <v>1334</v>
      </c>
      <c r="S42" s="1775"/>
      <c r="T42" s="1775"/>
      <c r="U42" s="1762"/>
      <c r="V42" s="1723"/>
    </row>
    <row r="43" spans="1:23" ht="13.15" customHeight="1">
      <c r="A43" s="1609"/>
      <c r="B43" s="1609"/>
      <c r="C43" s="1609"/>
      <c r="D43" s="1609"/>
      <c r="E43" s="1609"/>
      <c r="F43" s="1609"/>
      <c r="I43" s="1613"/>
      <c r="J43" s="3441"/>
      <c r="K43" s="1750"/>
      <c r="L43" s="1751"/>
      <c r="M43" s="1752"/>
      <c r="N43" s="1734"/>
      <c r="O43" s="1734"/>
      <c r="P43" s="1734"/>
      <c r="Q43" s="1774"/>
      <c r="R43" s="1772">
        <f>ROUND(O43*N43*P43*(1-Q43)/10000,0)</f>
        <v>0</v>
      </c>
      <c r="S43" s="1759"/>
      <c r="T43" s="1762"/>
      <c r="V43" s="1615"/>
      <c r="W43" s="1783"/>
    </row>
    <row r="44" spans="1:23" ht="13.15" customHeight="1">
      <c r="J44" s="1754">
        <v>6</v>
      </c>
      <c r="K44" s="1755" t="s">
        <v>1408</v>
      </c>
      <c r="L44" s="1760" t="s">
        <v>1409</v>
      </c>
      <c r="M44" s="1757"/>
      <c r="N44" s="1760" t="s">
        <v>1410</v>
      </c>
      <c r="O44" s="1757"/>
      <c r="P44" s="1760" t="s">
        <v>1411</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1422</v>
      </c>
      <c r="B1" s="1586"/>
      <c r="C1" s="1586"/>
      <c r="D1" s="1586"/>
      <c r="E1" s="1587"/>
      <c r="F1" s="1588"/>
      <c r="G1" s="1589"/>
      <c r="H1" s="1589"/>
      <c r="I1" s="1589"/>
      <c r="J1" s="1589"/>
      <c r="K1" s="1589"/>
      <c r="L1" s="1589"/>
      <c r="M1" s="1589"/>
      <c r="N1" s="1589"/>
      <c r="O1" s="1589"/>
      <c r="P1" s="1589"/>
      <c r="Q1" s="1589"/>
      <c r="R1" s="1589"/>
      <c r="S1" s="1589"/>
    </row>
    <row r="2" spans="1:22" ht="15.75">
      <c r="A2" s="1590" t="s">
        <v>945</v>
      </c>
      <c r="B2" s="1591">
        <f ca="1">SUMIF(B6:B13,"&lt;&gt;#ref!",B6:B13)</f>
        <v>23109</v>
      </c>
      <c r="C2" s="1592" t="s">
        <v>1423</v>
      </c>
      <c r="D2" s="1593" t="s">
        <v>1424</v>
      </c>
      <c r="E2" s="1594">
        <f>SUM(E6:E13)</f>
        <v>11398.58</v>
      </c>
      <c r="F2" s="1588"/>
      <c r="G2" s="1589"/>
      <c r="H2" s="1589"/>
      <c r="I2" s="1589"/>
      <c r="J2" s="1589"/>
      <c r="K2" s="1589"/>
      <c r="L2" s="1589"/>
      <c r="M2" s="1589"/>
      <c r="N2" s="1589"/>
      <c r="O2" s="1589"/>
      <c r="P2" s="1589"/>
      <c r="Q2" s="1589"/>
      <c r="R2" s="1589"/>
      <c r="S2" s="1589"/>
    </row>
    <row r="3" spans="1:22" ht="15.75">
      <c r="A3" s="1590" t="s">
        <v>947</v>
      </c>
      <c r="B3" s="1595">
        <f ca="1">ROUND(B2*10000/E2,0)</f>
        <v>20274</v>
      </c>
      <c r="C3" s="1592" t="s">
        <v>1425</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1426</v>
      </c>
      <c r="B5" s="3445" t="s">
        <v>1427</v>
      </c>
      <c r="C5" s="3446"/>
      <c r="D5" s="1600"/>
      <c r="E5" s="1601" t="s">
        <v>1428</v>
      </c>
      <c r="F5" s="1602" t="s">
        <v>1429</v>
      </c>
      <c r="G5" s="1589"/>
      <c r="H5" s="1589"/>
      <c r="I5" s="1589"/>
      <c r="J5" s="1589"/>
      <c r="K5" s="1589"/>
      <c r="L5" s="1589"/>
      <c r="M5" s="1589"/>
      <c r="N5" s="1589"/>
      <c r="O5" s="1589"/>
      <c r="P5" s="1589"/>
      <c r="Q5" s="1589"/>
      <c r="R5" s="1589"/>
      <c r="S5" s="1589"/>
    </row>
    <row r="6" spans="1:22">
      <c r="A6" s="1603" t="str">
        <f>'数据-取费表'!AN6</f>
        <v>收益法</v>
      </c>
      <c r="B6" s="498">
        <f ca="1">IF(F6="是",'数据-取费表'!AO6,0)</f>
        <v>23109</v>
      </c>
      <c r="C6" s="1592" t="s">
        <v>1423</v>
      </c>
      <c r="D6" s="1596"/>
      <c r="E6" s="1604">
        <f>IF(OR(A6=0,F6="否"),0,'数据-取费表'!K6+'数据-取费表'!S6)</f>
        <v>11398.58</v>
      </c>
      <c r="F6" s="1605" t="s">
        <v>1430</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1423</v>
      </c>
      <c r="D7" s="1596"/>
      <c r="E7" s="1604">
        <f>IF(OR(A7=0,F7="否"),0,'数据-取费表'!K7+'数据-取费表'!S7)</f>
        <v>0</v>
      </c>
      <c r="F7" s="1605" t="s">
        <v>1430</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1423</v>
      </c>
      <c r="D8" s="1596"/>
      <c r="E8" s="1604">
        <f>IF(OR(A8=0,F8="否"),0,'数据-取费表'!K8+'数据-取费表'!S8)</f>
        <v>0</v>
      </c>
      <c r="F8" s="1605" t="s">
        <v>1430</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1423</v>
      </c>
      <c r="D9" s="1596"/>
      <c r="E9" s="1604">
        <f>IF(OR(A9=0,F9="否"),0,'数据-取费表'!K9+'数据-取费表'!S9)</f>
        <v>0</v>
      </c>
      <c r="F9" s="1605" t="s">
        <v>1430</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1423</v>
      </c>
      <c r="D10" s="1596"/>
      <c r="E10" s="1604">
        <f>IF(OR(A10=0,F10="否"),0,'数据-取费表'!K10+'数据-取费表'!S10)</f>
        <v>0</v>
      </c>
      <c r="F10" s="1605" t="s">
        <v>1430</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1423</v>
      </c>
      <c r="D11" s="1596"/>
      <c r="E11" s="1604">
        <f>IF(OR(A11=0,F11="否"),0,'数据-取费表'!K11+'数据-取费表'!S11)</f>
        <v>0</v>
      </c>
      <c r="F11" s="1605" t="s">
        <v>1430</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1423</v>
      </c>
      <c r="D12" s="1596"/>
      <c r="E12" s="1604">
        <f>IF(OR(A12=0,F12="否"),0,'数据-取费表'!K12+'数据-取费表'!S12)</f>
        <v>0</v>
      </c>
      <c r="F12" s="1605" t="s">
        <v>1430</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1423</v>
      </c>
      <c r="D13" s="1608"/>
      <c r="E13" s="1604">
        <f>IF(OR(A13=0,F13="否"),0,'数据-取费表'!K13+'数据-取费表'!S13)</f>
        <v>0</v>
      </c>
      <c r="F13" s="1605" t="s">
        <v>1430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1431</v>
      </c>
      <c r="B1" s="1482" t="s">
        <v>1432</v>
      </c>
      <c r="C1" s="1343" t="s">
        <v>1433</v>
      </c>
      <c r="D1" s="1287"/>
      <c r="E1" s="1506"/>
      <c r="F1" s="1289" t="s">
        <v>1434</v>
      </c>
      <c r="G1" s="1290" t="s">
        <v>1435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945</v>
      </c>
      <c r="B2" s="1292" t="e">
        <f ca="1">IF(C2="——",ROUND(C49*D3/10000,0),ROUND(C49*D3/10000,0)-D2)</f>
        <v>#DIV/0!</v>
      </c>
      <c r="C2" s="1293"/>
      <c r="D2" s="1461" t="e">
        <f ca="1">SUMIF(INDIRECT("'"&amp;F2&amp;"'"&amp;"!A:A"),"承租人权益价值",INDIRECT("'"&amp;F2&amp;"'"&amp;"!c:c"))</f>
        <v>#REF!</v>
      </c>
      <c r="E2" s="1294" t="s">
        <v>946</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947</v>
      </c>
      <c r="B3" s="1297" t="e">
        <f ca="1">IF(C2="——",C49,ROUND(B2*10000/D3,0))</f>
        <v>#DIV/0!</v>
      </c>
      <c r="C3" s="1296" t="s">
        <v>1436</v>
      </c>
      <c r="D3" s="1297">
        <f>IF(D1="",'数据-汇总表'!E3,SUMIF('数据-汇总表'!$C19:$C33,D1,'数据-汇总表'!$E19:$E33))</f>
        <v>11398.58</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1437</v>
      </c>
      <c r="B4" s="925"/>
      <c r="C4" s="3447" t="s">
        <v>1438</v>
      </c>
      <c r="D4" s="3448"/>
      <c r="E4" s="3449" t="s">
        <v>1439</v>
      </c>
      <c r="F4" s="3450"/>
      <c r="G4" s="3447" t="s">
        <v>1440</v>
      </c>
      <c r="H4" s="3448"/>
      <c r="I4" s="3447" t="s">
        <v>1441</v>
      </c>
      <c r="J4" s="3448"/>
      <c r="K4" s="1520"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77" t="s">
        <v>1440</v>
      </c>
      <c r="AC4" s="3477" t="s">
        <v>1441</v>
      </c>
    </row>
    <row r="5" spans="1:29" ht="15">
      <c r="A5" s="926"/>
      <c r="B5" s="927"/>
      <c r="C5" s="3451" t="s">
        <v>1444</v>
      </c>
      <c r="D5" s="3452"/>
      <c r="E5" s="3453" t="s">
        <v>1445</v>
      </c>
      <c r="F5" s="3454"/>
      <c r="G5" s="3451" t="s">
        <v>1446</v>
      </c>
      <c r="H5" s="3452"/>
      <c r="I5" s="3451" t="s">
        <v>1447</v>
      </c>
      <c r="J5" s="3452"/>
      <c r="K5" s="1521"/>
      <c r="L5" s="1072"/>
      <c r="M5" s="1073"/>
      <c r="N5" s="1073"/>
      <c r="O5" s="1073"/>
      <c r="P5" s="3482"/>
      <c r="Q5" s="3483"/>
      <c r="R5" s="3488"/>
      <c r="S5" s="3489"/>
      <c r="T5" s="3488"/>
      <c r="U5" s="3489"/>
      <c r="V5" s="3492"/>
      <c r="W5" s="3492"/>
      <c r="X5" s="1115"/>
      <c r="Y5" s="3488"/>
      <c r="Z5" s="3489"/>
      <c r="AA5" s="3478"/>
      <c r="AB5" s="3478"/>
      <c r="AC5" s="3478"/>
    </row>
    <row r="6" spans="1:29" ht="15">
      <c r="A6" s="928"/>
      <c r="B6" s="929"/>
      <c r="C6" s="3455" t="s">
        <v>1448</v>
      </c>
      <c r="D6" s="3456"/>
      <c r="E6" s="3457" t="s">
        <v>1448</v>
      </c>
      <c r="F6" s="3458"/>
      <c r="G6" s="3455" t="s">
        <v>1448</v>
      </c>
      <c r="H6" s="3456"/>
      <c r="I6" s="3455" t="s">
        <v>1448</v>
      </c>
      <c r="J6" s="3456"/>
      <c r="K6" s="1521" t="s">
        <v>1449</v>
      </c>
      <c r="L6" s="1072"/>
      <c r="M6" s="1073"/>
      <c r="N6" s="1073"/>
      <c r="O6" s="1073"/>
      <c r="P6" s="3484"/>
      <c r="Q6" s="3485"/>
      <c r="R6" s="3488"/>
      <c r="S6" s="3489"/>
      <c r="T6" s="3490"/>
      <c r="U6" s="3491"/>
      <c r="V6" s="3492"/>
      <c r="W6" s="3492"/>
      <c r="X6" s="1115"/>
      <c r="Y6" s="3490"/>
      <c r="Z6" s="3491"/>
      <c r="AA6" s="3479"/>
      <c r="AB6" s="3479"/>
      <c r="AC6" s="3479"/>
    </row>
    <row r="7" spans="1:29" s="905" customFormat="1" ht="15">
      <c r="A7" s="930" t="s">
        <v>1450</v>
      </c>
      <c r="B7" s="931"/>
      <c r="C7" s="932">
        <f>'数据-取费表'!B2</f>
        <v>44889</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9"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19" si="3">D8/F8</f>
        <v>#DIV/0!</v>
      </c>
      <c r="AB8" s="1130" t="e">
        <f t="shared" ref="AB8:AB19" si="4">D8/H8</f>
        <v>#DIV/0!</v>
      </c>
      <c r="AC8" s="1130" t="e">
        <f t="shared" ref="AC8:AC19" si="5">D8/J8</f>
        <v>#DIV/0!</v>
      </c>
    </row>
    <row r="9" spans="1:29" s="905" customFormat="1">
      <c r="A9" s="938" t="s">
        <v>1456</v>
      </c>
      <c r="B9" s="939" t="s">
        <v>1457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7"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130">
        <f t="shared" si="5"/>
        <v>1</v>
      </c>
    </row>
    <row r="10" spans="1:29" s="906" customFormat="1" ht="27">
      <c r="A10" s="942"/>
      <c r="B10" s="943" t="s">
        <v>1460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7"/>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1461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7"/>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7"/>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7"/>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7"/>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130">
        <f t="shared" si="5"/>
        <v>1</v>
      </c>
    </row>
    <row r="15" spans="1:29" ht="99.75">
      <c r="A15" s="960" t="s">
        <v>1462</v>
      </c>
      <c r="B15" s="1253" t="s">
        <v>1463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8" t="s">
        <v>1464</v>
      </c>
      <c r="Q15" s="681" t="str">
        <f t="shared" si="6"/>
        <v>居住社区成熟度</v>
      </c>
      <c r="R15" s="1121" t="s">
        <v>1452</v>
      </c>
      <c r="S15" s="1122">
        <f t="shared" si="0"/>
        <v>100</v>
      </c>
      <c r="T15" s="1121" t="s">
        <v>1452</v>
      </c>
      <c r="U15" s="1122">
        <f t="shared" si="1"/>
        <v>100</v>
      </c>
      <c r="V15" s="1121" t="s">
        <v>1452</v>
      </c>
      <c r="W15" s="1122">
        <f t="shared" si="2"/>
        <v>100</v>
      </c>
      <c r="X15" s="1115"/>
      <c r="Y15" s="3473" t="s">
        <v>1464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9"/>
      <c r="Q16" s="681"/>
      <c r="R16" s="1121"/>
      <c r="S16" s="1122"/>
      <c r="T16" s="1121"/>
      <c r="U16" s="1122"/>
      <c r="V16" s="1121"/>
      <c r="W16" s="1122"/>
      <c r="X16" s="1115"/>
      <c r="Y16" s="3474"/>
      <c r="Z16" s="1105"/>
      <c r="AA16" s="1132">
        <v>1</v>
      </c>
      <c r="AB16" s="1132">
        <v>1</v>
      </c>
      <c r="AC16" s="1132">
        <v>1</v>
      </c>
    </row>
    <row r="17" spans="1:29" ht="85.5">
      <c r="A17" s="946"/>
      <c r="B17" s="1256" t="s">
        <v>1465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9"/>
      <c r="Q17" s="681" t="str">
        <f>B17</f>
        <v>交通便捷度</v>
      </c>
      <c r="R17" s="1121" t="s">
        <v>1452</v>
      </c>
      <c r="S17" s="1122">
        <f>F17</f>
        <v>100</v>
      </c>
      <c r="T17" s="1121" t="s">
        <v>1452</v>
      </c>
      <c r="U17" s="1122">
        <f>H17</f>
        <v>100</v>
      </c>
      <c r="V17" s="1121" t="s">
        <v>1452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9"/>
      <c r="Q18" s="681"/>
      <c r="R18" s="1121"/>
      <c r="S18" s="1122"/>
      <c r="T18" s="1121"/>
      <c r="U18" s="1122"/>
      <c r="V18" s="1121"/>
      <c r="W18" s="1122"/>
      <c r="X18" s="1115"/>
      <c r="Y18" s="3474"/>
      <c r="Z18" s="1105"/>
      <c r="AA18" s="1132">
        <v>1</v>
      </c>
      <c r="AB18" s="1132">
        <v>1</v>
      </c>
      <c r="AC18" s="1132">
        <v>1</v>
      </c>
    </row>
    <row r="19" spans="1:29" ht="42.75">
      <c r="A19" s="946"/>
      <c r="B19" s="1256" t="s">
        <v>1466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9"/>
      <c r="Q19" s="681" t="str">
        <f>B19</f>
        <v>公共配套设施</v>
      </c>
      <c r="R19" s="1121" t="s">
        <v>1452</v>
      </c>
      <c r="S19" s="1122">
        <f>F19</f>
        <v>100</v>
      </c>
      <c r="T19" s="1121" t="s">
        <v>1452</v>
      </c>
      <c r="U19" s="1122">
        <f>H19</f>
        <v>100</v>
      </c>
      <c r="V19" s="1121" t="s">
        <v>1452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9"/>
      <c r="Q20" s="681"/>
      <c r="R20" s="1121"/>
      <c r="S20" s="1122"/>
      <c r="T20" s="1121"/>
      <c r="U20" s="1122"/>
      <c r="V20" s="1121"/>
      <c r="W20" s="1122"/>
      <c r="X20" s="1115"/>
      <c r="Y20" s="3474"/>
      <c r="Z20" s="1105"/>
      <c r="AA20" s="1132">
        <v>1</v>
      </c>
      <c r="AB20" s="1132">
        <v>1</v>
      </c>
      <c r="AC20" s="1132">
        <v>1</v>
      </c>
    </row>
    <row r="21" spans="1:29" ht="28.5">
      <c r="A21" s="946"/>
      <c r="B21" s="1260" t="s">
        <v>1467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9"/>
      <c r="Q21" s="681" t="str">
        <f>B21</f>
        <v>基础设施水平</v>
      </c>
      <c r="R21" s="1121" t="s">
        <v>1452</v>
      </c>
      <c r="S21" s="1122">
        <f>F21</f>
        <v>100</v>
      </c>
      <c r="T21" s="1121" t="s">
        <v>1452</v>
      </c>
      <c r="U21" s="1122">
        <f>H21</f>
        <v>100</v>
      </c>
      <c r="V21" s="1121" t="s">
        <v>1452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9"/>
      <c r="Q22" s="681"/>
      <c r="R22" s="1121"/>
      <c r="S22" s="1122"/>
      <c r="T22" s="1121"/>
      <c r="U22" s="1122"/>
      <c r="V22" s="1121"/>
      <c r="W22" s="1122"/>
      <c r="X22" s="1115"/>
      <c r="Y22" s="3474"/>
      <c r="Z22" s="1105"/>
      <c r="AA22" s="1132">
        <v>1</v>
      </c>
      <c r="AB22" s="1132">
        <v>1</v>
      </c>
      <c r="AC22" s="1132">
        <v>1</v>
      </c>
    </row>
    <row r="23" spans="1:29" ht="57">
      <c r="A23" s="946"/>
      <c r="B23" s="1256" t="s">
        <v>1468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9"/>
      <c r="Q23" s="681" t="str">
        <f>B23</f>
        <v>自然及人文环境</v>
      </c>
      <c r="R23" s="1121" t="s">
        <v>1452</v>
      </c>
      <c r="S23" s="1122">
        <f>F23</f>
        <v>100</v>
      </c>
      <c r="T23" s="1121" t="s">
        <v>1452</v>
      </c>
      <c r="U23" s="1122">
        <f>H23</f>
        <v>100</v>
      </c>
      <c r="V23" s="1121" t="s">
        <v>1452</v>
      </c>
      <c r="W23" s="1122">
        <f>J23</f>
        <v>100</v>
      </c>
      <c r="X23" s="1115"/>
      <c r="Y23" s="3474"/>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9"/>
      <c r="Q24" s="681"/>
      <c r="R24" s="1121"/>
      <c r="S24" s="1122"/>
      <c r="T24" s="1121"/>
      <c r="U24" s="1122"/>
      <c r="V24" s="1121"/>
      <c r="W24" s="1122"/>
      <c r="X24" s="1115"/>
      <c r="Y24" s="3474"/>
      <c r="Z24" s="1105"/>
      <c r="AA24" s="1132">
        <v>1</v>
      </c>
      <c r="AB24" s="1132">
        <v>1</v>
      </c>
      <c r="AC24" s="1132">
        <v>1</v>
      </c>
    </row>
    <row r="25" spans="1:29" ht="15">
      <c r="A25" s="946"/>
      <c r="B25" s="943" t="s">
        <v>1469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9"/>
      <c r="Q25" s="681" t="str">
        <f t="shared" ref="Q25:Q46" si="11">B25</f>
        <v>楼层-1</v>
      </c>
      <c r="R25" s="1121" t="s">
        <v>1452</v>
      </c>
      <c r="S25" s="1122">
        <f t="shared" ref="S25:S46" si="12">F25</f>
        <v>100</v>
      </c>
      <c r="T25" s="1121" t="s">
        <v>1452</v>
      </c>
      <c r="U25" s="1122">
        <f t="shared" ref="U25:U46" si="13">H25</f>
        <v>100</v>
      </c>
      <c r="V25" s="1121" t="s">
        <v>1452</v>
      </c>
      <c r="W25" s="1122">
        <f t="shared" ref="W25:W46" si="14">J25</f>
        <v>100</v>
      </c>
      <c r="X25" s="1115"/>
      <c r="Y25" s="3474"/>
      <c r="Z25" s="1105" t="str">
        <f>Q25</f>
        <v>楼层-1</v>
      </c>
      <c r="AA25" s="1132">
        <f t="shared" ref="AA25:AA46" si="15">D25/F25</f>
        <v>1</v>
      </c>
      <c r="AB25" s="1132">
        <f t="shared" ref="AB25:AB46" si="16">D25/H25</f>
        <v>1</v>
      </c>
      <c r="AC25" s="1132">
        <f t="shared" ref="AC25:AC46" si="17">D25/J25</f>
        <v>1</v>
      </c>
    </row>
    <row r="26" spans="1:29" ht="15">
      <c r="A26" s="946"/>
      <c r="B26" s="943" t="s">
        <v>1470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9"/>
      <c r="Q26" s="681" t="str">
        <f t="shared" si="11"/>
        <v>朝向</v>
      </c>
      <c r="R26" s="1121" t="s">
        <v>1452</v>
      </c>
      <c r="S26" s="1122">
        <f t="shared" si="12"/>
        <v>100</v>
      </c>
      <c r="T26" s="1121" t="s">
        <v>1452</v>
      </c>
      <c r="U26" s="1122">
        <f t="shared" si="13"/>
        <v>100</v>
      </c>
      <c r="V26" s="1121" t="s">
        <v>1452</v>
      </c>
      <c r="W26" s="1122">
        <f t="shared" si="14"/>
        <v>100</v>
      </c>
      <c r="X26" s="1115"/>
      <c r="Y26" s="3474"/>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9"/>
      <c r="Q27" s="1120">
        <f t="shared" si="11"/>
        <v>111</v>
      </c>
      <c r="R27" s="1116" t="s">
        <v>1452</v>
      </c>
      <c r="S27" s="1117">
        <f t="shared" si="12"/>
        <v>100</v>
      </c>
      <c r="T27" s="1116" t="s">
        <v>1452</v>
      </c>
      <c r="U27" s="1117">
        <f t="shared" si="13"/>
        <v>100</v>
      </c>
      <c r="V27" s="1116" t="s">
        <v>1452</v>
      </c>
      <c r="W27" s="1117">
        <f t="shared" si="14"/>
        <v>100</v>
      </c>
      <c r="X27" s="1118"/>
      <c r="Y27" s="3474"/>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9"/>
      <c r="Q28" s="681">
        <f t="shared" si="11"/>
        <v>111</v>
      </c>
      <c r="R28" s="1121" t="s">
        <v>1452</v>
      </c>
      <c r="S28" s="1122">
        <f t="shared" si="12"/>
        <v>100</v>
      </c>
      <c r="T28" s="1121" t="s">
        <v>1452</v>
      </c>
      <c r="U28" s="1122">
        <f t="shared" si="13"/>
        <v>100</v>
      </c>
      <c r="V28" s="1121" t="s">
        <v>1452</v>
      </c>
      <c r="W28" s="1122">
        <f t="shared" si="14"/>
        <v>100</v>
      </c>
      <c r="X28" s="1115"/>
      <c r="Y28" s="3474"/>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9"/>
      <c r="Q29" s="681">
        <f t="shared" si="11"/>
        <v>111</v>
      </c>
      <c r="R29" s="1121" t="s">
        <v>1452</v>
      </c>
      <c r="S29" s="1122">
        <f t="shared" si="12"/>
        <v>100</v>
      </c>
      <c r="T29" s="1121" t="s">
        <v>1452</v>
      </c>
      <c r="U29" s="1122">
        <f t="shared" si="13"/>
        <v>100</v>
      </c>
      <c r="V29" s="1121" t="s">
        <v>1452</v>
      </c>
      <c r="W29" s="1122">
        <f t="shared" si="14"/>
        <v>100</v>
      </c>
      <c r="X29" s="1115"/>
      <c r="Y29" s="3474"/>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9"/>
      <c r="Q30" s="681">
        <f t="shared" si="11"/>
        <v>111</v>
      </c>
      <c r="R30" s="1121" t="s">
        <v>1452</v>
      </c>
      <c r="S30" s="1122">
        <f t="shared" si="12"/>
        <v>100</v>
      </c>
      <c r="T30" s="1121" t="s">
        <v>1452</v>
      </c>
      <c r="U30" s="1122">
        <f t="shared" si="13"/>
        <v>100</v>
      </c>
      <c r="V30" s="1121" t="s">
        <v>1452</v>
      </c>
      <c r="W30" s="1122">
        <f t="shared" si="14"/>
        <v>100</v>
      </c>
      <c r="X30" s="1115"/>
      <c r="Y30" s="3474"/>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9"/>
      <c r="Q31" s="681">
        <f t="shared" si="11"/>
        <v>111</v>
      </c>
      <c r="R31" s="1121" t="s">
        <v>1452</v>
      </c>
      <c r="S31" s="1122">
        <f t="shared" si="12"/>
        <v>100</v>
      </c>
      <c r="T31" s="1121" t="s">
        <v>1452</v>
      </c>
      <c r="U31" s="1122">
        <f t="shared" si="13"/>
        <v>100</v>
      </c>
      <c r="V31" s="1121" t="s">
        <v>1452</v>
      </c>
      <c r="W31" s="1122">
        <f t="shared" si="14"/>
        <v>100</v>
      </c>
      <c r="X31" s="1115"/>
      <c r="Y31" s="3474"/>
      <c r="Z31" s="1105">
        <f t="shared" si="18"/>
        <v>111</v>
      </c>
      <c r="AA31" s="1132">
        <f t="shared" si="15"/>
        <v>1</v>
      </c>
      <c r="AB31" s="1132">
        <f t="shared" si="16"/>
        <v>1</v>
      </c>
      <c r="AC31" s="1132">
        <f t="shared" si="17"/>
        <v>1</v>
      </c>
    </row>
    <row r="32" spans="1:29" ht="15">
      <c r="A32" s="960" t="s">
        <v>1471</v>
      </c>
      <c r="B32" s="939" t="s">
        <v>1472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0" t="s">
        <v>1473</v>
      </c>
      <c r="Q32" s="681" t="str">
        <f t="shared" si="11"/>
        <v>建筑类型</v>
      </c>
      <c r="R32" s="1121" t="s">
        <v>1452</v>
      </c>
      <c r="S32" s="1122">
        <f t="shared" si="12"/>
        <v>100</v>
      </c>
      <c r="T32" s="1121" t="s">
        <v>1452</v>
      </c>
      <c r="U32" s="1122">
        <f t="shared" si="13"/>
        <v>100</v>
      </c>
      <c r="V32" s="1121" t="s">
        <v>1452</v>
      </c>
      <c r="W32" s="1122">
        <f t="shared" si="14"/>
        <v>100</v>
      </c>
      <c r="X32" s="1115"/>
      <c r="Y32" s="3475" t="s">
        <v>1473</v>
      </c>
      <c r="Z32" s="1105" t="str">
        <f t="shared" si="18"/>
        <v>建筑类型</v>
      </c>
      <c r="AA32" s="1132">
        <f t="shared" si="15"/>
        <v>1</v>
      </c>
      <c r="AB32" s="1132">
        <f t="shared" si="16"/>
        <v>1</v>
      </c>
      <c r="AC32" s="1132">
        <f t="shared" si="17"/>
        <v>1</v>
      </c>
    </row>
    <row r="33" spans="1:29" s="907" customFormat="1" ht="15">
      <c r="A33" s="1002"/>
      <c r="B33" s="943" t="s">
        <v>1474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1"/>
      <c r="Q33" s="1348" t="str">
        <f t="shared" si="11"/>
        <v>项目建筑规模</v>
      </c>
      <c r="R33" s="1123" t="s">
        <v>1452</v>
      </c>
      <c r="S33" s="1124" t="e">
        <f t="shared" si="12"/>
        <v>#N/A</v>
      </c>
      <c r="T33" s="1123" t="s">
        <v>1452</v>
      </c>
      <c r="U33" s="1124" t="e">
        <f t="shared" si="13"/>
        <v>#N/A</v>
      </c>
      <c r="V33" s="1123" t="s">
        <v>1452</v>
      </c>
      <c r="W33" s="1124" t="e">
        <f t="shared" si="14"/>
        <v>#N/A</v>
      </c>
      <c r="X33" s="1125"/>
      <c r="Y33" s="3475"/>
      <c r="Z33" s="1133" t="str">
        <f t="shared" si="18"/>
        <v>项目建筑规模</v>
      </c>
      <c r="AA33" s="1132" t="e">
        <f t="shared" si="15"/>
        <v>#N/A</v>
      </c>
      <c r="AB33" s="1132" t="e">
        <f t="shared" si="16"/>
        <v>#N/A</v>
      </c>
      <c r="AC33" s="1132" t="e">
        <f t="shared" si="17"/>
        <v>#N/A</v>
      </c>
    </row>
    <row r="34" spans="1:29" ht="15">
      <c r="A34" s="997"/>
      <c r="B34" s="943" t="s">
        <v>1475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1"/>
      <c r="Q34" s="681" t="str">
        <f t="shared" si="11"/>
        <v>建筑结构</v>
      </c>
      <c r="R34" s="1121" t="s">
        <v>1452</v>
      </c>
      <c r="S34" s="1122">
        <f t="shared" si="12"/>
        <v>100</v>
      </c>
      <c r="T34" s="1121" t="s">
        <v>1452</v>
      </c>
      <c r="U34" s="1122">
        <f t="shared" si="13"/>
        <v>100</v>
      </c>
      <c r="V34" s="1121" t="s">
        <v>1452</v>
      </c>
      <c r="W34" s="1122">
        <f t="shared" si="14"/>
        <v>100</v>
      </c>
      <c r="X34" s="1115"/>
      <c r="Y34" s="3475"/>
      <c r="Z34" s="1105" t="str">
        <f t="shared" si="18"/>
        <v>建筑结构</v>
      </c>
      <c r="AA34" s="1132">
        <f t="shared" si="15"/>
        <v>1</v>
      </c>
      <c r="AB34" s="1132">
        <f t="shared" si="16"/>
        <v>1</v>
      </c>
      <c r="AC34" s="1132">
        <f t="shared" si="17"/>
        <v>1</v>
      </c>
    </row>
    <row r="35" spans="1:29" ht="15">
      <c r="A35" s="997"/>
      <c r="B35" s="943" t="s">
        <v>1476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1"/>
      <c r="Q35" s="681" t="str">
        <f t="shared" si="11"/>
        <v>建筑品质</v>
      </c>
      <c r="R35" s="1121" t="s">
        <v>1452</v>
      </c>
      <c r="S35" s="1122">
        <f t="shared" si="12"/>
        <v>100</v>
      </c>
      <c r="T35" s="1121" t="s">
        <v>1452</v>
      </c>
      <c r="U35" s="1122">
        <f t="shared" si="13"/>
        <v>100</v>
      </c>
      <c r="V35" s="1121" t="s">
        <v>1452</v>
      </c>
      <c r="W35" s="1122">
        <f t="shared" si="14"/>
        <v>100</v>
      </c>
      <c r="X35" s="1115"/>
      <c r="Y35" s="3475"/>
      <c r="Z35" s="1105" t="str">
        <f t="shared" si="18"/>
        <v>建筑品质</v>
      </c>
      <c r="AA35" s="1132">
        <f t="shared" si="15"/>
        <v>1</v>
      </c>
      <c r="AB35" s="1132">
        <f t="shared" si="16"/>
        <v>1</v>
      </c>
      <c r="AC35" s="1132">
        <f t="shared" si="17"/>
        <v>1</v>
      </c>
    </row>
    <row r="36" spans="1:29" ht="15">
      <c r="A36" s="997"/>
      <c r="B36" s="943" t="s">
        <v>1477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1"/>
      <c r="Q36" s="681" t="str">
        <f t="shared" si="11"/>
        <v>公共部分装修</v>
      </c>
      <c r="R36" s="1121" t="s">
        <v>1452</v>
      </c>
      <c r="S36" s="1122">
        <f t="shared" si="12"/>
        <v>100</v>
      </c>
      <c r="T36" s="1121" t="s">
        <v>1452</v>
      </c>
      <c r="U36" s="1122">
        <f t="shared" si="13"/>
        <v>100</v>
      </c>
      <c r="V36" s="1121" t="s">
        <v>1452</v>
      </c>
      <c r="W36" s="1122">
        <f t="shared" si="14"/>
        <v>100</v>
      </c>
      <c r="X36" s="1115"/>
      <c r="Y36" s="3475"/>
      <c r="Z36" s="1105" t="str">
        <f t="shared" si="18"/>
        <v>公共部分装修</v>
      </c>
      <c r="AA36" s="1132">
        <f t="shared" si="15"/>
        <v>1</v>
      </c>
      <c r="AB36" s="1132">
        <f t="shared" si="16"/>
        <v>1</v>
      </c>
      <c r="AC36" s="1132">
        <f t="shared" si="17"/>
        <v>1</v>
      </c>
    </row>
    <row r="37" spans="1:29" s="905" customFormat="1" ht="15">
      <c r="A37" s="999"/>
      <c r="B37" s="943" t="s">
        <v>564</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1"/>
      <c r="Q37" s="1120" t="str">
        <f t="shared" si="11"/>
        <v>成新度</v>
      </c>
      <c r="R37" s="1116" t="s">
        <v>1452</v>
      </c>
      <c r="S37" s="1117" t="e">
        <f t="shared" si="12"/>
        <v>#N/A</v>
      </c>
      <c r="T37" s="1116" t="s">
        <v>1452</v>
      </c>
      <c r="U37" s="1117" t="e">
        <f t="shared" si="13"/>
        <v>#N/A</v>
      </c>
      <c r="V37" s="1116" t="s">
        <v>1452</v>
      </c>
      <c r="W37" s="1117" t="e">
        <f t="shared" si="14"/>
        <v>#N/A</v>
      </c>
      <c r="X37" s="1118"/>
      <c r="Y37" s="3475"/>
      <c r="Z37" s="1131" t="str">
        <f t="shared" si="18"/>
        <v>成新度</v>
      </c>
      <c r="AA37" s="1130" t="e">
        <f t="shared" si="15"/>
        <v>#N/A</v>
      </c>
      <c r="AB37" s="1130" t="e">
        <f t="shared" si="16"/>
        <v>#N/A</v>
      </c>
      <c r="AC37" s="1130" t="e">
        <f t="shared" si="17"/>
        <v>#N/A</v>
      </c>
    </row>
    <row r="38" spans="1:29" ht="15">
      <c r="A38" s="997"/>
      <c r="B38" s="943" t="s">
        <v>1478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1" t="s">
        <v>1473</v>
      </c>
      <c r="Q38" s="681" t="str">
        <f t="shared" si="11"/>
        <v>物业管理</v>
      </c>
      <c r="R38" s="1121" t="s">
        <v>1452</v>
      </c>
      <c r="S38" s="1122">
        <f t="shared" si="12"/>
        <v>100</v>
      </c>
      <c r="T38" s="1121" t="s">
        <v>1452</v>
      </c>
      <c r="U38" s="1122">
        <f t="shared" si="13"/>
        <v>100</v>
      </c>
      <c r="V38" s="1121" t="s">
        <v>1452</v>
      </c>
      <c r="W38" s="1122">
        <f t="shared" si="14"/>
        <v>100</v>
      </c>
      <c r="X38" s="1115"/>
      <c r="Y38" s="3475" t="s">
        <v>1473</v>
      </c>
      <c r="Z38" s="1105" t="str">
        <f t="shared" si="18"/>
        <v>物业管理</v>
      </c>
      <c r="AA38" s="1132">
        <f t="shared" si="15"/>
        <v>1</v>
      </c>
      <c r="AB38" s="1132">
        <f t="shared" si="16"/>
        <v>1</v>
      </c>
      <c r="AC38" s="1132">
        <f t="shared" si="17"/>
        <v>1</v>
      </c>
    </row>
    <row r="39" spans="1:29" ht="15">
      <c r="A39" s="997"/>
      <c r="B39" s="943" t="s">
        <v>1479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1"/>
      <c r="Q39" s="681" t="str">
        <f t="shared" si="11"/>
        <v>市政基础设施</v>
      </c>
      <c r="R39" s="1121" t="s">
        <v>1452</v>
      </c>
      <c r="S39" s="1122">
        <f t="shared" si="12"/>
        <v>100</v>
      </c>
      <c r="T39" s="1121" t="s">
        <v>1452</v>
      </c>
      <c r="U39" s="1122">
        <f t="shared" si="13"/>
        <v>100</v>
      </c>
      <c r="V39" s="1121" t="s">
        <v>1452</v>
      </c>
      <c r="W39" s="1122">
        <f t="shared" si="14"/>
        <v>100</v>
      </c>
      <c r="X39" s="1115"/>
      <c r="Y39" s="3475"/>
      <c r="Z39" s="1105" t="str">
        <f t="shared" si="18"/>
        <v>市政基础设施</v>
      </c>
      <c r="AA39" s="1132">
        <f t="shared" si="15"/>
        <v>1</v>
      </c>
      <c r="AB39" s="1132">
        <f t="shared" si="16"/>
        <v>1</v>
      </c>
      <c r="AC39" s="1132">
        <f t="shared" si="17"/>
        <v>1</v>
      </c>
    </row>
    <row r="40" spans="1:29" ht="15">
      <c r="A40" s="997"/>
      <c r="B40" s="943" t="s">
        <v>1480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1"/>
      <c r="Q40" s="681" t="str">
        <f t="shared" si="11"/>
        <v>房型</v>
      </c>
      <c r="R40" s="1121" t="s">
        <v>1452</v>
      </c>
      <c r="S40" s="1122">
        <f t="shared" si="12"/>
        <v>100</v>
      </c>
      <c r="T40" s="1121" t="s">
        <v>1452</v>
      </c>
      <c r="U40" s="1122">
        <f t="shared" si="13"/>
        <v>100</v>
      </c>
      <c r="V40" s="1121" t="s">
        <v>1452</v>
      </c>
      <c r="W40" s="1122">
        <f t="shared" si="14"/>
        <v>100</v>
      </c>
      <c r="X40" s="1115"/>
      <c r="Y40" s="3475"/>
      <c r="Z40" s="1105" t="str">
        <f t="shared" si="18"/>
        <v>房型</v>
      </c>
      <c r="AA40" s="1132">
        <f t="shared" si="15"/>
        <v>1</v>
      </c>
      <c r="AB40" s="1132">
        <f t="shared" si="16"/>
        <v>1</v>
      </c>
      <c r="AC40" s="1132">
        <f t="shared" si="17"/>
        <v>1</v>
      </c>
    </row>
    <row r="41" spans="1:29" s="907" customFormat="1" ht="28.5">
      <c r="A41" s="1002"/>
      <c r="B41" s="943" t="s">
        <v>1481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1"/>
      <c r="Q41" s="1348" t="str">
        <f t="shared" si="11"/>
        <v>单套/主力户型建筑面积</v>
      </c>
      <c r="R41" s="1123" t="s">
        <v>1452</v>
      </c>
      <c r="S41" s="1124">
        <f t="shared" si="12"/>
        <v>100</v>
      </c>
      <c r="T41" s="1123" t="s">
        <v>1452</v>
      </c>
      <c r="U41" s="1124">
        <f t="shared" si="13"/>
        <v>100</v>
      </c>
      <c r="V41" s="1123" t="s">
        <v>1452</v>
      </c>
      <c r="W41" s="1124">
        <f t="shared" si="14"/>
        <v>100</v>
      </c>
      <c r="X41" s="1125"/>
      <c r="Y41" s="3475"/>
      <c r="Z41" s="1133" t="str">
        <f t="shared" si="18"/>
        <v>单套/主力户型建筑面积</v>
      </c>
      <c r="AA41" s="1132">
        <f t="shared" si="15"/>
        <v>1</v>
      </c>
      <c r="AB41" s="1132">
        <f t="shared" si="16"/>
        <v>1</v>
      </c>
      <c r="AC41" s="1132">
        <f t="shared" si="17"/>
        <v>1</v>
      </c>
    </row>
    <row r="42" spans="1:29" ht="15">
      <c r="A42" s="997"/>
      <c r="B42" s="943" t="s">
        <v>1482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1"/>
      <c r="Q42" s="681" t="str">
        <f t="shared" si="11"/>
        <v>内部装修</v>
      </c>
      <c r="R42" s="1121" t="s">
        <v>1452</v>
      </c>
      <c r="S42" s="1122">
        <f t="shared" si="12"/>
        <v>100</v>
      </c>
      <c r="T42" s="1121" t="s">
        <v>1452</v>
      </c>
      <c r="U42" s="1122">
        <f t="shared" si="13"/>
        <v>100</v>
      </c>
      <c r="V42" s="1121" t="s">
        <v>1452</v>
      </c>
      <c r="W42" s="1122">
        <f t="shared" si="14"/>
        <v>100</v>
      </c>
      <c r="X42" s="1115"/>
      <c r="Y42" s="3475"/>
      <c r="Z42" s="1105" t="str">
        <f t="shared" si="18"/>
        <v>内部装修</v>
      </c>
      <c r="AA42" s="1132">
        <f t="shared" si="15"/>
        <v>1</v>
      </c>
      <c r="AB42" s="1132">
        <f t="shared" si="16"/>
        <v>1</v>
      </c>
      <c r="AC42" s="1132">
        <f t="shared" si="17"/>
        <v>1</v>
      </c>
    </row>
    <row r="43" spans="1:29" ht="15">
      <c r="A43" s="997"/>
      <c r="B43" s="943" t="s">
        <v>1483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1"/>
      <c r="Q43" s="681" t="str">
        <f t="shared" si="11"/>
        <v>内部装修维护情况</v>
      </c>
      <c r="R43" s="1121" t="s">
        <v>1452</v>
      </c>
      <c r="S43" s="1122">
        <f t="shared" si="12"/>
        <v>100</v>
      </c>
      <c r="T43" s="1121" t="s">
        <v>1452</v>
      </c>
      <c r="U43" s="1122">
        <f t="shared" si="13"/>
        <v>100</v>
      </c>
      <c r="V43" s="1121" t="s">
        <v>1452</v>
      </c>
      <c r="W43" s="1122">
        <f t="shared" si="14"/>
        <v>100</v>
      </c>
      <c r="X43" s="1115"/>
      <c r="Y43" s="3475"/>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1"/>
      <c r="Q44" s="1120">
        <f t="shared" si="11"/>
        <v>111</v>
      </c>
      <c r="R44" s="1116" t="s">
        <v>1452</v>
      </c>
      <c r="S44" s="1117">
        <f t="shared" si="12"/>
        <v>100</v>
      </c>
      <c r="T44" s="1116" t="s">
        <v>1452</v>
      </c>
      <c r="U44" s="1117">
        <f t="shared" si="13"/>
        <v>100</v>
      </c>
      <c r="V44" s="1116" t="s">
        <v>1452</v>
      </c>
      <c r="W44" s="1117">
        <f t="shared" si="14"/>
        <v>100</v>
      </c>
      <c r="X44" s="1118"/>
      <c r="Y44" s="3475"/>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1"/>
      <c r="Q45" s="681">
        <f t="shared" si="11"/>
        <v>111</v>
      </c>
      <c r="R45" s="1121" t="s">
        <v>1452</v>
      </c>
      <c r="S45" s="1122">
        <f t="shared" si="12"/>
        <v>100</v>
      </c>
      <c r="T45" s="1121" t="s">
        <v>1452</v>
      </c>
      <c r="U45" s="1122">
        <f t="shared" si="13"/>
        <v>100</v>
      </c>
      <c r="V45" s="1121" t="s">
        <v>1452</v>
      </c>
      <c r="W45" s="1122">
        <f t="shared" si="14"/>
        <v>100</v>
      </c>
      <c r="X45" s="1115"/>
      <c r="Y45" s="3475"/>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2"/>
      <c r="Q46" s="681">
        <f t="shared" si="11"/>
        <v>111</v>
      </c>
      <c r="R46" s="1121" t="s">
        <v>1452</v>
      </c>
      <c r="S46" s="1122">
        <f t="shared" si="12"/>
        <v>100</v>
      </c>
      <c r="T46" s="1121" t="s">
        <v>1452</v>
      </c>
      <c r="U46" s="1122">
        <f t="shared" si="13"/>
        <v>100</v>
      </c>
      <c r="V46" s="1121" t="s">
        <v>1452</v>
      </c>
      <c r="W46" s="1122">
        <f t="shared" si="14"/>
        <v>100</v>
      </c>
      <c r="X46" s="1115"/>
      <c r="Y46" s="3476"/>
      <c r="Z46" s="1105">
        <f t="shared" si="18"/>
        <v>111</v>
      </c>
      <c r="AA46" s="1132">
        <f t="shared" si="15"/>
        <v>1</v>
      </c>
      <c r="AB46" s="1132">
        <f t="shared" si="16"/>
        <v>1</v>
      </c>
      <c r="AC46" s="1132">
        <f t="shared" si="17"/>
        <v>1</v>
      </c>
    </row>
    <row r="47" spans="1:29" ht="15">
      <c r="A47" s="1004" t="s">
        <v>1484</v>
      </c>
      <c r="B47" s="1323"/>
      <c r="C47" s="1324" t="s">
        <v>124</v>
      </c>
      <c r="D47" s="1325"/>
      <c r="E47" s="1326"/>
      <c r="F47" s="1327"/>
      <c r="G47" s="1328"/>
      <c r="H47" s="1329"/>
      <c r="I47" s="1326"/>
      <c r="J47" s="1329"/>
      <c r="K47" s="1528"/>
      <c r="L47" s="1097"/>
      <c r="M47" s="1021"/>
      <c r="N47" s="1073"/>
      <c r="O47" s="1021"/>
      <c r="P47" s="3462" t="str">
        <f>A47</f>
        <v>成交单价（元/平方米）</v>
      </c>
      <c r="Q47" s="3462"/>
      <c r="R47" s="3463">
        <f>E47</f>
        <v>0</v>
      </c>
      <c r="S47" s="3463"/>
      <c r="T47" s="3463">
        <f>G47</f>
        <v>0</v>
      </c>
      <c r="U47" s="3463"/>
      <c r="V47" s="3463">
        <f>I47</f>
        <v>0</v>
      </c>
      <c r="W47" s="3463"/>
      <c r="X47" s="1061"/>
      <c r="Y47" s="1134"/>
      <c r="Z47" s="1061"/>
      <c r="AA47" s="1061"/>
      <c r="AB47" s="1061"/>
      <c r="AC47" s="1061"/>
    </row>
    <row r="48" spans="1:29" ht="15">
      <c r="A48" s="1012" t="s">
        <v>1485</v>
      </c>
      <c r="B48" s="1330"/>
      <c r="C48" s="1331" t="e">
        <f>R49</f>
        <v>#DIV/0!</v>
      </c>
      <c r="D48" s="1015" t="s">
        <v>1486</v>
      </c>
      <c r="E48" s="1332" t="e">
        <f>R48</f>
        <v>#DIV/0!</v>
      </c>
      <c r="F48" s="1016"/>
      <c r="G48" s="1331" t="e">
        <f>T48</f>
        <v>#DIV/0!</v>
      </c>
      <c r="H48" s="1016"/>
      <c r="I48" s="1332" t="e">
        <f>V48</f>
        <v>#DIV/0!</v>
      </c>
      <c r="J48" s="1016"/>
      <c r="K48" s="1529">
        <f>F48+H48+J48</f>
        <v>0</v>
      </c>
      <c r="L48" s="1097"/>
      <c r="M48" s="1021"/>
      <c r="N48" s="1021"/>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1487</v>
      </c>
      <c r="B49" s="1019"/>
      <c r="C49" s="1512" t="e">
        <f>R49</f>
        <v>#DIV/0!</v>
      </c>
      <c r="D49" s="1333"/>
      <c r="E49" s="1333"/>
      <c r="F49" s="1333"/>
      <c r="G49" s="1333"/>
      <c r="H49" s="1333"/>
      <c r="I49" s="1333"/>
      <c r="J49" s="1333"/>
      <c r="K49" s="1530"/>
      <c r="L49" s="1097"/>
      <c r="M49" s="1021"/>
      <c r="N49" s="1021"/>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1488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1489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1490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1491</v>
      </c>
      <c r="B57" s="1061"/>
      <c r="C57" s="1062"/>
      <c r="D57" s="1062"/>
      <c r="E57" s="1062"/>
      <c r="F57" s="1063"/>
      <c r="G57" s="1063"/>
      <c r="H57" s="1062"/>
      <c r="I57" s="1062"/>
      <c r="J57" s="1062"/>
      <c r="K57" s="1279"/>
      <c r="L57" s="1280"/>
      <c r="M57" s="1113"/>
      <c r="N57" s="1113"/>
      <c r="O57" s="1113"/>
      <c r="P57" s="1532"/>
      <c r="Q57" s="1443"/>
    </row>
    <row r="58" spans="1:29" s="910" customFormat="1" ht="15">
      <c r="A58" s="1335" t="s">
        <v>1450</v>
      </c>
      <c r="B58" s="1336"/>
      <c r="C58" s="1513" t="str">
        <f>YEAR(C7)&amp;"-"&amp;MONTH(C7)</f>
        <v>2022-11</v>
      </c>
      <c r="D58" s="1338">
        <f>EDATE(C58,-1)</f>
        <v>44835</v>
      </c>
      <c r="E58" s="1338">
        <f>EDATE(D58,-1)</f>
        <v>44805</v>
      </c>
      <c r="F58" s="1338">
        <f t="shared" ref="F58:O58" si="19">EDATE(E58,-1)</f>
        <v>44774</v>
      </c>
      <c r="G58" s="1338">
        <f t="shared" si="19"/>
        <v>44743</v>
      </c>
      <c r="H58" s="1338">
        <f t="shared" si="19"/>
        <v>44713</v>
      </c>
      <c r="I58" s="1338">
        <f t="shared" si="19"/>
        <v>44682</v>
      </c>
      <c r="J58" s="1338">
        <f t="shared" si="19"/>
        <v>44652</v>
      </c>
      <c r="K58" s="1338">
        <f t="shared" si="19"/>
        <v>44621</v>
      </c>
      <c r="L58" s="1338">
        <f t="shared" si="19"/>
        <v>44593</v>
      </c>
      <c r="M58" s="1338">
        <f t="shared" si="19"/>
        <v>44562</v>
      </c>
      <c r="N58" s="1338">
        <f t="shared" si="19"/>
        <v>44531</v>
      </c>
      <c r="O58" s="1338">
        <f t="shared" si="19"/>
        <v>44501</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1492</v>
      </c>
      <c r="B60" s="1142"/>
      <c r="C60" s="1143"/>
      <c r="D60" s="1144"/>
      <c r="E60" s="1144"/>
      <c r="F60" s="1144"/>
      <c r="G60" s="1144"/>
      <c r="H60" s="1144"/>
      <c r="I60" s="1144"/>
      <c r="J60" s="1144"/>
      <c r="K60" s="1144"/>
      <c r="L60" s="1144"/>
      <c r="M60" s="1192"/>
      <c r="N60" s="1144"/>
      <c r="O60" s="1192"/>
      <c r="P60" s="1534"/>
      <c r="Q60" s="1443"/>
    </row>
    <row r="61" spans="1:29" s="905" customFormat="1" ht="15">
      <c r="A61" s="1145" t="s">
        <v>1453</v>
      </c>
      <c r="B61" s="1146"/>
      <c r="C61" s="1147" t="s">
        <v>1454</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1493</v>
      </c>
      <c r="B63" s="1152" t="s">
        <v>1457</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1460</v>
      </c>
      <c r="C65" s="1157" t="s">
        <v>1494</v>
      </c>
      <c r="D65" s="1157" t="s">
        <v>1495</v>
      </c>
      <c r="E65" s="1157" t="s">
        <v>1496</v>
      </c>
      <c r="F65" s="1157" t="s">
        <v>1497</v>
      </c>
      <c r="G65" s="1157" t="s">
        <v>1498</v>
      </c>
      <c r="H65" s="1157" t="s">
        <v>1499</v>
      </c>
      <c r="I65" s="1157" t="s">
        <v>1500</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1461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1462</v>
      </c>
      <c r="B76" s="1152" t="s">
        <v>1463</v>
      </c>
      <c r="C76" s="1173" t="s">
        <v>1501</v>
      </c>
      <c r="D76" s="1173" t="s">
        <v>1502</v>
      </c>
      <c r="E76" s="1173" t="s">
        <v>1503</v>
      </c>
      <c r="F76" s="1173" t="s">
        <v>1504</v>
      </c>
      <c r="G76" s="1173" t="s">
        <v>1505</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1465</v>
      </c>
      <c r="C78" s="1175" t="s">
        <v>1501</v>
      </c>
      <c r="D78" s="1175" t="s">
        <v>1502</v>
      </c>
      <c r="E78" s="1175" t="s">
        <v>1503</v>
      </c>
      <c r="F78" s="1175" t="s">
        <v>1504</v>
      </c>
      <c r="G78" s="1175" t="s">
        <v>1505</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1466</v>
      </c>
      <c r="C80" s="1175" t="s">
        <v>1501</v>
      </c>
      <c r="D80" s="1175" t="s">
        <v>1502</v>
      </c>
      <c r="E80" s="1175" t="s">
        <v>1503</v>
      </c>
      <c r="F80" s="1175" t="s">
        <v>1504</v>
      </c>
      <c r="G80" s="1175" t="s">
        <v>1505</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1467</v>
      </c>
      <c r="C82" s="1157" t="s">
        <v>1506</v>
      </c>
      <c r="D82" s="1157" t="s">
        <v>1507</v>
      </c>
      <c r="E82" s="1157" t="s">
        <v>1508</v>
      </c>
      <c r="F82" s="1157" t="s">
        <v>1509</v>
      </c>
      <c r="G82" s="1157" t="s">
        <v>1510</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1468</v>
      </c>
      <c r="C84" s="1175" t="s">
        <v>1501</v>
      </c>
      <c r="D84" s="1175" t="s">
        <v>1502</v>
      </c>
      <c r="E84" s="1175" t="s">
        <v>1503</v>
      </c>
      <c r="F84" s="1175" t="s">
        <v>1504</v>
      </c>
      <c r="G84" s="1175" t="s">
        <v>1505</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1469</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1470</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1471</v>
      </c>
      <c r="B100" s="1152" t="s">
        <v>1472</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1474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1475</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1476</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1477</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564</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1478</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1479</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1480</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1481</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1482</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1483</v>
      </c>
      <c r="C124" s="1175" t="s">
        <v>1501</v>
      </c>
      <c r="D124" s="1175" t="s">
        <v>1502</v>
      </c>
      <c r="E124" s="1175" t="s">
        <v>1503</v>
      </c>
      <c r="F124" s="1175" t="s">
        <v>1504</v>
      </c>
      <c r="G124" s="1175" t="s">
        <v>1505</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1511</v>
      </c>
    </row>
    <row r="137" spans="1:17" ht="15">
      <c r="B137" s="1548" t="s">
        <v>1512</v>
      </c>
      <c r="C137" s="1549"/>
      <c r="D137" s="1549"/>
      <c r="E137" s="1549"/>
      <c r="F137" s="1549"/>
      <c r="G137" s="1550"/>
      <c r="H137" s="1551"/>
      <c r="I137" s="1574" t="s">
        <v>1513</v>
      </c>
      <c r="J137" s="1549"/>
      <c r="K137" s="1575"/>
    </row>
    <row r="138" spans="1:17" ht="15">
      <c r="B138" s="1552"/>
      <c r="C138" s="1553" t="s">
        <v>1514</v>
      </c>
      <c r="D138" s="1553" t="s">
        <v>1515</v>
      </c>
      <c r="E138" s="1554" t="s">
        <v>1516</v>
      </c>
      <c r="F138" s="1555" t="s">
        <v>1517</v>
      </c>
      <c r="G138" s="1553" t="s">
        <v>1515</v>
      </c>
      <c r="H138" s="1556" t="s">
        <v>1516</v>
      </c>
      <c r="I138" s="1576"/>
      <c r="J138" s="1553" t="s">
        <v>1518</v>
      </c>
      <c r="K138" s="1556" t="s">
        <v>1519</v>
      </c>
    </row>
    <row r="139" spans="1:17" ht="15">
      <c r="B139" s="1557">
        <v>6</v>
      </c>
      <c r="C139" s="1558">
        <v>96</v>
      </c>
      <c r="D139" s="1559" t="s">
        <v>1520</v>
      </c>
      <c r="E139" s="1560">
        <v>100</v>
      </c>
      <c r="F139" s="1561">
        <v>102.5</v>
      </c>
      <c r="G139" s="1559" t="s">
        <v>1520</v>
      </c>
      <c r="H139" s="1562">
        <v>105</v>
      </c>
      <c r="I139" s="1577" t="s">
        <v>1521</v>
      </c>
      <c r="J139" s="1558">
        <v>20</v>
      </c>
      <c r="K139" s="1578">
        <f>C145/(J139-2)</f>
        <v>4.0555555555555596E-3</v>
      </c>
    </row>
    <row r="140" spans="1:17" ht="15">
      <c r="B140" s="1563">
        <v>5</v>
      </c>
      <c r="C140" s="1564">
        <v>100</v>
      </c>
      <c r="D140" s="1564"/>
      <c r="E140" s="1565"/>
      <c r="F140" s="1566">
        <v>102</v>
      </c>
      <c r="G140" s="1564"/>
      <c r="H140" s="1567"/>
      <c r="I140" s="1579" t="s">
        <v>1522</v>
      </c>
      <c r="J140" s="227">
        <f>ROUNDUP((J139-1)/2,0)</f>
        <v>10</v>
      </c>
      <c r="K140" s="1580">
        <v>100</v>
      </c>
    </row>
    <row r="141" spans="1:17" ht="15">
      <c r="B141" s="1563">
        <v>4</v>
      </c>
      <c r="C141" s="1564">
        <v>102</v>
      </c>
      <c r="D141" s="1564"/>
      <c r="E141" s="1565"/>
      <c r="F141" s="1566">
        <v>101.5</v>
      </c>
      <c r="G141" s="1564"/>
      <c r="H141" s="1567"/>
      <c r="I141" s="1579" t="s">
        <v>1523</v>
      </c>
      <c r="J141" s="227">
        <v>1</v>
      </c>
      <c r="K141" s="1581">
        <f>ROUND(100+(J141-J140)*K139*100,1)</f>
        <v>96.4</v>
      </c>
    </row>
    <row r="142" spans="1:17" ht="15">
      <c r="B142" s="1563">
        <v>3</v>
      </c>
      <c r="C142" s="1564">
        <v>103</v>
      </c>
      <c r="D142" s="1564"/>
      <c r="E142" s="1565"/>
      <c r="F142" s="1566">
        <v>101</v>
      </c>
      <c r="G142" s="1564"/>
      <c r="H142" s="1567"/>
      <c r="I142" s="1579" t="s">
        <v>1524</v>
      </c>
      <c r="J142" s="227">
        <f>J139</f>
        <v>20</v>
      </c>
      <c r="K142" s="1582">
        <v>95</v>
      </c>
    </row>
    <row r="143" spans="1:17" ht="15">
      <c r="B143" s="1563">
        <v>2</v>
      </c>
      <c r="C143" s="1564">
        <v>100</v>
      </c>
      <c r="D143" s="1564"/>
      <c r="E143" s="1565"/>
      <c r="F143" s="1566">
        <v>100.5</v>
      </c>
      <c r="G143" s="1564"/>
      <c r="H143" s="1567"/>
      <c r="I143" s="1579" t="s">
        <v>1525</v>
      </c>
      <c r="J143" s="1564">
        <v>15</v>
      </c>
      <c r="K143" s="1581">
        <f>ROUND(100+(J143-J140)*K139*100,1)</f>
        <v>102</v>
      </c>
    </row>
    <row r="144" spans="1:17" ht="15">
      <c r="B144" s="1563">
        <v>1</v>
      </c>
      <c r="C144" s="1564">
        <v>98</v>
      </c>
      <c r="D144" s="1568" t="s">
        <v>1526</v>
      </c>
      <c r="E144" s="1565">
        <v>102</v>
      </c>
      <c r="F144" s="1569">
        <v>100</v>
      </c>
      <c r="G144" s="1568" t="s">
        <v>1526</v>
      </c>
      <c r="H144" s="1567">
        <v>105</v>
      </c>
      <c r="I144" s="1579" t="s">
        <v>1525</v>
      </c>
      <c r="J144" s="1564">
        <v>18</v>
      </c>
      <c r="K144" s="1581">
        <f>ROUND(100+(J144-J140)*K139*100,1)</f>
        <v>103.2</v>
      </c>
    </row>
    <row r="145" spans="2:11" ht="15">
      <c r="B145" s="1570" t="s">
        <v>1527</v>
      </c>
      <c r="C145" s="1571">
        <f>ROUND(MAX(C139:C144)/MIN(C139:C144)-1,3)</f>
        <v>7.2999999999999995E-2</v>
      </c>
      <c r="D145" s="1572"/>
      <c r="E145" s="1572"/>
      <c r="F145" s="1573" t="s">
        <v>1528</v>
      </c>
      <c r="G145" s="1473"/>
      <c r="H145" s="1476"/>
      <c r="I145" s="1583" t="s">
        <v>1525</v>
      </c>
      <c r="J145" s="1584">
        <v>8</v>
      </c>
      <c r="K145" s="1585">
        <f>ROUND(100+(J145-J140)*K139*100,1)</f>
        <v>99.2</v>
      </c>
    </row>
    <row r="147" spans="2:11">
      <c r="B147" s="1547" t="s">
        <v>1529</v>
      </c>
    </row>
    <row r="148" spans="2:11">
      <c r="B148" s="1547" t="s">
        <v>1530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1431</v>
      </c>
      <c r="B1" s="1482" t="s">
        <v>1531</v>
      </c>
      <c r="C1" s="1343" t="s">
        <v>1433</v>
      </c>
      <c r="D1" s="1287"/>
      <c r="E1" s="1483"/>
      <c r="F1" s="1289"/>
      <c r="G1" s="1290" t="s">
        <v>1435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945</v>
      </c>
      <c r="B2" s="1292" t="e">
        <f ca="1">IF(C2="——",ROUND(C49*D3/10000,0),ROUND(C49*D3/10000,0)-D2)</f>
        <v>#DIV/0!</v>
      </c>
      <c r="C2" s="1293"/>
      <c r="D2" s="1461" t="e">
        <f ca="1">SUMIF(INDIRECT("'"&amp;F2&amp;"'"&amp;"!A:A"),"承租人权益价值",INDIRECT("'"&amp;F2&amp;"'"&amp;"!c:c"))</f>
        <v>#REF!</v>
      </c>
      <c r="E2" s="1294" t="s">
        <v>946</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947</v>
      </c>
      <c r="B3" s="922" t="e">
        <f ca="1">IF(C2="——",C49,ROUND(B2*10000/D3,0))</f>
        <v>#DIV/0!</v>
      </c>
      <c r="C3" s="1296" t="s">
        <v>1436</v>
      </c>
      <c r="D3" s="1297">
        <f>IF(D1="",'数据-汇总表'!E3,SUMIF('数据-汇总表'!$C19:$C33,D1,'数据-汇总表'!$E19:$E33))</f>
        <v>11398.58</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1437</v>
      </c>
      <c r="B4" s="925"/>
      <c r="C4" s="3447" t="s">
        <v>1438</v>
      </c>
      <c r="D4" s="3448"/>
      <c r="E4" s="3449" t="s">
        <v>1439</v>
      </c>
      <c r="F4" s="3450"/>
      <c r="G4" s="3447" t="s">
        <v>1440</v>
      </c>
      <c r="H4" s="3448"/>
      <c r="I4" s="3447" t="s">
        <v>1441</v>
      </c>
      <c r="J4" s="3448"/>
      <c r="K4" s="1071"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92" t="s">
        <v>1440</v>
      </c>
      <c r="AC4" s="3477" t="s">
        <v>1441</v>
      </c>
    </row>
    <row r="5" spans="1:29" ht="15">
      <c r="A5" s="926"/>
      <c r="B5" s="927"/>
      <c r="C5" s="3451" t="s">
        <v>1444</v>
      </c>
      <c r="D5" s="3452"/>
      <c r="E5" s="3453" t="s">
        <v>1445</v>
      </c>
      <c r="F5" s="3454"/>
      <c r="G5" s="3451" t="s">
        <v>1446</v>
      </c>
      <c r="H5" s="3452"/>
      <c r="I5" s="3451" t="s">
        <v>1447</v>
      </c>
      <c r="J5" s="3452"/>
      <c r="K5" s="1071"/>
      <c r="L5" s="1072"/>
      <c r="M5" s="1073"/>
      <c r="N5" s="1073"/>
      <c r="O5" s="1073"/>
      <c r="P5" s="3482"/>
      <c r="Q5" s="3483"/>
      <c r="R5" s="3488"/>
      <c r="S5" s="3489"/>
      <c r="T5" s="3488"/>
      <c r="U5" s="3489"/>
      <c r="V5" s="3492"/>
      <c r="W5" s="3492"/>
      <c r="X5" s="1115"/>
      <c r="Y5" s="3488"/>
      <c r="Z5" s="3489"/>
      <c r="AA5" s="3478"/>
      <c r="AB5" s="3492"/>
      <c r="AC5" s="3478"/>
    </row>
    <row r="6" spans="1:29" ht="15">
      <c r="A6" s="928"/>
      <c r="B6" s="929"/>
      <c r="C6" s="3455" t="s">
        <v>1448</v>
      </c>
      <c r="D6" s="3456"/>
      <c r="E6" s="3457" t="s">
        <v>1448</v>
      </c>
      <c r="F6" s="3458"/>
      <c r="G6" s="3455" t="s">
        <v>1448</v>
      </c>
      <c r="H6" s="3456"/>
      <c r="I6" s="3455" t="s">
        <v>1448</v>
      </c>
      <c r="J6" s="3456"/>
      <c r="K6" s="1071" t="s">
        <v>1449</v>
      </c>
      <c r="L6" s="1072"/>
      <c r="M6" s="1073"/>
      <c r="N6" s="1073"/>
      <c r="O6" s="1073"/>
      <c r="P6" s="3484"/>
      <c r="Q6" s="3485"/>
      <c r="R6" s="3488"/>
      <c r="S6" s="3489"/>
      <c r="T6" s="3490"/>
      <c r="U6" s="3491"/>
      <c r="V6" s="3492"/>
      <c r="W6" s="3492"/>
      <c r="X6" s="1115"/>
      <c r="Y6" s="3490"/>
      <c r="Z6" s="3491"/>
      <c r="AA6" s="3479"/>
      <c r="AB6" s="3492"/>
      <c r="AC6" s="3479"/>
    </row>
    <row r="7" spans="1:29" s="905" customFormat="1" ht="15">
      <c r="A7" s="930" t="s">
        <v>1450</v>
      </c>
      <c r="B7" s="931"/>
      <c r="C7" s="932">
        <f>'数据-取费表'!B2</f>
        <v>44889</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9"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46" si="3">D8/F8</f>
        <v>#DIV/0!</v>
      </c>
      <c r="AB8" s="1130" t="e">
        <f t="shared" ref="AB8:AB46" si="4">D8/H8</f>
        <v>#DIV/0!</v>
      </c>
      <c r="AC8" s="1130" t="e">
        <f t="shared" ref="AC8:AC46" si="5">D8/J8</f>
        <v>#DIV/0!</v>
      </c>
    </row>
    <row r="9" spans="1:29" s="905" customFormat="1">
      <c r="A9" s="938" t="s">
        <v>1456</v>
      </c>
      <c r="B9" s="939" t="s">
        <v>1457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7"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130">
        <f t="shared" si="5"/>
        <v>1</v>
      </c>
    </row>
    <row r="10" spans="1:29" s="906" customFormat="1" ht="27">
      <c r="A10" s="942"/>
      <c r="B10" s="943" t="s">
        <v>1460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7"/>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1461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7"/>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7"/>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7"/>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7"/>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130">
        <f t="shared" si="5"/>
        <v>1</v>
      </c>
    </row>
    <row r="15" spans="1:29" ht="71.25">
      <c r="A15" s="960" t="s">
        <v>1462</v>
      </c>
      <c r="B15" s="1253" t="s">
        <v>1532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8" t="s">
        <v>1464</v>
      </c>
      <c r="Q15" s="681" t="str">
        <f t="shared" si="6"/>
        <v>商业繁华度</v>
      </c>
      <c r="R15" s="1121" t="s">
        <v>1452</v>
      </c>
      <c r="S15" s="1122">
        <f t="shared" si="0"/>
        <v>100</v>
      </c>
      <c r="T15" s="1121" t="s">
        <v>1452</v>
      </c>
      <c r="U15" s="1122">
        <f t="shared" si="1"/>
        <v>100</v>
      </c>
      <c r="V15" s="1121" t="s">
        <v>1452</v>
      </c>
      <c r="W15" s="1122">
        <f t="shared" si="2"/>
        <v>100</v>
      </c>
      <c r="X15" s="1115"/>
      <c r="Y15" s="3473" t="s">
        <v>1464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9"/>
      <c r="Q16" s="681"/>
      <c r="R16" s="1121"/>
      <c r="S16" s="1122"/>
      <c r="T16" s="1121"/>
      <c r="U16" s="1122"/>
      <c r="V16" s="1121"/>
      <c r="W16" s="1122"/>
      <c r="X16" s="1115"/>
      <c r="Y16" s="3474"/>
      <c r="Z16" s="1105"/>
      <c r="AA16" s="1132">
        <v>1</v>
      </c>
      <c r="AB16" s="1132">
        <v>1</v>
      </c>
      <c r="AC16" s="1132">
        <v>1</v>
      </c>
    </row>
    <row r="17" spans="1:29" ht="85.5">
      <c r="A17" s="946"/>
      <c r="B17" s="1256" t="s">
        <v>1465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9"/>
      <c r="Q17" s="681" t="str">
        <f>B17</f>
        <v>交通便捷度</v>
      </c>
      <c r="R17" s="1121" t="s">
        <v>1452</v>
      </c>
      <c r="S17" s="1122">
        <f>F17</f>
        <v>100</v>
      </c>
      <c r="T17" s="1121" t="s">
        <v>1452</v>
      </c>
      <c r="U17" s="1122">
        <f>H17</f>
        <v>100</v>
      </c>
      <c r="V17" s="1121" t="s">
        <v>1452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9"/>
      <c r="Q18" s="681"/>
      <c r="R18" s="1121"/>
      <c r="S18" s="1122"/>
      <c r="T18" s="1121"/>
      <c r="U18" s="1122"/>
      <c r="V18" s="1121"/>
      <c r="W18" s="1122"/>
      <c r="X18" s="1115"/>
      <c r="Y18" s="3474"/>
      <c r="Z18" s="1105"/>
      <c r="AA18" s="1132">
        <v>1</v>
      </c>
      <c r="AB18" s="1132">
        <v>1</v>
      </c>
      <c r="AC18" s="1132">
        <v>1</v>
      </c>
    </row>
    <row r="19" spans="1:29" ht="42.75">
      <c r="A19" s="946"/>
      <c r="B19" s="1256" t="s">
        <v>1466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9"/>
      <c r="Q19" s="681" t="str">
        <f>B19</f>
        <v>公共配套设施</v>
      </c>
      <c r="R19" s="1121" t="s">
        <v>1452</v>
      </c>
      <c r="S19" s="1122">
        <f>F19</f>
        <v>100</v>
      </c>
      <c r="T19" s="1121" t="s">
        <v>1452</v>
      </c>
      <c r="U19" s="1122">
        <f>H19</f>
        <v>100</v>
      </c>
      <c r="V19" s="1121" t="s">
        <v>1452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9"/>
      <c r="Q20" s="681"/>
      <c r="R20" s="1121"/>
      <c r="S20" s="1122"/>
      <c r="T20" s="1121"/>
      <c r="U20" s="1122"/>
      <c r="V20" s="1121"/>
      <c r="W20" s="1122"/>
      <c r="X20" s="1115"/>
      <c r="Y20" s="3474"/>
      <c r="Z20" s="1105"/>
      <c r="AA20" s="1132">
        <v>1</v>
      </c>
      <c r="AB20" s="1132">
        <v>1</v>
      </c>
      <c r="AC20" s="1132">
        <v>1</v>
      </c>
    </row>
    <row r="21" spans="1:29" ht="28.5">
      <c r="A21" s="946"/>
      <c r="B21" s="1260" t="s">
        <v>1467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9"/>
      <c r="Q21" s="681" t="str">
        <f>B21</f>
        <v>基础设施水平</v>
      </c>
      <c r="R21" s="1121" t="s">
        <v>1452</v>
      </c>
      <c r="S21" s="1122">
        <f>F21</f>
        <v>100</v>
      </c>
      <c r="T21" s="1121" t="s">
        <v>1452</v>
      </c>
      <c r="U21" s="1122">
        <f>H21</f>
        <v>100</v>
      </c>
      <c r="V21" s="1121" t="s">
        <v>1452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9"/>
      <c r="Q22" s="681"/>
      <c r="R22" s="1121"/>
      <c r="S22" s="1122"/>
      <c r="T22" s="1121"/>
      <c r="U22" s="1122"/>
      <c r="V22" s="1121"/>
      <c r="W22" s="1122"/>
      <c r="X22" s="1115"/>
      <c r="Y22" s="3474"/>
      <c r="Z22" s="1105"/>
      <c r="AA22" s="1132">
        <v>1</v>
      </c>
      <c r="AB22" s="1132">
        <v>1</v>
      </c>
      <c r="AC22" s="1132">
        <v>1</v>
      </c>
    </row>
    <row r="23" spans="1:29" ht="57">
      <c r="A23" s="946"/>
      <c r="B23" s="1256" t="s">
        <v>1468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9"/>
      <c r="Q23" s="681" t="str">
        <f>B23</f>
        <v>自然及人文环境</v>
      </c>
      <c r="R23" s="1121" t="s">
        <v>1452</v>
      </c>
      <c r="S23" s="1122">
        <f>F23</f>
        <v>100</v>
      </c>
      <c r="T23" s="1121" t="s">
        <v>1452</v>
      </c>
      <c r="U23" s="1122">
        <f>H23</f>
        <v>100</v>
      </c>
      <c r="V23" s="1121" t="s">
        <v>1452</v>
      </c>
      <c r="W23" s="1122">
        <f>J23</f>
        <v>100</v>
      </c>
      <c r="X23" s="1115"/>
      <c r="Y23" s="3474"/>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9"/>
      <c r="Q24" s="681"/>
      <c r="R24" s="1121"/>
      <c r="S24" s="1122"/>
      <c r="T24" s="1121"/>
      <c r="U24" s="1122"/>
      <c r="V24" s="1121"/>
      <c r="W24" s="1122"/>
      <c r="X24" s="1115"/>
      <c r="Y24" s="3474"/>
      <c r="Z24" s="1105"/>
      <c r="AA24" s="1132">
        <v>1</v>
      </c>
      <c r="AB24" s="1132">
        <v>1</v>
      </c>
      <c r="AC24" s="1132">
        <v>1</v>
      </c>
    </row>
    <row r="25" spans="1:29" ht="15">
      <c r="A25" s="946"/>
      <c r="B25" s="943" t="s">
        <v>1533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9"/>
      <c r="Q25" s="681" t="str">
        <f t="shared" ref="Q25:Q46" si="11">B25</f>
        <v>临街状况</v>
      </c>
      <c r="R25" s="1121" t="s">
        <v>1452</v>
      </c>
      <c r="S25" s="1122">
        <f>F25</f>
        <v>100</v>
      </c>
      <c r="T25" s="1121" t="s">
        <v>1452</v>
      </c>
      <c r="U25" s="1122">
        <f>H25</f>
        <v>100</v>
      </c>
      <c r="V25" s="1121" t="s">
        <v>1452</v>
      </c>
      <c r="W25" s="1122">
        <f>J25</f>
        <v>100</v>
      </c>
      <c r="X25" s="1115"/>
      <c r="Y25" s="3474"/>
      <c r="Z25" s="1105" t="str">
        <f>Q25</f>
        <v>临街状况</v>
      </c>
      <c r="AA25" s="1132">
        <f t="shared" si="3"/>
        <v>1</v>
      </c>
      <c r="AB25" s="1132">
        <f t="shared" si="4"/>
        <v>1</v>
      </c>
      <c r="AC25" s="1132">
        <f t="shared" si="5"/>
        <v>1</v>
      </c>
    </row>
    <row r="26" spans="1:29" ht="15">
      <c r="A26" s="946"/>
      <c r="B26" s="1261" t="s">
        <v>1534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9"/>
      <c r="Q26" s="681" t="str">
        <f t="shared" si="11"/>
        <v>平面位置/可视性</v>
      </c>
      <c r="R26" s="1121" t="s">
        <v>1452</v>
      </c>
      <c r="S26" s="1122">
        <f>F26</f>
        <v>100</v>
      </c>
      <c r="T26" s="1121" t="s">
        <v>1452</v>
      </c>
      <c r="U26" s="1122">
        <f>H26</f>
        <v>100</v>
      </c>
      <c r="V26" s="1121" t="s">
        <v>1452</v>
      </c>
      <c r="W26" s="1122">
        <f>J26</f>
        <v>100</v>
      </c>
      <c r="X26" s="1115"/>
      <c r="Y26" s="3474"/>
      <c r="Z26" s="1105" t="str">
        <f>Q26</f>
        <v>平面位置/可视性</v>
      </c>
      <c r="AA26" s="1132">
        <f t="shared" si="3"/>
        <v>1</v>
      </c>
      <c r="AB26" s="1132">
        <f t="shared" si="4"/>
        <v>1</v>
      </c>
      <c r="AC26" s="1132">
        <f t="shared" si="5"/>
        <v>1</v>
      </c>
    </row>
    <row r="27" spans="1:29" s="905" customFormat="1" ht="15">
      <c r="A27" s="949"/>
      <c r="B27" s="1256" t="s">
        <v>1535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9"/>
      <c r="Q27" s="1120" t="str">
        <f t="shared" si="11"/>
        <v>人流量</v>
      </c>
      <c r="R27" s="1116" t="s">
        <v>1452</v>
      </c>
      <c r="S27" s="1117">
        <f>F27</f>
        <v>100</v>
      </c>
      <c r="T27" s="1116" t="s">
        <v>1452</v>
      </c>
      <c r="U27" s="1117">
        <f>H27</f>
        <v>100</v>
      </c>
      <c r="V27" s="1116" t="s">
        <v>1452</v>
      </c>
      <c r="W27" s="1117">
        <f>J27</f>
        <v>100</v>
      </c>
      <c r="X27" s="1118"/>
      <c r="Y27" s="3474"/>
      <c r="Z27" s="1131" t="str">
        <f>Q27</f>
        <v>人流量</v>
      </c>
      <c r="AA27" s="1132">
        <f t="shared" si="3"/>
        <v>1</v>
      </c>
      <c r="AB27" s="1132">
        <f t="shared" si="4"/>
        <v>1</v>
      </c>
      <c r="AC27" s="1132">
        <f t="shared" si="5"/>
        <v>1</v>
      </c>
    </row>
    <row r="28" spans="1:29" ht="15">
      <c r="A28" s="946"/>
      <c r="B28" s="943" t="s">
        <v>1536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9"/>
      <c r="Q28" s="681" t="str">
        <f t="shared" si="11"/>
        <v>楼层</v>
      </c>
      <c r="R28" s="1121" t="s">
        <v>1452</v>
      </c>
      <c r="S28" s="1122">
        <f t="shared" ref="S28:S46" si="12">F28</f>
        <v>100</v>
      </c>
      <c r="T28" s="1121" t="s">
        <v>1452</v>
      </c>
      <c r="U28" s="1122">
        <f t="shared" ref="U28:U46" si="13">H28</f>
        <v>100</v>
      </c>
      <c r="V28" s="1121" t="s">
        <v>1452</v>
      </c>
      <c r="W28" s="1122">
        <f t="shared" ref="W28:W46" si="14">J28</f>
        <v>100</v>
      </c>
      <c r="X28" s="1115"/>
      <c r="Y28" s="3474"/>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9"/>
      <c r="Q29" s="681">
        <f t="shared" si="11"/>
        <v>111</v>
      </c>
      <c r="R29" s="1121" t="s">
        <v>1452</v>
      </c>
      <c r="S29" s="1122">
        <f t="shared" si="12"/>
        <v>100</v>
      </c>
      <c r="T29" s="1121" t="s">
        <v>1452</v>
      </c>
      <c r="U29" s="1122">
        <f t="shared" si="13"/>
        <v>100</v>
      </c>
      <c r="V29" s="1121" t="s">
        <v>1452</v>
      </c>
      <c r="W29" s="1122">
        <f t="shared" si="14"/>
        <v>100</v>
      </c>
      <c r="X29" s="1115"/>
      <c r="Y29" s="3474"/>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9"/>
      <c r="Q30" s="681">
        <f t="shared" si="11"/>
        <v>111</v>
      </c>
      <c r="R30" s="1121" t="s">
        <v>1452</v>
      </c>
      <c r="S30" s="1122">
        <f t="shared" si="12"/>
        <v>100</v>
      </c>
      <c r="T30" s="1121" t="s">
        <v>1452</v>
      </c>
      <c r="U30" s="1122">
        <f t="shared" si="13"/>
        <v>100</v>
      </c>
      <c r="V30" s="1121" t="s">
        <v>1452</v>
      </c>
      <c r="W30" s="1122">
        <f t="shared" si="14"/>
        <v>100</v>
      </c>
      <c r="X30" s="1115"/>
      <c r="Y30" s="3474"/>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9"/>
      <c r="Q31" s="681">
        <f t="shared" si="11"/>
        <v>111</v>
      </c>
      <c r="R31" s="1121" t="s">
        <v>1452</v>
      </c>
      <c r="S31" s="1122">
        <f t="shared" si="12"/>
        <v>100</v>
      </c>
      <c r="T31" s="1121" t="s">
        <v>1452</v>
      </c>
      <c r="U31" s="1122">
        <f t="shared" si="13"/>
        <v>100</v>
      </c>
      <c r="V31" s="1121" t="s">
        <v>1452</v>
      </c>
      <c r="W31" s="1122">
        <f t="shared" si="14"/>
        <v>100</v>
      </c>
      <c r="X31" s="1115"/>
      <c r="Y31" s="3474"/>
      <c r="Z31" s="1105">
        <f t="shared" si="15"/>
        <v>111</v>
      </c>
      <c r="AA31" s="1132">
        <f t="shared" si="3"/>
        <v>1</v>
      </c>
      <c r="AB31" s="1132">
        <f t="shared" si="4"/>
        <v>1</v>
      </c>
      <c r="AC31" s="1132">
        <f t="shared" si="5"/>
        <v>1</v>
      </c>
    </row>
    <row r="32" spans="1:29" ht="15">
      <c r="A32" s="960" t="s">
        <v>1471</v>
      </c>
      <c r="B32" s="939" t="s">
        <v>1537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0" t="s">
        <v>1473</v>
      </c>
      <c r="Q32" s="681" t="str">
        <f t="shared" si="11"/>
        <v>商业类型</v>
      </c>
      <c r="R32" s="1121" t="s">
        <v>1452</v>
      </c>
      <c r="S32" s="1122">
        <f t="shared" si="12"/>
        <v>100</v>
      </c>
      <c r="T32" s="1121" t="s">
        <v>1452</v>
      </c>
      <c r="U32" s="1122">
        <f t="shared" si="13"/>
        <v>100</v>
      </c>
      <c r="V32" s="1121" t="s">
        <v>1452</v>
      </c>
      <c r="W32" s="1122">
        <f t="shared" si="14"/>
        <v>100</v>
      </c>
      <c r="X32" s="1115"/>
      <c r="Y32" s="3475" t="s">
        <v>1473</v>
      </c>
      <c r="Z32" s="1105" t="str">
        <f t="shared" si="15"/>
        <v>商业类型</v>
      </c>
      <c r="AA32" s="1132">
        <f t="shared" si="3"/>
        <v>1</v>
      </c>
      <c r="AB32" s="1132">
        <f t="shared" si="4"/>
        <v>1</v>
      </c>
      <c r="AC32" s="1132">
        <f t="shared" si="5"/>
        <v>1</v>
      </c>
    </row>
    <row r="33" spans="1:29" s="907" customFormat="1" ht="15">
      <c r="A33" s="1002"/>
      <c r="B33" s="943" t="s">
        <v>1474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1"/>
      <c r="Q33" s="1348" t="str">
        <f t="shared" si="11"/>
        <v>项目建筑规模</v>
      </c>
      <c r="R33" s="1123" t="s">
        <v>1452</v>
      </c>
      <c r="S33" s="1124" t="e">
        <f t="shared" si="12"/>
        <v>#N/A</v>
      </c>
      <c r="T33" s="1123" t="s">
        <v>1452</v>
      </c>
      <c r="U33" s="1124" t="e">
        <f t="shared" si="13"/>
        <v>#N/A</v>
      </c>
      <c r="V33" s="1123" t="s">
        <v>1452</v>
      </c>
      <c r="W33" s="1124" t="e">
        <f t="shared" si="14"/>
        <v>#N/A</v>
      </c>
      <c r="X33" s="1125"/>
      <c r="Y33" s="3475"/>
      <c r="Z33" s="1133" t="str">
        <f t="shared" si="15"/>
        <v>项目建筑规模</v>
      </c>
      <c r="AA33" s="1132" t="e">
        <f t="shared" si="3"/>
        <v>#N/A</v>
      </c>
      <c r="AB33" s="1132" t="e">
        <f t="shared" si="4"/>
        <v>#N/A</v>
      </c>
      <c r="AC33" s="1132" t="e">
        <f t="shared" si="5"/>
        <v>#N/A</v>
      </c>
    </row>
    <row r="34" spans="1:29" ht="15">
      <c r="A34" s="997"/>
      <c r="B34" s="943" t="s">
        <v>1475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1"/>
      <c r="Q34" s="681" t="str">
        <f t="shared" si="11"/>
        <v>建筑结构</v>
      </c>
      <c r="R34" s="1121" t="s">
        <v>1452</v>
      </c>
      <c r="S34" s="1122">
        <f t="shared" si="12"/>
        <v>100</v>
      </c>
      <c r="T34" s="1121" t="s">
        <v>1452</v>
      </c>
      <c r="U34" s="1122">
        <f t="shared" si="13"/>
        <v>100</v>
      </c>
      <c r="V34" s="1121" t="s">
        <v>1452</v>
      </c>
      <c r="W34" s="1122">
        <f t="shared" si="14"/>
        <v>100</v>
      </c>
      <c r="X34" s="1115"/>
      <c r="Y34" s="3475"/>
      <c r="Z34" s="1105" t="str">
        <f t="shared" si="15"/>
        <v>建筑结构</v>
      </c>
      <c r="AA34" s="1132">
        <f t="shared" si="3"/>
        <v>1</v>
      </c>
      <c r="AB34" s="1132">
        <f t="shared" si="4"/>
        <v>1</v>
      </c>
      <c r="AC34" s="1132">
        <f t="shared" si="5"/>
        <v>1</v>
      </c>
    </row>
    <row r="35" spans="1:29" ht="15">
      <c r="A35" s="997"/>
      <c r="B35" s="943" t="s">
        <v>1477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1"/>
      <c r="Q35" s="681" t="str">
        <f t="shared" si="11"/>
        <v>公共部分装修</v>
      </c>
      <c r="R35" s="1121" t="s">
        <v>1452</v>
      </c>
      <c r="S35" s="1122">
        <f t="shared" si="12"/>
        <v>100</v>
      </c>
      <c r="T35" s="1121" t="s">
        <v>1452</v>
      </c>
      <c r="U35" s="1122">
        <f t="shared" si="13"/>
        <v>100</v>
      </c>
      <c r="V35" s="1121" t="s">
        <v>1452</v>
      </c>
      <c r="W35" s="1122">
        <f t="shared" si="14"/>
        <v>100</v>
      </c>
      <c r="X35" s="1115"/>
      <c r="Y35" s="3475"/>
      <c r="Z35" s="1105" t="str">
        <f t="shared" si="15"/>
        <v>公共部分装修</v>
      </c>
      <c r="AA35" s="1132">
        <f t="shared" si="3"/>
        <v>1</v>
      </c>
      <c r="AB35" s="1132">
        <f t="shared" si="4"/>
        <v>1</v>
      </c>
      <c r="AC35" s="1132">
        <f t="shared" si="5"/>
        <v>1</v>
      </c>
    </row>
    <row r="36" spans="1:29" ht="15">
      <c r="A36" s="997"/>
      <c r="B36" s="943" t="s">
        <v>564</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1"/>
      <c r="Q36" s="681" t="str">
        <f t="shared" si="11"/>
        <v>成新度</v>
      </c>
      <c r="R36" s="1121" t="s">
        <v>1452</v>
      </c>
      <c r="S36" s="1122" t="e">
        <f t="shared" si="12"/>
        <v>#N/A</v>
      </c>
      <c r="T36" s="1121" t="s">
        <v>1452</v>
      </c>
      <c r="U36" s="1122" t="e">
        <f t="shared" si="13"/>
        <v>#N/A</v>
      </c>
      <c r="V36" s="1121" t="s">
        <v>1452</v>
      </c>
      <c r="W36" s="1122" t="e">
        <f t="shared" si="14"/>
        <v>#N/A</v>
      </c>
      <c r="X36" s="1115"/>
      <c r="Y36" s="3475"/>
      <c r="Z36" s="1105" t="str">
        <f t="shared" si="15"/>
        <v>成新度</v>
      </c>
      <c r="AA36" s="1132" t="e">
        <f t="shared" si="3"/>
        <v>#N/A</v>
      </c>
      <c r="AB36" s="1132" t="e">
        <f t="shared" si="4"/>
        <v>#N/A</v>
      </c>
      <c r="AC36" s="1132" t="e">
        <f t="shared" si="5"/>
        <v>#N/A</v>
      </c>
    </row>
    <row r="37" spans="1:29" s="905" customFormat="1" ht="15">
      <c r="A37" s="999"/>
      <c r="B37" s="943" t="s">
        <v>1479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1"/>
      <c r="Q37" s="1120" t="str">
        <f t="shared" si="11"/>
        <v>市政基础设施</v>
      </c>
      <c r="R37" s="1116" t="s">
        <v>1452</v>
      </c>
      <c r="S37" s="1117">
        <f t="shared" si="12"/>
        <v>100</v>
      </c>
      <c r="T37" s="1116" t="s">
        <v>1452</v>
      </c>
      <c r="U37" s="1117">
        <f t="shared" si="13"/>
        <v>100</v>
      </c>
      <c r="V37" s="1116" t="s">
        <v>1452</v>
      </c>
      <c r="W37" s="1117">
        <f t="shared" si="14"/>
        <v>100</v>
      </c>
      <c r="X37" s="1118"/>
      <c r="Y37" s="3475"/>
      <c r="Z37" s="1131" t="str">
        <f t="shared" si="15"/>
        <v>市政基础设施</v>
      </c>
      <c r="AA37" s="1130">
        <f t="shared" si="3"/>
        <v>1</v>
      </c>
      <c r="AB37" s="1130">
        <f t="shared" si="4"/>
        <v>1</v>
      </c>
      <c r="AC37" s="1130">
        <f t="shared" si="5"/>
        <v>1</v>
      </c>
    </row>
    <row r="38" spans="1:29" ht="15">
      <c r="A38" s="997"/>
      <c r="B38" s="943" t="s">
        <v>1538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1" t="s">
        <v>1473</v>
      </c>
      <c r="Q38" s="681" t="str">
        <f t="shared" si="11"/>
        <v>业态</v>
      </c>
      <c r="R38" s="1121" t="s">
        <v>1452</v>
      </c>
      <c r="S38" s="1122">
        <f t="shared" si="12"/>
        <v>100</v>
      </c>
      <c r="T38" s="1121" t="s">
        <v>1452</v>
      </c>
      <c r="U38" s="1122">
        <f t="shared" si="13"/>
        <v>100</v>
      </c>
      <c r="V38" s="1121" t="s">
        <v>1452</v>
      </c>
      <c r="W38" s="1122">
        <f t="shared" si="14"/>
        <v>100</v>
      </c>
      <c r="X38" s="1115"/>
      <c r="Y38" s="3475" t="s">
        <v>1473</v>
      </c>
      <c r="Z38" s="1105" t="str">
        <f t="shared" si="15"/>
        <v>业态</v>
      </c>
      <c r="AA38" s="1132">
        <f t="shared" si="3"/>
        <v>1</v>
      </c>
      <c r="AB38" s="1132">
        <f t="shared" si="4"/>
        <v>1</v>
      </c>
      <c r="AC38" s="1132">
        <f t="shared" si="5"/>
        <v>1</v>
      </c>
    </row>
    <row r="39" spans="1:29" ht="15">
      <c r="A39" s="997"/>
      <c r="B39" s="943" t="s">
        <v>1539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1"/>
      <c r="Q39" s="681" t="str">
        <f t="shared" si="11"/>
        <v>层高</v>
      </c>
      <c r="R39" s="1121" t="s">
        <v>1452</v>
      </c>
      <c r="S39" s="1122">
        <f t="shared" si="12"/>
        <v>100</v>
      </c>
      <c r="T39" s="1121" t="s">
        <v>1452</v>
      </c>
      <c r="U39" s="1122">
        <f t="shared" si="13"/>
        <v>100</v>
      </c>
      <c r="V39" s="1121" t="s">
        <v>1452</v>
      </c>
      <c r="W39" s="1122">
        <f t="shared" si="14"/>
        <v>100</v>
      </c>
      <c r="X39" s="1115"/>
      <c r="Y39" s="3475"/>
      <c r="Z39" s="1105" t="str">
        <f t="shared" si="15"/>
        <v>层高</v>
      </c>
      <c r="AA39" s="1132">
        <f t="shared" si="3"/>
        <v>1</v>
      </c>
      <c r="AB39" s="1132">
        <f t="shared" si="4"/>
        <v>1</v>
      </c>
      <c r="AC39" s="1132">
        <f t="shared" si="5"/>
        <v>1</v>
      </c>
    </row>
    <row r="40" spans="1:29" ht="15">
      <c r="A40" s="997"/>
      <c r="B40" s="943" t="s">
        <v>1540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1"/>
      <c r="Q40" s="681" t="str">
        <f t="shared" si="11"/>
        <v>单套建筑面积</v>
      </c>
      <c r="R40" s="1121" t="s">
        <v>1452</v>
      </c>
      <c r="S40" s="1122">
        <f t="shared" si="12"/>
        <v>100</v>
      </c>
      <c r="T40" s="1121" t="s">
        <v>1452</v>
      </c>
      <c r="U40" s="1122">
        <f t="shared" si="13"/>
        <v>100</v>
      </c>
      <c r="V40" s="1121" t="s">
        <v>1452</v>
      </c>
      <c r="W40" s="1122">
        <f t="shared" si="14"/>
        <v>100</v>
      </c>
      <c r="X40" s="1115"/>
      <c r="Y40" s="3475"/>
      <c r="Z40" s="1105" t="str">
        <f t="shared" si="15"/>
        <v>单套建筑面积</v>
      </c>
      <c r="AA40" s="1132">
        <f t="shared" si="3"/>
        <v>1</v>
      </c>
      <c r="AB40" s="1132">
        <f t="shared" si="4"/>
        <v>1</v>
      </c>
      <c r="AC40" s="1132">
        <f t="shared" si="5"/>
        <v>1</v>
      </c>
    </row>
    <row r="41" spans="1:29" s="907" customFormat="1" ht="15">
      <c r="A41" s="1002"/>
      <c r="B41" s="1100" t="s">
        <v>1541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1"/>
      <c r="Q41" s="1348" t="str">
        <f t="shared" si="11"/>
        <v>进深比</v>
      </c>
      <c r="R41" s="1123" t="s">
        <v>1452</v>
      </c>
      <c r="S41" s="1124">
        <f t="shared" si="12"/>
        <v>100</v>
      </c>
      <c r="T41" s="1123" t="s">
        <v>1452</v>
      </c>
      <c r="U41" s="1124">
        <f t="shared" si="13"/>
        <v>100</v>
      </c>
      <c r="V41" s="1123" t="s">
        <v>1452</v>
      </c>
      <c r="W41" s="1124">
        <f t="shared" si="14"/>
        <v>100</v>
      </c>
      <c r="X41" s="1125"/>
      <c r="Y41" s="3475"/>
      <c r="Z41" s="1133" t="str">
        <f t="shared" si="15"/>
        <v>进深比</v>
      </c>
      <c r="AA41" s="1132">
        <f t="shared" si="3"/>
        <v>1</v>
      </c>
      <c r="AB41" s="1132">
        <f t="shared" si="4"/>
        <v>1</v>
      </c>
      <c r="AC41" s="1132">
        <f t="shared" si="5"/>
        <v>1</v>
      </c>
    </row>
    <row r="42" spans="1:29" ht="15">
      <c r="A42" s="997"/>
      <c r="B42" s="943" t="s">
        <v>1482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1"/>
      <c r="Q42" s="681" t="str">
        <f t="shared" si="11"/>
        <v>内部装修</v>
      </c>
      <c r="R42" s="1121" t="s">
        <v>1452</v>
      </c>
      <c r="S42" s="1122">
        <f t="shared" si="12"/>
        <v>100</v>
      </c>
      <c r="T42" s="1121" t="s">
        <v>1452</v>
      </c>
      <c r="U42" s="1122">
        <f t="shared" si="13"/>
        <v>100</v>
      </c>
      <c r="V42" s="1121" t="s">
        <v>1452</v>
      </c>
      <c r="W42" s="1122">
        <f t="shared" si="14"/>
        <v>100</v>
      </c>
      <c r="X42" s="1115"/>
      <c r="Y42" s="3475"/>
      <c r="Z42" s="1105" t="str">
        <f t="shared" si="15"/>
        <v>内部装修</v>
      </c>
      <c r="AA42" s="1132">
        <f t="shared" si="3"/>
        <v>1</v>
      </c>
      <c r="AB42" s="1132">
        <f t="shared" si="4"/>
        <v>1</v>
      </c>
      <c r="AC42" s="1132">
        <f t="shared" si="5"/>
        <v>1</v>
      </c>
    </row>
    <row r="43" spans="1:29" ht="15">
      <c r="A43" s="997"/>
      <c r="B43" s="943" t="s">
        <v>1483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1"/>
      <c r="Q43" s="681" t="str">
        <f t="shared" si="11"/>
        <v>内部装修维护情况</v>
      </c>
      <c r="R43" s="1121" t="s">
        <v>1452</v>
      </c>
      <c r="S43" s="1122">
        <f t="shared" si="12"/>
        <v>100</v>
      </c>
      <c r="T43" s="1121" t="s">
        <v>1452</v>
      </c>
      <c r="U43" s="1122">
        <f t="shared" si="13"/>
        <v>100</v>
      </c>
      <c r="V43" s="1121" t="s">
        <v>1452</v>
      </c>
      <c r="W43" s="1122">
        <f t="shared" si="14"/>
        <v>100</v>
      </c>
      <c r="X43" s="1115"/>
      <c r="Y43" s="3475"/>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1"/>
      <c r="Q44" s="1120">
        <f t="shared" si="11"/>
        <v>111</v>
      </c>
      <c r="R44" s="1116" t="s">
        <v>1452</v>
      </c>
      <c r="S44" s="1117">
        <f t="shared" si="12"/>
        <v>100</v>
      </c>
      <c r="T44" s="1116" t="s">
        <v>1452</v>
      </c>
      <c r="U44" s="1117">
        <f t="shared" si="13"/>
        <v>100</v>
      </c>
      <c r="V44" s="1116" t="s">
        <v>1452</v>
      </c>
      <c r="W44" s="1117">
        <f t="shared" si="14"/>
        <v>100</v>
      </c>
      <c r="X44" s="1118"/>
      <c r="Y44" s="3475"/>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1"/>
      <c r="Q45" s="681">
        <f t="shared" si="11"/>
        <v>111</v>
      </c>
      <c r="R45" s="1121" t="s">
        <v>1452</v>
      </c>
      <c r="S45" s="1122">
        <f t="shared" si="12"/>
        <v>100</v>
      </c>
      <c r="T45" s="1121" t="s">
        <v>1452</v>
      </c>
      <c r="U45" s="1122">
        <f t="shared" si="13"/>
        <v>100</v>
      </c>
      <c r="V45" s="1121" t="s">
        <v>1452</v>
      </c>
      <c r="W45" s="1122">
        <f t="shared" si="14"/>
        <v>100</v>
      </c>
      <c r="X45" s="1115"/>
      <c r="Y45" s="3475"/>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2"/>
      <c r="Q46" s="681">
        <f t="shared" si="11"/>
        <v>111</v>
      </c>
      <c r="R46" s="1121" t="s">
        <v>1452</v>
      </c>
      <c r="S46" s="1122">
        <f t="shared" si="12"/>
        <v>100</v>
      </c>
      <c r="T46" s="1121" t="s">
        <v>1452</v>
      </c>
      <c r="U46" s="1122">
        <f t="shared" si="13"/>
        <v>100</v>
      </c>
      <c r="V46" s="1121" t="s">
        <v>1452</v>
      </c>
      <c r="W46" s="1122">
        <f t="shared" si="14"/>
        <v>100</v>
      </c>
      <c r="X46" s="1115"/>
      <c r="Y46" s="3476"/>
      <c r="Z46" s="1105">
        <f t="shared" si="15"/>
        <v>111</v>
      </c>
      <c r="AA46" s="1132">
        <f t="shared" si="3"/>
        <v>1</v>
      </c>
      <c r="AB46" s="1132">
        <f t="shared" si="4"/>
        <v>1</v>
      </c>
      <c r="AC46" s="1132">
        <f t="shared" si="5"/>
        <v>1</v>
      </c>
    </row>
    <row r="47" spans="1:29" ht="15">
      <c r="A47" s="1004" t="s">
        <v>1484</v>
      </c>
      <c r="B47" s="1323"/>
      <c r="C47" s="1324" t="s">
        <v>124</v>
      </c>
      <c r="D47" s="1325"/>
      <c r="E47" s="1326"/>
      <c r="F47" s="1327"/>
      <c r="G47" s="1328"/>
      <c r="H47" s="1329"/>
      <c r="I47" s="1326"/>
      <c r="J47" s="1329"/>
      <c r="K47" s="1096"/>
      <c r="L47" s="1097"/>
      <c r="M47" s="1021"/>
      <c r="N47" s="1073"/>
      <c r="O47" s="1021"/>
      <c r="P47" s="3462" t="str">
        <f>A47</f>
        <v>成交单价（元/平方米）</v>
      </c>
      <c r="Q47" s="3462"/>
      <c r="R47" s="3492">
        <f>E47</f>
        <v>0</v>
      </c>
      <c r="S47" s="3492"/>
      <c r="T47" s="3492">
        <f>G47</f>
        <v>0</v>
      </c>
      <c r="U47" s="3492"/>
      <c r="V47" s="3492">
        <f>I47</f>
        <v>0</v>
      </c>
      <c r="W47" s="3492"/>
      <c r="X47" s="1061"/>
      <c r="Y47" s="1134"/>
      <c r="Z47" s="1061"/>
      <c r="AA47" s="1061"/>
      <c r="AB47" s="1061"/>
      <c r="AC47" s="1061"/>
    </row>
    <row r="48" spans="1:29" ht="15">
      <c r="A48" s="1012" t="s">
        <v>1485</v>
      </c>
      <c r="B48" s="1330"/>
      <c r="C48" s="1331" t="e">
        <f>R49</f>
        <v>#DIV/0!</v>
      </c>
      <c r="D48" s="1015" t="s">
        <v>1486</v>
      </c>
      <c r="E48" s="1332" t="e">
        <f>R48</f>
        <v>#DIV/0!</v>
      </c>
      <c r="F48" s="1016"/>
      <c r="G48" s="1331" t="e">
        <f>T48</f>
        <v>#DIV/0!</v>
      </c>
      <c r="H48" s="1016"/>
      <c r="I48" s="1332" t="e">
        <f>V48</f>
        <v>#DIV/0!</v>
      </c>
      <c r="J48" s="1016"/>
      <c r="K48" s="1098">
        <f>F48+H48+J48</f>
        <v>0</v>
      </c>
      <c r="L48" s="1097"/>
      <c r="M48" s="1021"/>
      <c r="N48" s="1073"/>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1487</v>
      </c>
      <c r="B49" s="1019"/>
      <c r="C49" s="1333" t="e">
        <f>R49</f>
        <v>#DIV/0!</v>
      </c>
      <c r="D49" s="1333"/>
      <c r="E49" s="1333"/>
      <c r="F49" s="1333"/>
      <c r="G49" s="1333"/>
      <c r="H49" s="1333"/>
      <c r="I49" s="1333"/>
      <c r="J49" s="1333"/>
      <c r="K49" s="1099"/>
      <c r="L49" s="1097"/>
      <c r="M49" s="1021"/>
      <c r="N49" s="1073"/>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1488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1489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1490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1491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1450</v>
      </c>
      <c r="B58" s="1336"/>
      <c r="C58" s="1337" t="str">
        <f>YEAR(C7)&amp;"-"&amp;MONTH(C7)</f>
        <v>2022-11</v>
      </c>
      <c r="D58" s="1338">
        <f>EDATE(C58,-1)</f>
        <v>44835</v>
      </c>
      <c r="E58" s="1338">
        <f t="shared" ref="E58:O58" si="16">EDATE(D58,-1)</f>
        <v>44805</v>
      </c>
      <c r="F58" s="1338">
        <f t="shared" si="16"/>
        <v>44774</v>
      </c>
      <c r="G58" s="1338">
        <f t="shared" si="16"/>
        <v>44743</v>
      </c>
      <c r="H58" s="1338">
        <f t="shared" si="16"/>
        <v>44713</v>
      </c>
      <c r="I58" s="1338">
        <f t="shared" si="16"/>
        <v>44682</v>
      </c>
      <c r="J58" s="1338">
        <f t="shared" si="16"/>
        <v>44652</v>
      </c>
      <c r="K58" s="1338">
        <f t="shared" si="16"/>
        <v>44621</v>
      </c>
      <c r="L58" s="1338">
        <f t="shared" si="16"/>
        <v>44593</v>
      </c>
      <c r="M58" s="1338">
        <f t="shared" si="16"/>
        <v>44562</v>
      </c>
      <c r="N58" s="1338">
        <f t="shared" si="16"/>
        <v>44531</v>
      </c>
      <c r="O58" s="1338">
        <f t="shared" si="16"/>
        <v>44501</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1492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1453</v>
      </c>
      <c r="B61" s="1146"/>
      <c r="C61" s="1147" t="s">
        <v>1454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1493</v>
      </c>
      <c r="B63" s="1152" t="s">
        <v>1457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1460</v>
      </c>
      <c r="C65" s="1157" t="s">
        <v>1494</v>
      </c>
      <c r="D65" s="1157" t="s">
        <v>1495</v>
      </c>
      <c r="E65" s="1157" t="s">
        <v>1496</v>
      </c>
      <c r="F65" s="1157" t="s">
        <v>1497</v>
      </c>
      <c r="G65" s="1157" t="s">
        <v>1498</v>
      </c>
      <c r="H65" s="1157" t="s">
        <v>1499</v>
      </c>
      <c r="I65" s="1157" t="s">
        <v>1500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1542</v>
      </c>
      <c r="D66" s="1159" t="s">
        <v>1542</v>
      </c>
      <c r="E66" s="1159" t="s">
        <v>1542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1461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1462</v>
      </c>
      <c r="B76" s="1152" t="s">
        <v>1463</v>
      </c>
      <c r="C76" s="1173" t="s">
        <v>1501</v>
      </c>
      <c r="D76" s="1173" t="s">
        <v>1502</v>
      </c>
      <c r="E76" s="1173" t="s">
        <v>1503</v>
      </c>
      <c r="F76" s="1173" t="s">
        <v>1504</v>
      </c>
      <c r="G76" s="1173" t="s">
        <v>1505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1465</v>
      </c>
      <c r="C78" s="1175" t="s">
        <v>1501</v>
      </c>
      <c r="D78" s="1175" t="s">
        <v>1502</v>
      </c>
      <c r="E78" s="1175" t="s">
        <v>1503</v>
      </c>
      <c r="F78" s="1175" t="s">
        <v>1504</v>
      </c>
      <c r="G78" s="1175" t="s">
        <v>1505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1466</v>
      </c>
      <c r="C80" s="1175" t="s">
        <v>1501</v>
      </c>
      <c r="D80" s="1175" t="s">
        <v>1502</v>
      </c>
      <c r="E80" s="1175" t="s">
        <v>1503</v>
      </c>
      <c r="F80" s="1175" t="s">
        <v>1504</v>
      </c>
      <c r="G80" s="1175" t="s">
        <v>1505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1467</v>
      </c>
      <c r="C82" s="1180" t="s">
        <v>1506</v>
      </c>
      <c r="D82" s="1180" t="s">
        <v>1507</v>
      </c>
      <c r="E82" s="1180" t="s">
        <v>1508</v>
      </c>
      <c r="F82" s="1180" t="s">
        <v>1509</v>
      </c>
      <c r="G82" s="1180" t="s">
        <v>1510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1468</v>
      </c>
      <c r="C84" s="1175" t="s">
        <v>1501</v>
      </c>
      <c r="D84" s="1175" t="s">
        <v>1502</v>
      </c>
      <c r="E84" s="1175" t="s">
        <v>1503</v>
      </c>
      <c r="F84" s="1175" t="s">
        <v>1504</v>
      </c>
      <c r="G84" s="1175" t="s">
        <v>1505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1533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1471</v>
      </c>
      <c r="B100" s="1152" t="s">
        <v>1537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1474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1475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1477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564</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1479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1538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1539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1540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1543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1482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1483</v>
      </c>
      <c r="C124" s="1175" t="s">
        <v>1501</v>
      </c>
      <c r="D124" s="1175" t="s">
        <v>1502</v>
      </c>
      <c r="E124" s="1175" t="s">
        <v>1503</v>
      </c>
      <c r="F124" s="1175" t="s">
        <v>1504</v>
      </c>
      <c r="G124" s="1175" t="s">
        <v>1505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1431</v>
      </c>
      <c r="B1" s="1419" t="s">
        <v>1544</v>
      </c>
      <c r="C1" s="1286" t="s">
        <v>1433</v>
      </c>
      <c r="D1" s="1287"/>
      <c r="E1" s="1288"/>
      <c r="F1" s="1289"/>
      <c r="G1" s="1290" t="s">
        <v>1435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945</v>
      </c>
      <c r="B2" s="1292" t="e">
        <f ca="1">IF(C2="——",ROUND(C50*D3/10000,0),ROUND(C50*D3/10000,0)-D2)</f>
        <v>#DIV/0!</v>
      </c>
      <c r="C2" s="1293"/>
      <c r="D2" s="1461" t="e">
        <f ca="1">SUMIF(INDIRECT("'"&amp;F2&amp;"'"&amp;"!A:A"),"承租人权益价值",INDIRECT("'"&amp;F2&amp;"'"&amp;"!c:c"))</f>
        <v>#REF!</v>
      </c>
      <c r="E2" s="1294" t="s">
        <v>946</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947</v>
      </c>
      <c r="B3" s="922" t="e">
        <f ca="1">IF(C2="——",C50,ROUND(B2*10000/D3,0))</f>
        <v>#DIV/0!</v>
      </c>
      <c r="C3" s="1296" t="s">
        <v>1436</v>
      </c>
      <c r="D3" s="1297">
        <f>IF(D1="",'数据-汇总表'!E3,SUMIF('数据-汇总表'!$C19:$C33,D1,'数据-汇总表'!$E19:$E33))</f>
        <v>11398.58</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1437</v>
      </c>
      <c r="B4" s="925"/>
      <c r="C4" s="3447" t="s">
        <v>1438</v>
      </c>
      <c r="D4" s="3448"/>
      <c r="E4" s="3449" t="s">
        <v>1439</v>
      </c>
      <c r="F4" s="3450"/>
      <c r="G4" s="3447" t="s">
        <v>1440</v>
      </c>
      <c r="H4" s="3448"/>
      <c r="I4" s="3447" t="s">
        <v>1441</v>
      </c>
      <c r="J4" s="3448"/>
      <c r="K4" s="1071" t="s">
        <v>1442</v>
      </c>
      <c r="L4" s="1072"/>
      <c r="M4" s="1073"/>
      <c r="N4" s="1073"/>
      <c r="O4" s="1073"/>
      <c r="P4" s="3501" t="s">
        <v>1443</v>
      </c>
      <c r="Q4" s="3502"/>
      <c r="R4" s="3505" t="s">
        <v>1439</v>
      </c>
      <c r="S4" s="3506"/>
      <c r="T4" s="3505" t="s">
        <v>1440</v>
      </c>
      <c r="U4" s="3506"/>
      <c r="V4" s="3507" t="s">
        <v>1441</v>
      </c>
      <c r="W4" s="3507"/>
      <c r="X4" s="1472"/>
      <c r="Y4" s="3505" t="s">
        <v>1443</v>
      </c>
      <c r="Z4" s="3506"/>
      <c r="AA4" s="3497" t="s">
        <v>1439</v>
      </c>
      <c r="AB4" s="3497" t="s">
        <v>1440</v>
      </c>
      <c r="AC4" s="3498" t="s">
        <v>1441</v>
      </c>
    </row>
    <row r="5" spans="1:29" ht="15">
      <c r="A5" s="926"/>
      <c r="B5" s="927"/>
      <c r="C5" s="3451" t="s">
        <v>1444</v>
      </c>
      <c r="D5" s="3452"/>
      <c r="E5" s="3453" t="s">
        <v>1445</v>
      </c>
      <c r="F5" s="3454"/>
      <c r="G5" s="3451" t="s">
        <v>1446</v>
      </c>
      <c r="H5" s="3452"/>
      <c r="I5" s="3451" t="s">
        <v>1447</v>
      </c>
      <c r="J5" s="3452"/>
      <c r="K5" s="1071"/>
      <c r="L5" s="1072"/>
      <c r="M5" s="1073"/>
      <c r="N5" s="1073"/>
      <c r="O5" s="1073"/>
      <c r="P5" s="3503"/>
      <c r="Q5" s="3483"/>
      <c r="R5" s="3488"/>
      <c r="S5" s="3489"/>
      <c r="T5" s="3488"/>
      <c r="U5" s="3489"/>
      <c r="V5" s="3492"/>
      <c r="W5" s="3492"/>
      <c r="X5" s="1115"/>
      <c r="Y5" s="3488"/>
      <c r="Z5" s="3489"/>
      <c r="AA5" s="3478"/>
      <c r="AB5" s="3478"/>
      <c r="AC5" s="3499"/>
    </row>
    <row r="6" spans="1:29" ht="15">
      <c r="A6" s="928"/>
      <c r="B6" s="929"/>
      <c r="C6" s="3455" t="s">
        <v>1448</v>
      </c>
      <c r="D6" s="3456"/>
      <c r="E6" s="3457" t="s">
        <v>1448</v>
      </c>
      <c r="F6" s="3458"/>
      <c r="G6" s="3455" t="s">
        <v>1448</v>
      </c>
      <c r="H6" s="3456"/>
      <c r="I6" s="3455" t="s">
        <v>1448</v>
      </c>
      <c r="J6" s="3456"/>
      <c r="K6" s="1071" t="s">
        <v>1449</v>
      </c>
      <c r="L6" s="1072"/>
      <c r="M6" s="1073"/>
      <c r="N6" s="1073"/>
      <c r="O6" s="1073"/>
      <c r="P6" s="3504"/>
      <c r="Q6" s="3485"/>
      <c r="R6" s="3488"/>
      <c r="S6" s="3489"/>
      <c r="T6" s="3490"/>
      <c r="U6" s="3491"/>
      <c r="V6" s="3492"/>
      <c r="W6" s="3492"/>
      <c r="X6" s="1115"/>
      <c r="Y6" s="3490"/>
      <c r="Z6" s="3491"/>
      <c r="AA6" s="3479"/>
      <c r="AB6" s="3479"/>
      <c r="AC6" s="3500"/>
    </row>
    <row r="7" spans="1:29" s="905" customFormat="1" ht="15">
      <c r="A7" s="930" t="s">
        <v>1450</v>
      </c>
      <c r="B7" s="931"/>
      <c r="C7" s="932">
        <f>'数据-取费表'!B2</f>
        <v>44889</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93"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474" t="e">
        <f>D7/J7</f>
        <v>#DIV/0!</v>
      </c>
    </row>
    <row r="8" spans="1:29" s="905" customFormat="1" ht="15">
      <c r="A8" s="930" t="s">
        <v>1453</v>
      </c>
      <c r="B8" s="931"/>
      <c r="C8" s="937" t="s">
        <v>1454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93" t="s">
        <v>1455</v>
      </c>
      <c r="Q8" s="3461"/>
      <c r="R8" s="1116" t="s">
        <v>1452</v>
      </c>
      <c r="S8" s="1117">
        <f t="shared" si="0"/>
        <v>0</v>
      </c>
      <c r="T8" s="1116" t="s">
        <v>1452</v>
      </c>
      <c r="U8" s="1117">
        <f t="shared" si="1"/>
        <v>0</v>
      </c>
      <c r="V8" s="1116" t="s">
        <v>1452</v>
      </c>
      <c r="W8" s="1117">
        <f t="shared" si="2"/>
        <v>0</v>
      </c>
      <c r="X8" s="1118"/>
      <c r="Y8" s="3459" t="s">
        <v>1455</v>
      </c>
      <c r="Z8" s="3461"/>
      <c r="AA8" s="1130" t="e">
        <f t="shared" ref="AA8:AA47" si="3">D8/F8</f>
        <v>#DIV/0!</v>
      </c>
      <c r="AB8" s="1130" t="e">
        <f t="shared" ref="AB8:AB47" si="4">D8/H8</f>
        <v>#DIV/0!</v>
      </c>
      <c r="AC8" s="1474" t="e">
        <f t="shared" ref="AC8:AC47" si="5">D8/J8</f>
        <v>#DIV/0!</v>
      </c>
    </row>
    <row r="9" spans="1:29" s="905" customFormat="1">
      <c r="A9" s="938" t="s">
        <v>1456</v>
      </c>
      <c r="B9" s="939" t="s">
        <v>1457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7"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474">
        <f t="shared" si="5"/>
        <v>1</v>
      </c>
    </row>
    <row r="10" spans="1:29" s="906" customFormat="1" ht="27">
      <c r="A10" s="942"/>
      <c r="B10" s="943" t="s">
        <v>1460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7"/>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474">
        <f t="shared" si="5"/>
        <v>1</v>
      </c>
    </row>
    <row r="11" spans="1:29" ht="15">
      <c r="A11" s="946"/>
      <c r="B11" s="943" t="s">
        <v>1461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7"/>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7"/>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7"/>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7"/>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474">
        <f t="shared" si="5"/>
        <v>1</v>
      </c>
    </row>
    <row r="15" spans="1:29" ht="71.25">
      <c r="A15" s="960" t="s">
        <v>1462</v>
      </c>
      <c r="B15" s="961" t="s">
        <v>1545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8" t="s">
        <v>1464</v>
      </c>
      <c r="Q15" s="681" t="str">
        <f t="shared" si="6"/>
        <v>办公集聚程度</v>
      </c>
      <c r="R15" s="1121" t="s">
        <v>1452</v>
      </c>
      <c r="S15" s="1122">
        <f t="shared" si="0"/>
        <v>100</v>
      </c>
      <c r="T15" s="1121" t="s">
        <v>1452</v>
      </c>
      <c r="U15" s="1122">
        <f t="shared" si="1"/>
        <v>100</v>
      </c>
      <c r="V15" s="1121" t="s">
        <v>1452</v>
      </c>
      <c r="W15" s="1122">
        <f t="shared" si="2"/>
        <v>100</v>
      </c>
      <c r="X15" s="1115"/>
      <c r="Y15" s="3473" t="s">
        <v>1464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9"/>
      <c r="Q16" s="681"/>
      <c r="R16" s="1121"/>
      <c r="S16" s="1122"/>
      <c r="T16" s="1121"/>
      <c r="U16" s="1122"/>
      <c r="V16" s="1121"/>
      <c r="W16" s="1122"/>
      <c r="X16" s="1115"/>
      <c r="Y16" s="3474"/>
      <c r="Z16" s="1105"/>
      <c r="AA16" s="1132">
        <v>1</v>
      </c>
      <c r="AB16" s="1132">
        <v>1</v>
      </c>
      <c r="AC16" s="1475">
        <v>1</v>
      </c>
    </row>
    <row r="17" spans="1:29" ht="71.25">
      <c r="A17" s="946"/>
      <c r="B17" s="970" t="s">
        <v>1465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9"/>
      <c r="Q17" s="681" t="str">
        <f>B17</f>
        <v>交通便捷度</v>
      </c>
      <c r="R17" s="1121" t="s">
        <v>1452</v>
      </c>
      <c r="S17" s="1122">
        <f>F17</f>
        <v>100</v>
      </c>
      <c r="T17" s="1121" t="s">
        <v>1452</v>
      </c>
      <c r="U17" s="1122">
        <f>H17</f>
        <v>100</v>
      </c>
      <c r="V17" s="1121" t="s">
        <v>1452</v>
      </c>
      <c r="W17" s="1122">
        <f>J17</f>
        <v>100</v>
      </c>
      <c r="X17" s="1115"/>
      <c r="Y17" s="3474"/>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9"/>
      <c r="Q18" s="681"/>
      <c r="R18" s="1121"/>
      <c r="S18" s="1122"/>
      <c r="T18" s="1121"/>
      <c r="U18" s="1122"/>
      <c r="V18" s="1121"/>
      <c r="W18" s="1122"/>
      <c r="X18" s="1115"/>
      <c r="Y18" s="3474"/>
      <c r="Z18" s="1105"/>
      <c r="AA18" s="1132">
        <v>1</v>
      </c>
      <c r="AB18" s="1132">
        <v>1</v>
      </c>
      <c r="AC18" s="1475">
        <v>1</v>
      </c>
    </row>
    <row r="19" spans="1:29" ht="42.75">
      <c r="A19" s="946"/>
      <c r="B19" s="970" t="s">
        <v>1466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9"/>
      <c r="Q19" s="681" t="str">
        <f>B19</f>
        <v>公共配套设施</v>
      </c>
      <c r="R19" s="1121" t="s">
        <v>1452</v>
      </c>
      <c r="S19" s="1122">
        <f>F19</f>
        <v>100</v>
      </c>
      <c r="T19" s="1121" t="s">
        <v>1452</v>
      </c>
      <c r="U19" s="1122">
        <f>H19</f>
        <v>100</v>
      </c>
      <c r="V19" s="1121" t="s">
        <v>1452</v>
      </c>
      <c r="W19" s="1122">
        <f>J19</f>
        <v>100</v>
      </c>
      <c r="X19" s="1115"/>
      <c r="Y19" s="3474"/>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9"/>
      <c r="Q20" s="681"/>
      <c r="R20" s="1121"/>
      <c r="S20" s="1122"/>
      <c r="T20" s="1121"/>
      <c r="U20" s="1122"/>
      <c r="V20" s="1121"/>
      <c r="W20" s="1122"/>
      <c r="X20" s="1115"/>
      <c r="Y20" s="3474"/>
      <c r="Z20" s="1105"/>
      <c r="AA20" s="1132">
        <v>1</v>
      </c>
      <c r="AB20" s="1132">
        <v>1</v>
      </c>
      <c r="AC20" s="1475">
        <v>1</v>
      </c>
    </row>
    <row r="21" spans="1:29" ht="28.5">
      <c r="A21" s="946"/>
      <c r="B21" s="977" t="s">
        <v>1467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9"/>
      <c r="Q21" s="681" t="str">
        <f>B21</f>
        <v>基础设施水平</v>
      </c>
      <c r="R21" s="1121" t="s">
        <v>1452</v>
      </c>
      <c r="S21" s="1122">
        <f>F21</f>
        <v>100</v>
      </c>
      <c r="T21" s="1121" t="s">
        <v>1452</v>
      </c>
      <c r="U21" s="1122">
        <f>H21</f>
        <v>100</v>
      </c>
      <c r="V21" s="1121" t="s">
        <v>1452</v>
      </c>
      <c r="W21" s="1122">
        <f>J21</f>
        <v>100</v>
      </c>
      <c r="X21" s="1115"/>
      <c r="Y21" s="3474"/>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9"/>
      <c r="Q22" s="681"/>
      <c r="R22" s="1121"/>
      <c r="S22" s="1122"/>
      <c r="T22" s="1121"/>
      <c r="U22" s="1122"/>
      <c r="V22" s="1121"/>
      <c r="W22" s="1122"/>
      <c r="X22" s="1115"/>
      <c r="Y22" s="3474"/>
      <c r="Z22" s="1105"/>
      <c r="AA22" s="1132">
        <v>1</v>
      </c>
      <c r="AB22" s="1132">
        <v>1</v>
      </c>
      <c r="AC22" s="1475">
        <v>1</v>
      </c>
    </row>
    <row r="23" spans="1:29" ht="42.75">
      <c r="A23" s="946"/>
      <c r="B23" s="970" t="s">
        <v>1546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9"/>
      <c r="Q23" s="681" t="str">
        <f>B23</f>
        <v>环境质量</v>
      </c>
      <c r="R23" s="1121" t="s">
        <v>1452</v>
      </c>
      <c r="S23" s="1122">
        <f>F23</f>
        <v>100</v>
      </c>
      <c r="T23" s="1121" t="s">
        <v>1452</v>
      </c>
      <c r="U23" s="1122">
        <f>H23</f>
        <v>100</v>
      </c>
      <c r="V23" s="1121" t="s">
        <v>1452</v>
      </c>
      <c r="W23" s="1122">
        <f>J23</f>
        <v>100</v>
      </c>
      <c r="X23" s="1115"/>
      <c r="Y23" s="3474"/>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9"/>
      <c r="Q24" s="681"/>
      <c r="R24" s="1121"/>
      <c r="S24" s="1122"/>
      <c r="T24" s="1121"/>
      <c r="U24" s="1122"/>
      <c r="V24" s="1121"/>
      <c r="W24" s="1122"/>
      <c r="X24" s="1115"/>
      <c r="Y24" s="3474"/>
      <c r="Z24" s="1105"/>
      <c r="AA24" s="1132">
        <v>1</v>
      </c>
      <c r="AB24" s="1132">
        <v>1</v>
      </c>
      <c r="AC24" s="1475">
        <v>1</v>
      </c>
    </row>
    <row r="25" spans="1:29" ht="27">
      <c r="A25" s="926"/>
      <c r="B25" s="970" t="s">
        <v>1547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9"/>
      <c r="Q25" s="681" t="str">
        <f>B25</f>
        <v>毗邻道路的类型与等级</v>
      </c>
      <c r="R25" s="1121" t="s">
        <v>1452</v>
      </c>
      <c r="S25" s="1122">
        <f>F25</f>
        <v>100</v>
      </c>
      <c r="T25" s="1121" t="s">
        <v>1452</v>
      </c>
      <c r="U25" s="1122">
        <f>H25</f>
        <v>100</v>
      </c>
      <c r="V25" s="1121" t="s">
        <v>1452</v>
      </c>
      <c r="W25" s="1122">
        <f>J25</f>
        <v>100</v>
      </c>
      <c r="X25" s="1115"/>
      <c r="Y25" s="3474"/>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9"/>
      <c r="Q26" s="681"/>
      <c r="R26" s="1121"/>
      <c r="S26" s="1122"/>
      <c r="T26" s="1121"/>
      <c r="U26" s="1122"/>
      <c r="V26" s="1121"/>
      <c r="W26" s="1122"/>
      <c r="X26" s="1115"/>
      <c r="Y26" s="3474"/>
      <c r="Z26" s="1105"/>
      <c r="AA26" s="1132">
        <v>1</v>
      </c>
      <c r="AB26" s="1132">
        <v>1</v>
      </c>
      <c r="AC26" s="1475">
        <v>1</v>
      </c>
    </row>
    <row r="27" spans="1:29" ht="15">
      <c r="A27" s="946"/>
      <c r="B27" s="974" t="s">
        <v>1536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9"/>
      <c r="Q27" s="681" t="str">
        <f t="shared" ref="Q27:Q47" si="11">B27</f>
        <v>楼层</v>
      </c>
      <c r="R27" s="1121" t="s">
        <v>1452</v>
      </c>
      <c r="S27" s="1122">
        <f>F27</f>
        <v>100</v>
      </c>
      <c r="T27" s="1121" t="s">
        <v>1452</v>
      </c>
      <c r="U27" s="1122">
        <f>H27</f>
        <v>100</v>
      </c>
      <c r="V27" s="1121" t="s">
        <v>1452</v>
      </c>
      <c r="W27" s="1122">
        <f>J27</f>
        <v>100</v>
      </c>
      <c r="X27" s="1115"/>
      <c r="Y27" s="3474"/>
      <c r="Z27" s="1105" t="str">
        <f>Q27</f>
        <v>楼层</v>
      </c>
      <c r="AA27" s="1132">
        <f t="shared" si="3"/>
        <v>1</v>
      </c>
      <c r="AB27" s="1132">
        <f t="shared" si="4"/>
        <v>1</v>
      </c>
      <c r="AC27" s="1475">
        <f t="shared" si="5"/>
        <v>1</v>
      </c>
    </row>
    <row r="28" spans="1:29" s="905" customFormat="1" ht="15">
      <c r="A28" s="949"/>
      <c r="B28" s="970" t="s">
        <v>1470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9"/>
      <c r="Q28" s="1120" t="str">
        <f t="shared" si="11"/>
        <v>朝向</v>
      </c>
      <c r="R28" s="1116" t="s">
        <v>1452</v>
      </c>
      <c r="S28" s="1117">
        <f>F28</f>
        <v>100</v>
      </c>
      <c r="T28" s="1116" t="s">
        <v>1452</v>
      </c>
      <c r="U28" s="1117">
        <f>H28</f>
        <v>100</v>
      </c>
      <c r="V28" s="1116" t="s">
        <v>1452</v>
      </c>
      <c r="W28" s="1117">
        <f>J28</f>
        <v>100</v>
      </c>
      <c r="X28" s="1118"/>
      <c r="Y28" s="3474"/>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9"/>
      <c r="Q29" s="681">
        <f t="shared" si="11"/>
        <v>111</v>
      </c>
      <c r="R29" s="1121" t="s">
        <v>1452</v>
      </c>
      <c r="S29" s="1122">
        <f t="shared" ref="S29:S47" si="12">F29</f>
        <v>100</v>
      </c>
      <c r="T29" s="1121" t="s">
        <v>1452</v>
      </c>
      <c r="U29" s="1122">
        <f t="shared" ref="U29:U47" si="13">H29</f>
        <v>100</v>
      </c>
      <c r="V29" s="1121" t="s">
        <v>1452</v>
      </c>
      <c r="W29" s="1122">
        <f t="shared" ref="W29:W47" si="14">J29</f>
        <v>100</v>
      </c>
      <c r="X29" s="1115"/>
      <c r="Y29" s="3474"/>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9"/>
      <c r="Q30" s="681">
        <f t="shared" si="11"/>
        <v>111</v>
      </c>
      <c r="R30" s="1121" t="s">
        <v>1452</v>
      </c>
      <c r="S30" s="1122">
        <f t="shared" si="12"/>
        <v>100</v>
      </c>
      <c r="T30" s="1121" t="s">
        <v>1452</v>
      </c>
      <c r="U30" s="1122">
        <f t="shared" si="13"/>
        <v>100</v>
      </c>
      <c r="V30" s="1121" t="s">
        <v>1452</v>
      </c>
      <c r="W30" s="1122">
        <f t="shared" si="14"/>
        <v>100</v>
      </c>
      <c r="X30" s="1115"/>
      <c r="Y30" s="3474"/>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9"/>
      <c r="Q31" s="681">
        <f t="shared" si="11"/>
        <v>111</v>
      </c>
      <c r="R31" s="1121" t="s">
        <v>1452</v>
      </c>
      <c r="S31" s="1122">
        <f t="shared" si="12"/>
        <v>100</v>
      </c>
      <c r="T31" s="1121" t="s">
        <v>1452</v>
      </c>
      <c r="U31" s="1122">
        <f t="shared" si="13"/>
        <v>100</v>
      </c>
      <c r="V31" s="1121" t="s">
        <v>1452</v>
      </c>
      <c r="W31" s="1122">
        <f t="shared" si="14"/>
        <v>100</v>
      </c>
      <c r="X31" s="1115"/>
      <c r="Y31" s="3474"/>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9"/>
      <c r="Q32" s="681">
        <f t="shared" si="11"/>
        <v>111</v>
      </c>
      <c r="R32" s="1121" t="s">
        <v>1452</v>
      </c>
      <c r="S32" s="1122">
        <f t="shared" si="12"/>
        <v>100</v>
      </c>
      <c r="T32" s="1121" t="s">
        <v>1452</v>
      </c>
      <c r="U32" s="1122">
        <f t="shared" si="13"/>
        <v>100</v>
      </c>
      <c r="V32" s="1121" t="s">
        <v>1452</v>
      </c>
      <c r="W32" s="1122">
        <f t="shared" si="14"/>
        <v>100</v>
      </c>
      <c r="X32" s="1115"/>
      <c r="Y32" s="3474"/>
      <c r="Z32" s="1105">
        <f t="shared" si="15"/>
        <v>111</v>
      </c>
      <c r="AA32" s="1132">
        <f t="shared" si="3"/>
        <v>1</v>
      </c>
      <c r="AB32" s="1132">
        <f t="shared" si="4"/>
        <v>1</v>
      </c>
      <c r="AC32" s="1475">
        <f t="shared" si="5"/>
        <v>1</v>
      </c>
    </row>
    <row r="33" spans="1:29" ht="15">
      <c r="A33" s="960" t="s">
        <v>1471</v>
      </c>
      <c r="B33" s="939" t="s">
        <v>1472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0" t="s">
        <v>1473</v>
      </c>
      <c r="Q33" s="681" t="str">
        <f t="shared" si="11"/>
        <v>建筑类型</v>
      </c>
      <c r="R33" s="1121" t="s">
        <v>1452</v>
      </c>
      <c r="S33" s="1122">
        <f t="shared" si="12"/>
        <v>100</v>
      </c>
      <c r="T33" s="1121" t="s">
        <v>1452</v>
      </c>
      <c r="U33" s="1122">
        <f t="shared" si="13"/>
        <v>100</v>
      </c>
      <c r="V33" s="1121" t="s">
        <v>1452</v>
      </c>
      <c r="W33" s="1122">
        <f t="shared" si="14"/>
        <v>100</v>
      </c>
      <c r="X33" s="1115"/>
      <c r="Y33" s="3475" t="s">
        <v>1473</v>
      </c>
      <c r="Z33" s="1105" t="str">
        <f t="shared" si="15"/>
        <v>建筑类型</v>
      </c>
      <c r="AA33" s="1132">
        <f t="shared" si="3"/>
        <v>1</v>
      </c>
      <c r="AB33" s="1132">
        <f t="shared" si="4"/>
        <v>1</v>
      </c>
      <c r="AC33" s="1475">
        <f t="shared" si="5"/>
        <v>1</v>
      </c>
    </row>
    <row r="34" spans="1:29" s="907" customFormat="1" ht="15">
      <c r="A34" s="1002"/>
      <c r="B34" s="943" t="s">
        <v>1474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1"/>
      <c r="Q34" s="1348" t="str">
        <f t="shared" si="11"/>
        <v>项目建筑规模</v>
      </c>
      <c r="R34" s="1123" t="s">
        <v>1452</v>
      </c>
      <c r="S34" s="1124" t="e">
        <f t="shared" si="12"/>
        <v>#N/A</v>
      </c>
      <c r="T34" s="1123" t="s">
        <v>1452</v>
      </c>
      <c r="U34" s="1124" t="e">
        <f t="shared" si="13"/>
        <v>#N/A</v>
      </c>
      <c r="V34" s="1123" t="s">
        <v>1452</v>
      </c>
      <c r="W34" s="1124" t="e">
        <f t="shared" si="14"/>
        <v>#N/A</v>
      </c>
      <c r="X34" s="1125"/>
      <c r="Y34" s="3475"/>
      <c r="Z34" s="1133" t="str">
        <f t="shared" si="15"/>
        <v>项目建筑规模</v>
      </c>
      <c r="AA34" s="1132" t="e">
        <f t="shared" si="3"/>
        <v>#N/A</v>
      </c>
      <c r="AB34" s="1132" t="e">
        <f t="shared" si="4"/>
        <v>#N/A</v>
      </c>
      <c r="AC34" s="1475" t="e">
        <f t="shared" si="5"/>
        <v>#N/A</v>
      </c>
    </row>
    <row r="35" spans="1:29" ht="15">
      <c r="A35" s="997"/>
      <c r="B35" s="943" t="s">
        <v>1475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1"/>
      <c r="Q35" s="681" t="str">
        <f t="shared" si="11"/>
        <v>建筑结构</v>
      </c>
      <c r="R35" s="1121" t="s">
        <v>1452</v>
      </c>
      <c r="S35" s="1122">
        <f t="shared" si="12"/>
        <v>100</v>
      </c>
      <c r="T35" s="1121" t="s">
        <v>1452</v>
      </c>
      <c r="U35" s="1122">
        <f t="shared" si="13"/>
        <v>100</v>
      </c>
      <c r="V35" s="1121" t="s">
        <v>1452</v>
      </c>
      <c r="W35" s="1122">
        <f t="shared" si="14"/>
        <v>100</v>
      </c>
      <c r="X35" s="1115"/>
      <c r="Y35" s="3475"/>
      <c r="Z35" s="1105" t="str">
        <f t="shared" si="15"/>
        <v>建筑结构</v>
      </c>
      <c r="AA35" s="1132">
        <f t="shared" si="3"/>
        <v>1</v>
      </c>
      <c r="AB35" s="1132">
        <f t="shared" si="4"/>
        <v>1</v>
      </c>
      <c r="AC35" s="1475">
        <f t="shared" si="5"/>
        <v>1</v>
      </c>
    </row>
    <row r="36" spans="1:29" ht="15">
      <c r="A36" s="997"/>
      <c r="B36" s="943" t="s">
        <v>1477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1"/>
      <c r="Q36" s="681" t="str">
        <f t="shared" si="11"/>
        <v>公共部分装修</v>
      </c>
      <c r="R36" s="1121" t="s">
        <v>1452</v>
      </c>
      <c r="S36" s="1122">
        <f t="shared" si="12"/>
        <v>100</v>
      </c>
      <c r="T36" s="1121" t="s">
        <v>1452</v>
      </c>
      <c r="U36" s="1122">
        <f t="shared" si="13"/>
        <v>100</v>
      </c>
      <c r="V36" s="1121" t="s">
        <v>1452</v>
      </c>
      <c r="W36" s="1122">
        <f t="shared" si="14"/>
        <v>100</v>
      </c>
      <c r="X36" s="1115"/>
      <c r="Y36" s="3475"/>
      <c r="Z36" s="1105" t="str">
        <f t="shared" si="15"/>
        <v>公共部分装修</v>
      </c>
      <c r="AA36" s="1132">
        <f t="shared" si="3"/>
        <v>1</v>
      </c>
      <c r="AB36" s="1132">
        <f t="shared" si="4"/>
        <v>1</v>
      </c>
      <c r="AC36" s="1475">
        <f t="shared" si="5"/>
        <v>1</v>
      </c>
    </row>
    <row r="37" spans="1:29" ht="15">
      <c r="A37" s="997"/>
      <c r="B37" s="943" t="s">
        <v>564</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1"/>
      <c r="Q37" s="681" t="str">
        <f t="shared" si="11"/>
        <v>成新度</v>
      </c>
      <c r="R37" s="1121" t="s">
        <v>1452</v>
      </c>
      <c r="S37" s="1122" t="e">
        <f t="shared" si="12"/>
        <v>#N/A</v>
      </c>
      <c r="T37" s="1121" t="s">
        <v>1452</v>
      </c>
      <c r="U37" s="1122" t="e">
        <f t="shared" si="13"/>
        <v>#N/A</v>
      </c>
      <c r="V37" s="1121" t="s">
        <v>1452</v>
      </c>
      <c r="W37" s="1122" t="e">
        <f t="shared" si="14"/>
        <v>#N/A</v>
      </c>
      <c r="X37" s="1115"/>
      <c r="Y37" s="3475"/>
      <c r="Z37" s="1105" t="str">
        <f t="shared" si="15"/>
        <v>成新度</v>
      </c>
      <c r="AA37" s="1132" t="e">
        <f t="shared" si="3"/>
        <v>#N/A</v>
      </c>
      <c r="AB37" s="1132" t="e">
        <f t="shared" si="4"/>
        <v>#N/A</v>
      </c>
      <c r="AC37" s="1475" t="e">
        <f t="shared" si="5"/>
        <v>#N/A</v>
      </c>
    </row>
    <row r="38" spans="1:29" s="905" customFormat="1" ht="15">
      <c r="A38" s="999"/>
      <c r="B38" s="943" t="s">
        <v>1548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1"/>
      <c r="Q38" s="1120" t="str">
        <f t="shared" si="11"/>
        <v>写字楼等级</v>
      </c>
      <c r="R38" s="1116" t="s">
        <v>1452</v>
      </c>
      <c r="S38" s="1117">
        <f t="shared" si="12"/>
        <v>100</v>
      </c>
      <c r="T38" s="1116" t="s">
        <v>1452</v>
      </c>
      <c r="U38" s="1117">
        <f t="shared" si="13"/>
        <v>100</v>
      </c>
      <c r="V38" s="1116" t="s">
        <v>1452</v>
      </c>
      <c r="W38" s="1117">
        <f t="shared" si="14"/>
        <v>100</v>
      </c>
      <c r="X38" s="1118"/>
      <c r="Y38" s="3475"/>
      <c r="Z38" s="1131" t="str">
        <f t="shared" si="15"/>
        <v>写字楼等级</v>
      </c>
      <c r="AA38" s="1130">
        <f t="shared" si="3"/>
        <v>1</v>
      </c>
      <c r="AB38" s="1130">
        <f t="shared" si="4"/>
        <v>1</v>
      </c>
      <c r="AC38" s="1474">
        <f t="shared" si="5"/>
        <v>1</v>
      </c>
    </row>
    <row r="39" spans="1:29" ht="15">
      <c r="A39" s="997"/>
      <c r="B39" s="943" t="s">
        <v>1478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1" t="s">
        <v>1473</v>
      </c>
      <c r="Q39" s="681" t="str">
        <f t="shared" si="11"/>
        <v>物业管理</v>
      </c>
      <c r="R39" s="1121" t="s">
        <v>1452</v>
      </c>
      <c r="S39" s="1122">
        <f t="shared" si="12"/>
        <v>100</v>
      </c>
      <c r="T39" s="1121" t="s">
        <v>1452</v>
      </c>
      <c r="U39" s="1122">
        <f t="shared" si="13"/>
        <v>100</v>
      </c>
      <c r="V39" s="1121" t="s">
        <v>1452</v>
      </c>
      <c r="W39" s="1122">
        <f t="shared" si="14"/>
        <v>100</v>
      </c>
      <c r="X39" s="1115"/>
      <c r="Y39" s="3475" t="s">
        <v>1473</v>
      </c>
      <c r="Z39" s="1105" t="str">
        <f t="shared" si="15"/>
        <v>物业管理</v>
      </c>
      <c r="AA39" s="1132">
        <f t="shared" si="3"/>
        <v>1</v>
      </c>
      <c r="AB39" s="1132">
        <f t="shared" si="4"/>
        <v>1</v>
      </c>
      <c r="AC39" s="1475">
        <f t="shared" si="5"/>
        <v>1</v>
      </c>
    </row>
    <row r="40" spans="1:29" ht="15">
      <c r="A40" s="997"/>
      <c r="B40" s="943" t="s">
        <v>1479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1"/>
      <c r="Q40" s="681" t="str">
        <f t="shared" si="11"/>
        <v>市政基础设施</v>
      </c>
      <c r="R40" s="1121" t="s">
        <v>1452</v>
      </c>
      <c r="S40" s="1122">
        <f t="shared" si="12"/>
        <v>100</v>
      </c>
      <c r="T40" s="1121" t="s">
        <v>1452</v>
      </c>
      <c r="U40" s="1122">
        <f t="shared" si="13"/>
        <v>100</v>
      </c>
      <c r="V40" s="1121" t="s">
        <v>1452</v>
      </c>
      <c r="W40" s="1122">
        <f t="shared" si="14"/>
        <v>100</v>
      </c>
      <c r="X40" s="1115"/>
      <c r="Y40" s="3475"/>
      <c r="Z40" s="1105" t="str">
        <f t="shared" si="15"/>
        <v>市政基础设施</v>
      </c>
      <c r="AA40" s="1132">
        <f t="shared" si="3"/>
        <v>1</v>
      </c>
      <c r="AB40" s="1132">
        <f t="shared" si="4"/>
        <v>1</v>
      </c>
      <c r="AC40" s="1475">
        <f t="shared" si="5"/>
        <v>1</v>
      </c>
    </row>
    <row r="41" spans="1:29" ht="15">
      <c r="A41" s="997"/>
      <c r="B41" s="943" t="s">
        <v>1539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1"/>
      <c r="Q41" s="681" t="str">
        <f t="shared" si="11"/>
        <v>层高</v>
      </c>
      <c r="R41" s="1121" t="s">
        <v>1452</v>
      </c>
      <c r="S41" s="1122">
        <f t="shared" si="12"/>
        <v>100</v>
      </c>
      <c r="T41" s="1121" t="s">
        <v>1452</v>
      </c>
      <c r="U41" s="1122">
        <f t="shared" si="13"/>
        <v>100</v>
      </c>
      <c r="V41" s="1121" t="s">
        <v>1452</v>
      </c>
      <c r="W41" s="1122">
        <f t="shared" si="14"/>
        <v>100</v>
      </c>
      <c r="X41" s="1115"/>
      <c r="Y41" s="3475"/>
      <c r="Z41" s="1105" t="str">
        <f t="shared" si="15"/>
        <v>层高</v>
      </c>
      <c r="AA41" s="1132">
        <f t="shared" si="3"/>
        <v>1</v>
      </c>
      <c r="AB41" s="1132">
        <f t="shared" si="4"/>
        <v>1</v>
      </c>
      <c r="AC41" s="1475">
        <f t="shared" si="5"/>
        <v>1</v>
      </c>
    </row>
    <row r="42" spans="1:29" s="907" customFormat="1" ht="15">
      <c r="A42" s="1002"/>
      <c r="B42" s="1100" t="s">
        <v>1549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1"/>
      <c r="Q42" s="1348" t="str">
        <f t="shared" si="11"/>
        <v>单套建筑面积</v>
      </c>
      <c r="R42" s="1123" t="s">
        <v>1452</v>
      </c>
      <c r="S42" s="1124">
        <f t="shared" si="12"/>
        <v>100</v>
      </c>
      <c r="T42" s="1123" t="s">
        <v>1452</v>
      </c>
      <c r="U42" s="1124">
        <f t="shared" si="13"/>
        <v>100</v>
      </c>
      <c r="V42" s="1123" t="s">
        <v>1452</v>
      </c>
      <c r="W42" s="1124">
        <f t="shared" si="14"/>
        <v>100</v>
      </c>
      <c r="X42" s="1125"/>
      <c r="Y42" s="3475"/>
      <c r="Z42" s="1133" t="str">
        <f t="shared" si="15"/>
        <v>单套建筑面积</v>
      </c>
      <c r="AA42" s="1132">
        <f t="shared" si="3"/>
        <v>1</v>
      </c>
      <c r="AB42" s="1132">
        <f t="shared" si="4"/>
        <v>1</v>
      </c>
      <c r="AC42" s="1475">
        <f t="shared" si="5"/>
        <v>1</v>
      </c>
    </row>
    <row r="43" spans="1:29" ht="15">
      <c r="A43" s="997"/>
      <c r="B43" s="943" t="s">
        <v>1482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1"/>
      <c r="Q43" s="681" t="str">
        <f t="shared" si="11"/>
        <v>内部装修</v>
      </c>
      <c r="R43" s="1121" t="s">
        <v>1452</v>
      </c>
      <c r="S43" s="1122">
        <f t="shared" si="12"/>
        <v>100</v>
      </c>
      <c r="T43" s="1121" t="s">
        <v>1452</v>
      </c>
      <c r="U43" s="1122">
        <f t="shared" si="13"/>
        <v>100</v>
      </c>
      <c r="V43" s="1121" t="s">
        <v>1452</v>
      </c>
      <c r="W43" s="1122">
        <f t="shared" si="14"/>
        <v>100</v>
      </c>
      <c r="X43" s="1115"/>
      <c r="Y43" s="3475"/>
      <c r="Z43" s="1105" t="str">
        <f t="shared" si="15"/>
        <v>内部装修</v>
      </c>
      <c r="AA43" s="1132">
        <f t="shared" si="3"/>
        <v>1</v>
      </c>
      <c r="AB43" s="1132">
        <f t="shared" si="4"/>
        <v>1</v>
      </c>
      <c r="AC43" s="1475">
        <f t="shared" si="5"/>
        <v>1</v>
      </c>
    </row>
    <row r="44" spans="1:29" ht="15">
      <c r="A44" s="997"/>
      <c r="B44" s="943" t="s">
        <v>1483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1"/>
      <c r="Q44" s="681" t="str">
        <f t="shared" si="11"/>
        <v>内部装修维护情况</v>
      </c>
      <c r="R44" s="1121" t="s">
        <v>1452</v>
      </c>
      <c r="S44" s="1122">
        <f t="shared" si="12"/>
        <v>100</v>
      </c>
      <c r="T44" s="1121" t="s">
        <v>1452</v>
      </c>
      <c r="U44" s="1122">
        <f t="shared" si="13"/>
        <v>100</v>
      </c>
      <c r="V44" s="1121" t="s">
        <v>1452</v>
      </c>
      <c r="W44" s="1122">
        <f t="shared" si="14"/>
        <v>100</v>
      </c>
      <c r="X44" s="1115"/>
      <c r="Y44" s="3475"/>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1"/>
      <c r="Q45" s="1120">
        <f t="shared" si="11"/>
        <v>111</v>
      </c>
      <c r="R45" s="1116" t="s">
        <v>1452</v>
      </c>
      <c r="S45" s="1117">
        <f t="shared" si="12"/>
        <v>100</v>
      </c>
      <c r="T45" s="1116" t="s">
        <v>1452</v>
      </c>
      <c r="U45" s="1117">
        <f t="shared" si="13"/>
        <v>100</v>
      </c>
      <c r="V45" s="1116" t="s">
        <v>1452</v>
      </c>
      <c r="W45" s="1117">
        <f t="shared" si="14"/>
        <v>100</v>
      </c>
      <c r="X45" s="1118"/>
      <c r="Y45" s="3475"/>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1"/>
      <c r="Q46" s="681">
        <f t="shared" si="11"/>
        <v>111</v>
      </c>
      <c r="R46" s="1121" t="s">
        <v>1452</v>
      </c>
      <c r="S46" s="1122">
        <f t="shared" si="12"/>
        <v>100</v>
      </c>
      <c r="T46" s="1121" t="s">
        <v>1452</v>
      </c>
      <c r="U46" s="1122">
        <f t="shared" si="13"/>
        <v>100</v>
      </c>
      <c r="V46" s="1121" t="s">
        <v>1452</v>
      </c>
      <c r="W46" s="1122">
        <f t="shared" si="14"/>
        <v>100</v>
      </c>
      <c r="X46" s="1115"/>
      <c r="Y46" s="3475"/>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2"/>
      <c r="Q47" s="681">
        <f t="shared" si="11"/>
        <v>111</v>
      </c>
      <c r="R47" s="1121" t="s">
        <v>1452</v>
      </c>
      <c r="S47" s="1122">
        <f t="shared" si="12"/>
        <v>100</v>
      </c>
      <c r="T47" s="1121" t="s">
        <v>1452</v>
      </c>
      <c r="U47" s="1122">
        <f t="shared" si="13"/>
        <v>100</v>
      </c>
      <c r="V47" s="1121" t="s">
        <v>1452</v>
      </c>
      <c r="W47" s="1122">
        <f t="shared" si="14"/>
        <v>100</v>
      </c>
      <c r="X47" s="1115"/>
      <c r="Y47" s="3476"/>
      <c r="Z47" s="1105">
        <f t="shared" si="15"/>
        <v>111</v>
      </c>
      <c r="AA47" s="1132">
        <f t="shared" si="3"/>
        <v>1</v>
      </c>
      <c r="AB47" s="1132">
        <f t="shared" si="4"/>
        <v>1</v>
      </c>
      <c r="AC47" s="1475">
        <f t="shared" si="5"/>
        <v>1</v>
      </c>
    </row>
    <row r="48" spans="1:29" ht="15">
      <c r="A48" s="1004" t="s">
        <v>1484</v>
      </c>
      <c r="B48" s="1323"/>
      <c r="C48" s="1324" t="s">
        <v>124</v>
      </c>
      <c r="D48" s="1325"/>
      <c r="E48" s="1326"/>
      <c r="F48" s="1327"/>
      <c r="G48" s="1328"/>
      <c r="H48" s="1329"/>
      <c r="I48" s="1326"/>
      <c r="J48" s="1011"/>
      <c r="K48" s="1096"/>
      <c r="L48" s="1097"/>
      <c r="M48" s="1073"/>
      <c r="N48" s="1073"/>
      <c r="O48" s="1073"/>
      <c r="P48" s="3467" t="str">
        <f>A48</f>
        <v>成交单价（元/平方米）</v>
      </c>
      <c r="Q48" s="3462"/>
      <c r="R48" s="3463">
        <f>E48</f>
        <v>0</v>
      </c>
      <c r="S48" s="3463"/>
      <c r="T48" s="3463">
        <f>G48</f>
        <v>0</v>
      </c>
      <c r="U48" s="3463"/>
      <c r="V48" s="3463">
        <f>I48</f>
        <v>0</v>
      </c>
      <c r="W48" s="3463"/>
      <c r="X48" s="1255"/>
      <c r="Y48" s="1134"/>
      <c r="Z48" s="1255"/>
      <c r="AA48" s="1255"/>
      <c r="AB48" s="1255"/>
      <c r="AC48" s="965"/>
    </row>
    <row r="49" spans="1:29" ht="15">
      <c r="A49" s="1012" t="s">
        <v>1485</v>
      </c>
      <c r="B49" s="1330"/>
      <c r="C49" s="1331" t="e">
        <f>R50</f>
        <v>#DIV/0!</v>
      </c>
      <c r="D49" s="1015" t="s">
        <v>1486</v>
      </c>
      <c r="E49" s="1332" t="e">
        <f>R49</f>
        <v>#DIV/0!</v>
      </c>
      <c r="F49" s="1016"/>
      <c r="G49" s="1331" t="e">
        <f>T49</f>
        <v>#DIV/0!</v>
      </c>
      <c r="H49" s="1016"/>
      <c r="I49" s="1332" t="e">
        <f>V49</f>
        <v>#DIV/0!</v>
      </c>
      <c r="J49" s="1016"/>
      <c r="K49" s="1098">
        <f>F49+H49+J49</f>
        <v>0</v>
      </c>
      <c r="L49" s="1097"/>
      <c r="M49" s="1073"/>
      <c r="N49" s="1073"/>
      <c r="O49" s="1073"/>
      <c r="P49" s="3467"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255"/>
      <c r="Y49" s="1255"/>
      <c r="Z49" s="1255"/>
      <c r="AA49" s="1255"/>
      <c r="AB49" s="1255"/>
      <c r="AC49" s="965"/>
    </row>
    <row r="50" spans="1:29" ht="15">
      <c r="A50" s="1018" t="s">
        <v>1487</v>
      </c>
      <c r="B50" s="1019"/>
      <c r="C50" s="1333" t="e">
        <f>R50</f>
        <v>#DIV/0!</v>
      </c>
      <c r="D50" s="1333"/>
      <c r="E50" s="1333"/>
      <c r="F50" s="1333"/>
      <c r="G50" s="1333"/>
      <c r="H50" s="1333"/>
      <c r="I50" s="1333"/>
      <c r="J50" s="1020"/>
      <c r="K50" s="1099"/>
      <c r="L50" s="1097"/>
      <c r="M50" s="1073"/>
      <c r="N50" s="1073"/>
      <c r="O50" s="1073"/>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1488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1489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1490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1491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1450</v>
      </c>
      <c r="B59" s="1336"/>
      <c r="C59" s="1337" t="str">
        <f>YEAR(C7)&amp;"-"&amp;MONTH(C7)</f>
        <v>2022-11</v>
      </c>
      <c r="D59" s="1338">
        <f>EDATE(C59,-1)</f>
        <v>44835</v>
      </c>
      <c r="E59" s="1338">
        <f>EDATE(D59,-1)</f>
        <v>44805</v>
      </c>
      <c r="F59" s="1338">
        <f t="shared" ref="F59:O59" si="16">EDATE(E59,-1)</f>
        <v>44774</v>
      </c>
      <c r="G59" s="1338">
        <f t="shared" si="16"/>
        <v>44743</v>
      </c>
      <c r="H59" s="1338">
        <f t="shared" si="16"/>
        <v>44713</v>
      </c>
      <c r="I59" s="1338">
        <f t="shared" si="16"/>
        <v>44682</v>
      </c>
      <c r="J59" s="1338">
        <f t="shared" si="16"/>
        <v>44652</v>
      </c>
      <c r="K59" s="1338">
        <f t="shared" si="16"/>
        <v>44621</v>
      </c>
      <c r="L59" s="1338">
        <f t="shared" si="16"/>
        <v>44593</v>
      </c>
      <c r="M59" s="1338">
        <f t="shared" si="16"/>
        <v>44562</v>
      </c>
      <c r="N59" s="1338">
        <f t="shared" si="16"/>
        <v>44531</v>
      </c>
      <c r="O59" s="1338">
        <f t="shared" si="16"/>
        <v>44501</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1492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1453</v>
      </c>
      <c r="B62" s="1146"/>
      <c r="C62" s="1147" t="s">
        <v>1454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1493</v>
      </c>
      <c r="B64" s="1152" t="s">
        <v>1457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1460</v>
      </c>
      <c r="C66" s="1157" t="s">
        <v>1494</v>
      </c>
      <c r="D66" s="1157" t="s">
        <v>1495</v>
      </c>
      <c r="E66" s="1157" t="s">
        <v>1496</v>
      </c>
      <c r="F66" s="1157" t="s">
        <v>1497</v>
      </c>
      <c r="G66" s="1157" t="s">
        <v>1498</v>
      </c>
      <c r="H66" s="1157" t="s">
        <v>1499</v>
      </c>
      <c r="I66" s="1157" t="s">
        <v>1500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1542</v>
      </c>
      <c r="D67" s="1159" t="s">
        <v>1542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1461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1462</v>
      </c>
      <c r="B77" s="1152" t="s">
        <v>1545</v>
      </c>
      <c r="C77" s="1173" t="s">
        <v>1501</v>
      </c>
      <c r="D77" s="1173" t="s">
        <v>1502</v>
      </c>
      <c r="E77" s="1173" t="s">
        <v>1503</v>
      </c>
      <c r="F77" s="1173" t="s">
        <v>1504</v>
      </c>
      <c r="G77" s="1173" t="s">
        <v>1505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1465</v>
      </c>
      <c r="C79" s="1175" t="s">
        <v>1501</v>
      </c>
      <c r="D79" s="1175" t="s">
        <v>1502</v>
      </c>
      <c r="E79" s="1175" t="s">
        <v>1503</v>
      </c>
      <c r="F79" s="1175" t="s">
        <v>1504</v>
      </c>
      <c r="G79" s="1175" t="s">
        <v>1505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1466</v>
      </c>
      <c r="C81" s="1175" t="s">
        <v>1501</v>
      </c>
      <c r="D81" s="1175" t="s">
        <v>1502</v>
      </c>
      <c r="E81" s="1175" t="s">
        <v>1503</v>
      </c>
      <c r="F81" s="1175" t="s">
        <v>1504</v>
      </c>
      <c r="G81" s="1175" t="s">
        <v>1505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1467</v>
      </c>
      <c r="C83" s="1180" t="s">
        <v>1506</v>
      </c>
      <c r="D83" s="1180" t="s">
        <v>1507</v>
      </c>
      <c r="E83" s="1180" t="s">
        <v>1508</v>
      </c>
      <c r="F83" s="1180" t="s">
        <v>1509</v>
      </c>
      <c r="G83" s="1180" t="s">
        <v>1510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1546</v>
      </c>
      <c r="C85" s="1175" t="s">
        <v>1501</v>
      </c>
      <c r="D85" s="1175" t="s">
        <v>1502</v>
      </c>
      <c r="E85" s="1175" t="s">
        <v>1503</v>
      </c>
      <c r="F85" s="1175" t="s">
        <v>1504</v>
      </c>
      <c r="G85" s="1175" t="s">
        <v>1505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1471</v>
      </c>
      <c r="B101" s="1152" t="s">
        <v>1472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1474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1475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1477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564</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1478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1479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1550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1540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1482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1483</v>
      </c>
      <c r="C125" s="1175" t="s">
        <v>1501</v>
      </c>
      <c r="D125" s="1175" t="s">
        <v>1502</v>
      </c>
      <c r="E125" s="1175" t="s">
        <v>1503</v>
      </c>
      <c r="F125" s="1175" t="s">
        <v>1504</v>
      </c>
      <c r="G125" s="1175" t="s">
        <v>1505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2" t="s">
        <v>82</v>
      </c>
    </row>
    <row r="2" spans="1:1">
      <c r="A2" s="3193"/>
    </row>
    <row r="3" spans="1:1" ht="18">
      <c r="A3" s="3194" t="str">
        <f>项目基本情况!B5&amp;"："</f>
        <v>：</v>
      </c>
    </row>
    <row r="4" spans="1:1" ht="18">
      <c r="A4" s="3195" t="str">
        <f>"受贵公司委托，我公司对"&amp;项目基本情况!S1&amp;"进行了预评估。"</f>
        <v>受贵公司委托，我公司对北京市房地产抵押价值进行了预评估。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spans="1:1" ht="76.5">
      <c r="A11" s="3198" t="s">
        <v>87</v>
      </c>
    </row>
    <row r="12" spans="1:1" ht="18.75">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1" t="str">
        <f>TEXT(项目基本情况!D3,"yyyy年m月d日;;")&amp;IF(项目基本情况!D3=项目基本情况!B3,"（评估专业人员实地查勘之日）","")</f>
        <v>2022年11月24日</v>
      </c>
    </row>
    <row r="16" spans="1:1" ht="18.75">
      <c r="A16" s="3200" t="s">
        <v>90</v>
      </c>
    </row>
    <row r="17" spans="1:1" ht="75">
      <c r="A17" s="3195" t="s">
        <v>91</v>
      </c>
    </row>
    <row r="18" spans="1:1" ht="5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67" t="str">
        <f>"本次评估采用的主估价方法为"&amp;结果表!K4&amp;"和"&amp;结果表!L4&amp;"。"</f>
        <v>本次评估采用的主估价方法为成本法和收益法。</v>
      </c>
    </row>
    <row r="25" spans="1:1" ht="18">
      <c r="A25" s="3167"/>
    </row>
    <row r="26" spans="1:1" ht="18.75">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1431</v>
      </c>
      <c r="B1" s="1419" t="s">
        <v>1551</v>
      </c>
      <c r="C1" s="1286" t="s">
        <v>1433</v>
      </c>
      <c r="D1" s="1287"/>
      <c r="E1" s="1288"/>
      <c r="F1" s="1289"/>
      <c r="G1" s="1290" t="s">
        <v>1435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945</v>
      </c>
      <c r="B2" s="1292" t="e">
        <f ca="1">IF(C2="——",ROUND(C43*D3/10000,0),ROUND(C43*D3/10000,0)-D2)</f>
        <v>#DIV/0!</v>
      </c>
      <c r="C2" s="1293"/>
      <c r="D2" s="1250" t="e">
        <f ca="1">SUMIF(INDIRECT("'"&amp;F2&amp;"'"&amp;"!A:A"),"承租人权益价值",INDIRECT("'"&amp;F2&amp;"'"&amp;"!c:c"))</f>
        <v>#REF!</v>
      </c>
      <c r="E2" s="1294" t="s">
        <v>946</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947</v>
      </c>
      <c r="B3" s="922" t="e">
        <f ca="1">IF(C2="——",C43,ROUND(B2*10000/D3,0))</f>
        <v>#DIV/0!</v>
      </c>
      <c r="C3" s="1296" t="s">
        <v>1436</v>
      </c>
      <c r="D3" s="1297">
        <f>IF(D1="",'数据-汇总表'!E3,SUMIF('数据-汇总表'!$C19:$C33,D1,'数据-汇总表'!$E19:$E33))</f>
        <v>11398.58</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1437</v>
      </c>
      <c r="B4" s="925"/>
      <c r="C4" s="3447" t="s">
        <v>1438</v>
      </c>
      <c r="D4" s="3448"/>
      <c r="E4" s="3449" t="s">
        <v>1439</v>
      </c>
      <c r="F4" s="3450"/>
      <c r="G4" s="3447" t="s">
        <v>1440</v>
      </c>
      <c r="H4" s="3448"/>
      <c r="I4" s="3447" t="s">
        <v>1441</v>
      </c>
      <c r="J4" s="3448"/>
      <c r="K4" s="1071" t="s">
        <v>1442</v>
      </c>
      <c r="L4" s="1425"/>
      <c r="M4" s="1426"/>
      <c r="N4" s="1426"/>
      <c r="O4" s="1426"/>
      <c r="P4" s="3480" t="s">
        <v>1443</v>
      </c>
      <c r="Q4" s="3481"/>
      <c r="R4" s="3486" t="s">
        <v>1439</v>
      </c>
      <c r="S4" s="3487"/>
      <c r="T4" s="3486" t="s">
        <v>1440</v>
      </c>
      <c r="U4" s="3487"/>
      <c r="V4" s="3492" t="s">
        <v>1441</v>
      </c>
      <c r="W4" s="3492"/>
      <c r="X4" s="1115"/>
      <c r="Y4" s="3486" t="s">
        <v>1443</v>
      </c>
      <c r="Z4" s="3487"/>
      <c r="AA4" s="3477" t="s">
        <v>1439</v>
      </c>
      <c r="AB4" s="3478" t="s">
        <v>1440</v>
      </c>
      <c r="AC4" s="3477" t="s">
        <v>1441</v>
      </c>
    </row>
    <row r="5" spans="1:29" ht="15">
      <c r="A5" s="926"/>
      <c r="B5" s="927"/>
      <c r="C5" s="3451" t="s">
        <v>1444</v>
      </c>
      <c r="D5" s="3452"/>
      <c r="E5" s="3453" t="s">
        <v>1445</v>
      </c>
      <c r="F5" s="3454"/>
      <c r="G5" s="3451" t="s">
        <v>1446</v>
      </c>
      <c r="H5" s="3452"/>
      <c r="I5" s="3451" t="s">
        <v>1447</v>
      </c>
      <c r="J5" s="3452"/>
      <c r="K5" s="1071"/>
      <c r="L5" s="1425"/>
      <c r="M5" s="1426"/>
      <c r="N5" s="1426"/>
      <c r="O5" s="1426"/>
      <c r="P5" s="3482"/>
      <c r="Q5" s="3483"/>
      <c r="R5" s="3488"/>
      <c r="S5" s="3489"/>
      <c r="T5" s="3488"/>
      <c r="U5" s="3489"/>
      <c r="V5" s="3492"/>
      <c r="W5" s="3492"/>
      <c r="X5" s="1115"/>
      <c r="Y5" s="3488"/>
      <c r="Z5" s="3489"/>
      <c r="AA5" s="3478"/>
      <c r="AB5" s="3478"/>
      <c r="AC5" s="3478"/>
    </row>
    <row r="6" spans="1:29" ht="15">
      <c r="A6" s="928"/>
      <c r="B6" s="929"/>
      <c r="C6" s="3455" t="s">
        <v>1448</v>
      </c>
      <c r="D6" s="3456"/>
      <c r="E6" s="3457" t="s">
        <v>1448</v>
      </c>
      <c r="F6" s="3458"/>
      <c r="G6" s="3455" t="s">
        <v>1448</v>
      </c>
      <c r="H6" s="3456"/>
      <c r="I6" s="3455" t="s">
        <v>1448</v>
      </c>
      <c r="J6" s="3456"/>
      <c r="K6" s="1071" t="s">
        <v>1449</v>
      </c>
      <c r="L6" s="1425"/>
      <c r="M6" s="1426"/>
      <c r="N6" s="1426"/>
      <c r="O6" s="1426"/>
      <c r="P6" s="3484"/>
      <c r="Q6" s="3485"/>
      <c r="R6" s="3488"/>
      <c r="S6" s="3489"/>
      <c r="T6" s="3490"/>
      <c r="U6" s="3491"/>
      <c r="V6" s="3492"/>
      <c r="W6" s="3492"/>
      <c r="X6" s="1115"/>
      <c r="Y6" s="3490"/>
      <c r="Z6" s="3491"/>
      <c r="AA6" s="3479"/>
      <c r="AB6" s="3479"/>
      <c r="AC6" s="3479"/>
    </row>
    <row r="7" spans="1:29" s="905" customFormat="1" ht="15">
      <c r="A7" s="930" t="s">
        <v>1450</v>
      </c>
      <c r="B7" s="931"/>
      <c r="C7" s="932">
        <f>'数据-取费表'!B2</f>
        <v>44889</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9"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40" si="3">D8/F8</f>
        <v>#DIV/0!</v>
      </c>
      <c r="AB8" s="1130" t="e">
        <f t="shared" ref="AB8:AB40" si="4">D8/H8</f>
        <v>#DIV/0!</v>
      </c>
      <c r="AC8" s="1130" t="e">
        <f t="shared" ref="AC8:AC40" si="5">D8/J8</f>
        <v>#DIV/0!</v>
      </c>
    </row>
    <row r="9" spans="1:29" s="905" customFormat="1">
      <c r="A9" s="938" t="s">
        <v>1456</v>
      </c>
      <c r="B9" s="939" t="s">
        <v>1457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2"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130">
        <f t="shared" si="5"/>
        <v>1</v>
      </c>
    </row>
    <row r="10" spans="1:29" s="906" customFormat="1" ht="27">
      <c r="A10" s="942"/>
      <c r="B10" s="943" t="s">
        <v>1460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2"/>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130">
        <f t="shared" si="5"/>
        <v>1</v>
      </c>
    </row>
    <row r="11" spans="1:29" ht="15">
      <c r="A11" s="946"/>
      <c r="B11" s="943" t="s">
        <v>1461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2"/>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2"/>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2"/>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2"/>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130">
        <f t="shared" si="5"/>
        <v>1</v>
      </c>
    </row>
    <row r="15" spans="1:29" ht="57">
      <c r="A15" s="960" t="s">
        <v>1462</v>
      </c>
      <c r="B15" s="1253" t="s">
        <v>1552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3" t="s">
        <v>1464</v>
      </c>
      <c r="Q15" s="681" t="str">
        <f t="shared" si="6"/>
        <v>产业集聚程度</v>
      </c>
      <c r="R15" s="1121" t="s">
        <v>1452</v>
      </c>
      <c r="S15" s="1122">
        <f t="shared" si="0"/>
        <v>100</v>
      </c>
      <c r="T15" s="1121" t="s">
        <v>1452</v>
      </c>
      <c r="U15" s="1122">
        <f t="shared" si="1"/>
        <v>100</v>
      </c>
      <c r="V15" s="1121" t="s">
        <v>1452</v>
      </c>
      <c r="W15" s="1122">
        <f t="shared" si="2"/>
        <v>100</v>
      </c>
      <c r="X15" s="1115"/>
      <c r="Y15" s="3473" t="s">
        <v>1464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4"/>
      <c r="Q16" s="681"/>
      <c r="R16" s="1121"/>
      <c r="S16" s="1122"/>
      <c r="T16" s="1121"/>
      <c r="U16" s="1122"/>
      <c r="V16" s="1121"/>
      <c r="W16" s="1122"/>
      <c r="X16" s="1115"/>
      <c r="Y16" s="3474"/>
      <c r="Z16" s="1105"/>
      <c r="AA16" s="1132">
        <v>1</v>
      </c>
      <c r="AB16" s="1132">
        <v>1</v>
      </c>
      <c r="AC16" s="1132">
        <v>1</v>
      </c>
    </row>
    <row r="17" spans="1:29" ht="85.5">
      <c r="A17" s="946"/>
      <c r="B17" s="1256" t="s">
        <v>1465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4"/>
      <c r="Q17" s="681" t="str">
        <f>B17</f>
        <v>交通便捷度</v>
      </c>
      <c r="R17" s="1121" t="s">
        <v>1452</v>
      </c>
      <c r="S17" s="1122">
        <f>F17</f>
        <v>100</v>
      </c>
      <c r="T17" s="1121" t="s">
        <v>1452</v>
      </c>
      <c r="U17" s="1122">
        <f>H17</f>
        <v>100</v>
      </c>
      <c r="V17" s="1121" t="s">
        <v>1452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4"/>
      <c r="Q18" s="681"/>
      <c r="R18" s="1121"/>
      <c r="S18" s="1122"/>
      <c r="T18" s="1121"/>
      <c r="U18" s="1122"/>
      <c r="V18" s="1121"/>
      <c r="W18" s="1122"/>
      <c r="X18" s="1115"/>
      <c r="Y18" s="3474"/>
      <c r="Z18" s="1105"/>
      <c r="AA18" s="1132">
        <v>1</v>
      </c>
      <c r="AB18" s="1132">
        <v>1</v>
      </c>
      <c r="AC18" s="1132">
        <v>1</v>
      </c>
    </row>
    <row r="19" spans="1:29" ht="42.75">
      <c r="A19" s="946"/>
      <c r="B19" s="1256" t="s">
        <v>1466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4"/>
      <c r="Q19" s="681" t="str">
        <f>B19</f>
        <v>公共配套设施</v>
      </c>
      <c r="R19" s="1121" t="s">
        <v>1452</v>
      </c>
      <c r="S19" s="1122">
        <f>F19</f>
        <v>100</v>
      </c>
      <c r="T19" s="1121" t="s">
        <v>1452</v>
      </c>
      <c r="U19" s="1122">
        <f>H19</f>
        <v>100</v>
      </c>
      <c r="V19" s="1121" t="s">
        <v>1452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4"/>
      <c r="Q20" s="681"/>
      <c r="R20" s="1121"/>
      <c r="S20" s="1122"/>
      <c r="T20" s="1121"/>
      <c r="U20" s="1122"/>
      <c r="V20" s="1121"/>
      <c r="W20" s="1122"/>
      <c r="X20" s="1115"/>
      <c r="Y20" s="3474"/>
      <c r="Z20" s="1105"/>
      <c r="AA20" s="1132">
        <v>1</v>
      </c>
      <c r="AB20" s="1132">
        <v>1</v>
      </c>
      <c r="AC20" s="1132">
        <v>1</v>
      </c>
    </row>
    <row r="21" spans="1:29" ht="28.5">
      <c r="A21" s="946"/>
      <c r="B21" s="1260" t="s">
        <v>1467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4"/>
      <c r="Q21" s="681" t="str">
        <f>B21</f>
        <v>基础设施水平</v>
      </c>
      <c r="R21" s="1121" t="s">
        <v>1452</v>
      </c>
      <c r="S21" s="1122">
        <f>F21</f>
        <v>100</v>
      </c>
      <c r="T21" s="1121" t="s">
        <v>1452</v>
      </c>
      <c r="U21" s="1122">
        <f>H21</f>
        <v>100</v>
      </c>
      <c r="V21" s="1121" t="s">
        <v>1452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4"/>
      <c r="Q22" s="681"/>
      <c r="R22" s="1121"/>
      <c r="S22" s="1122"/>
      <c r="T22" s="1121"/>
      <c r="U22" s="1122"/>
      <c r="V22" s="1121"/>
      <c r="W22" s="1122"/>
      <c r="X22" s="1115"/>
      <c r="Y22" s="3474"/>
      <c r="Z22" s="1105"/>
      <c r="AA22" s="1132">
        <v>1</v>
      </c>
      <c r="AB22" s="1132">
        <v>1</v>
      </c>
      <c r="AC22" s="1132">
        <v>1</v>
      </c>
    </row>
    <row r="23" spans="1:29" ht="71.25">
      <c r="A23" s="946"/>
      <c r="B23" s="1256" t="s">
        <v>1546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4"/>
      <c r="Q23" s="681" t="str">
        <f>B23</f>
        <v>环境质量</v>
      </c>
      <c r="R23" s="1121" t="s">
        <v>1452</v>
      </c>
      <c r="S23" s="1122">
        <f>F23</f>
        <v>100</v>
      </c>
      <c r="T23" s="1121" t="s">
        <v>1452</v>
      </c>
      <c r="U23" s="1122">
        <f>H23</f>
        <v>100</v>
      </c>
      <c r="V23" s="1121" t="s">
        <v>1452</v>
      </c>
      <c r="W23" s="1122">
        <f>J23</f>
        <v>100</v>
      </c>
      <c r="X23" s="1115"/>
      <c r="Y23" s="3474"/>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4"/>
      <c r="Q24" s="681"/>
      <c r="R24" s="1121"/>
      <c r="S24" s="1122"/>
      <c r="T24" s="1121"/>
      <c r="U24" s="1122"/>
      <c r="V24" s="1121"/>
      <c r="W24" s="1122"/>
      <c r="X24" s="1115"/>
      <c r="Y24" s="3474"/>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4"/>
      <c r="Q25" s="681">
        <f>B25</f>
        <v>111</v>
      </c>
      <c r="R25" s="1121" t="s">
        <v>1452</v>
      </c>
      <c r="S25" s="1122">
        <f>F25</f>
        <v>100</v>
      </c>
      <c r="T25" s="1121" t="s">
        <v>1452</v>
      </c>
      <c r="U25" s="1122">
        <f>H25</f>
        <v>100</v>
      </c>
      <c r="V25" s="1121" t="s">
        <v>1452</v>
      </c>
      <c r="W25" s="1122">
        <f>J25</f>
        <v>100</v>
      </c>
      <c r="X25" s="1115"/>
      <c r="Y25" s="3474"/>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4"/>
      <c r="Q26" s="681">
        <f t="shared" ref="Q26:Q40" si="11">B26</f>
        <v>111</v>
      </c>
      <c r="R26" s="1121" t="s">
        <v>1452</v>
      </c>
      <c r="S26" s="1122">
        <f>F26</f>
        <v>100</v>
      </c>
      <c r="T26" s="1121" t="s">
        <v>1452</v>
      </c>
      <c r="U26" s="1122">
        <f>H26</f>
        <v>100</v>
      </c>
      <c r="V26" s="1121" t="s">
        <v>1452</v>
      </c>
      <c r="W26" s="1122">
        <f>J26</f>
        <v>100</v>
      </c>
      <c r="X26" s="1115"/>
      <c r="Y26" s="3474"/>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4"/>
      <c r="Q27" s="1120">
        <f t="shared" si="11"/>
        <v>111</v>
      </c>
      <c r="R27" s="1116" t="s">
        <v>1452</v>
      </c>
      <c r="S27" s="1117">
        <f>F27</f>
        <v>100</v>
      </c>
      <c r="T27" s="1116" t="s">
        <v>1452</v>
      </c>
      <c r="U27" s="1117">
        <f>H27</f>
        <v>100</v>
      </c>
      <c r="V27" s="1116" t="s">
        <v>1452</v>
      </c>
      <c r="W27" s="1117">
        <f>J27</f>
        <v>100</v>
      </c>
      <c r="X27" s="1118"/>
      <c r="Y27" s="3474"/>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4"/>
      <c r="Q28" s="681">
        <f t="shared" si="11"/>
        <v>111</v>
      </c>
      <c r="R28" s="1121" t="s">
        <v>1452</v>
      </c>
      <c r="S28" s="1122">
        <f t="shared" ref="S28:S40" si="12">F28</f>
        <v>100</v>
      </c>
      <c r="T28" s="1121" t="s">
        <v>1452</v>
      </c>
      <c r="U28" s="1122">
        <f t="shared" ref="U28:U40" si="13">H28</f>
        <v>100</v>
      </c>
      <c r="V28" s="1121" t="s">
        <v>1452</v>
      </c>
      <c r="W28" s="1122">
        <f t="shared" ref="W28:W40" si="14">J28</f>
        <v>100</v>
      </c>
      <c r="X28" s="1115"/>
      <c r="Y28" s="3474"/>
      <c r="Z28" s="1105">
        <f t="shared" ref="Z28:Z40" si="15">Q28</f>
        <v>111</v>
      </c>
      <c r="AA28" s="1132">
        <f t="shared" si="3"/>
        <v>1</v>
      </c>
      <c r="AB28" s="1132">
        <f t="shared" si="4"/>
        <v>1</v>
      </c>
      <c r="AC28" s="1132">
        <f t="shared" si="5"/>
        <v>1</v>
      </c>
    </row>
    <row r="29" spans="1:29" ht="28.5">
      <c r="A29" s="1313" t="s">
        <v>1471</v>
      </c>
      <c r="B29" s="939" t="s">
        <v>1472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8" t="s">
        <v>1473</v>
      </c>
      <c r="Q29" s="681" t="str">
        <f t="shared" si="11"/>
        <v>建筑类型</v>
      </c>
      <c r="R29" s="1121" t="s">
        <v>1452</v>
      </c>
      <c r="S29" s="1122">
        <f t="shared" si="12"/>
        <v>100</v>
      </c>
      <c r="T29" s="1121" t="s">
        <v>1452</v>
      </c>
      <c r="U29" s="1122">
        <f t="shared" si="13"/>
        <v>100</v>
      </c>
      <c r="V29" s="1121" t="s">
        <v>1452</v>
      </c>
      <c r="W29" s="1122">
        <f t="shared" si="14"/>
        <v>100</v>
      </c>
      <c r="X29" s="1115"/>
      <c r="Y29" s="3475" t="s">
        <v>1473</v>
      </c>
      <c r="Z29" s="1105" t="str">
        <f t="shared" si="15"/>
        <v>建筑类型</v>
      </c>
      <c r="AA29" s="1132">
        <f t="shared" si="3"/>
        <v>1</v>
      </c>
      <c r="AB29" s="1132">
        <f t="shared" si="4"/>
        <v>1</v>
      </c>
      <c r="AC29" s="1132">
        <f t="shared" si="5"/>
        <v>1</v>
      </c>
    </row>
    <row r="30" spans="1:29" s="907" customFormat="1" ht="15">
      <c r="A30" s="1002"/>
      <c r="B30" s="943" t="s">
        <v>1474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5"/>
      <c r="Q30" s="1348" t="str">
        <f t="shared" si="11"/>
        <v>项目建筑规模</v>
      </c>
      <c r="R30" s="1123" t="s">
        <v>1452</v>
      </c>
      <c r="S30" s="1124" t="e">
        <f t="shared" si="12"/>
        <v>#N/A</v>
      </c>
      <c r="T30" s="1123" t="s">
        <v>1452</v>
      </c>
      <c r="U30" s="1124" t="e">
        <f t="shared" si="13"/>
        <v>#N/A</v>
      </c>
      <c r="V30" s="1123" t="s">
        <v>1452</v>
      </c>
      <c r="W30" s="1124" t="e">
        <f t="shared" si="14"/>
        <v>#N/A</v>
      </c>
      <c r="X30" s="1125"/>
      <c r="Y30" s="3475"/>
      <c r="Z30" s="1133" t="str">
        <f t="shared" si="15"/>
        <v>项目建筑规模</v>
      </c>
      <c r="AA30" s="1132" t="e">
        <f t="shared" si="3"/>
        <v>#N/A</v>
      </c>
      <c r="AB30" s="1132" t="e">
        <f t="shared" si="4"/>
        <v>#N/A</v>
      </c>
      <c r="AC30" s="1132" t="e">
        <f t="shared" si="5"/>
        <v>#N/A</v>
      </c>
    </row>
    <row r="31" spans="1:29" ht="15">
      <c r="A31" s="997"/>
      <c r="B31" s="943" t="s">
        <v>1475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5"/>
      <c r="Q31" s="681" t="str">
        <f t="shared" si="11"/>
        <v>建筑结构</v>
      </c>
      <c r="R31" s="1121" t="s">
        <v>1452</v>
      </c>
      <c r="S31" s="1122">
        <f t="shared" si="12"/>
        <v>100</v>
      </c>
      <c r="T31" s="1121" t="s">
        <v>1452</v>
      </c>
      <c r="U31" s="1122">
        <f t="shared" si="13"/>
        <v>100</v>
      </c>
      <c r="V31" s="1121" t="s">
        <v>1452</v>
      </c>
      <c r="W31" s="1122">
        <f t="shared" si="14"/>
        <v>100</v>
      </c>
      <c r="X31" s="1115"/>
      <c r="Y31" s="3475"/>
      <c r="Z31" s="1105" t="str">
        <f t="shared" si="15"/>
        <v>建筑结构</v>
      </c>
      <c r="AA31" s="1132">
        <f t="shared" si="3"/>
        <v>1</v>
      </c>
      <c r="AB31" s="1132">
        <f t="shared" si="4"/>
        <v>1</v>
      </c>
      <c r="AC31" s="1132">
        <f t="shared" si="5"/>
        <v>1</v>
      </c>
    </row>
    <row r="32" spans="1:29" ht="15">
      <c r="A32" s="997"/>
      <c r="B32" s="943" t="s">
        <v>1477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5"/>
      <c r="Q32" s="681" t="str">
        <f t="shared" si="11"/>
        <v>公共部分装修</v>
      </c>
      <c r="R32" s="1121" t="s">
        <v>1452</v>
      </c>
      <c r="S32" s="1122">
        <f t="shared" si="12"/>
        <v>100</v>
      </c>
      <c r="T32" s="1121" t="s">
        <v>1452</v>
      </c>
      <c r="U32" s="1122">
        <f t="shared" si="13"/>
        <v>100</v>
      </c>
      <c r="V32" s="1121" t="s">
        <v>1452</v>
      </c>
      <c r="W32" s="1122">
        <f t="shared" si="14"/>
        <v>100</v>
      </c>
      <c r="X32" s="1115"/>
      <c r="Y32" s="3475"/>
      <c r="Z32" s="1105" t="str">
        <f t="shared" si="15"/>
        <v>公共部分装修</v>
      </c>
      <c r="AA32" s="1132">
        <f t="shared" si="3"/>
        <v>1</v>
      </c>
      <c r="AB32" s="1132">
        <f t="shared" si="4"/>
        <v>1</v>
      </c>
      <c r="AC32" s="1132">
        <f t="shared" si="5"/>
        <v>1</v>
      </c>
    </row>
    <row r="33" spans="1:29" ht="15">
      <c r="A33" s="997"/>
      <c r="B33" s="943" t="s">
        <v>564</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5"/>
      <c r="Q33" s="681" t="str">
        <f t="shared" si="11"/>
        <v>成新度</v>
      </c>
      <c r="R33" s="1121" t="s">
        <v>1452</v>
      </c>
      <c r="S33" s="1122" t="e">
        <f t="shared" si="12"/>
        <v>#N/A</v>
      </c>
      <c r="T33" s="1121" t="s">
        <v>1452</v>
      </c>
      <c r="U33" s="1122" t="e">
        <f t="shared" si="13"/>
        <v>#N/A</v>
      </c>
      <c r="V33" s="1121" t="s">
        <v>1452</v>
      </c>
      <c r="W33" s="1122" t="e">
        <f t="shared" si="14"/>
        <v>#N/A</v>
      </c>
      <c r="X33" s="1115"/>
      <c r="Y33" s="3475"/>
      <c r="Z33" s="1105" t="str">
        <f t="shared" si="15"/>
        <v>成新度</v>
      </c>
      <c r="AA33" s="1132" t="e">
        <f t="shared" si="3"/>
        <v>#N/A</v>
      </c>
      <c r="AB33" s="1132" t="e">
        <f t="shared" si="4"/>
        <v>#N/A</v>
      </c>
      <c r="AC33" s="1132" t="e">
        <f t="shared" si="5"/>
        <v>#N/A</v>
      </c>
    </row>
    <row r="34" spans="1:29" s="905" customFormat="1" ht="15">
      <c r="A34" s="999"/>
      <c r="B34" s="943" t="s">
        <v>1478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5"/>
      <c r="Q34" s="1120" t="str">
        <f t="shared" si="11"/>
        <v>物业管理</v>
      </c>
      <c r="R34" s="1116" t="s">
        <v>1452</v>
      </c>
      <c r="S34" s="1117">
        <f t="shared" si="12"/>
        <v>100</v>
      </c>
      <c r="T34" s="1116" t="s">
        <v>1452</v>
      </c>
      <c r="U34" s="1117">
        <f t="shared" si="13"/>
        <v>100</v>
      </c>
      <c r="V34" s="1116" t="s">
        <v>1452</v>
      </c>
      <c r="W34" s="1117">
        <f t="shared" si="14"/>
        <v>100</v>
      </c>
      <c r="X34" s="1118"/>
      <c r="Y34" s="3475"/>
      <c r="Z34" s="1131" t="str">
        <f t="shared" si="15"/>
        <v>物业管理</v>
      </c>
      <c r="AA34" s="1130">
        <f t="shared" si="3"/>
        <v>1</v>
      </c>
      <c r="AB34" s="1130">
        <f t="shared" si="4"/>
        <v>1</v>
      </c>
      <c r="AC34" s="1130">
        <f t="shared" si="5"/>
        <v>1</v>
      </c>
    </row>
    <row r="35" spans="1:29" ht="15">
      <c r="A35" s="997"/>
      <c r="B35" s="943" t="s">
        <v>1479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5" t="s">
        <v>1473</v>
      </c>
      <c r="Q35" s="681" t="str">
        <f t="shared" si="11"/>
        <v>市政基础设施</v>
      </c>
      <c r="R35" s="1121" t="s">
        <v>1452</v>
      </c>
      <c r="S35" s="1122">
        <f t="shared" si="12"/>
        <v>100</v>
      </c>
      <c r="T35" s="1121" t="s">
        <v>1452</v>
      </c>
      <c r="U35" s="1122">
        <f t="shared" si="13"/>
        <v>100</v>
      </c>
      <c r="V35" s="1121" t="s">
        <v>1452</v>
      </c>
      <c r="W35" s="1122">
        <f t="shared" si="14"/>
        <v>100</v>
      </c>
      <c r="X35" s="1115"/>
      <c r="Y35" s="3475" t="s">
        <v>1473</v>
      </c>
      <c r="Z35" s="1105" t="str">
        <f t="shared" si="15"/>
        <v>市政基础设施</v>
      </c>
      <c r="AA35" s="1132">
        <f t="shared" si="3"/>
        <v>1</v>
      </c>
      <c r="AB35" s="1132">
        <f t="shared" si="4"/>
        <v>1</v>
      </c>
      <c r="AC35" s="1132">
        <f t="shared" si="5"/>
        <v>1</v>
      </c>
    </row>
    <row r="36" spans="1:29" ht="15">
      <c r="A36" s="997"/>
      <c r="B36" s="943" t="s">
        <v>1482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5"/>
      <c r="Q36" s="681" t="str">
        <f t="shared" si="11"/>
        <v>内部装修</v>
      </c>
      <c r="R36" s="1121" t="s">
        <v>1452</v>
      </c>
      <c r="S36" s="1122">
        <f t="shared" si="12"/>
        <v>100</v>
      </c>
      <c r="T36" s="1121" t="s">
        <v>1452</v>
      </c>
      <c r="U36" s="1122">
        <f t="shared" si="13"/>
        <v>100</v>
      </c>
      <c r="V36" s="1121" t="s">
        <v>1452</v>
      </c>
      <c r="W36" s="1122">
        <f t="shared" si="14"/>
        <v>100</v>
      </c>
      <c r="X36" s="1115"/>
      <c r="Y36" s="3475"/>
      <c r="Z36" s="1105" t="str">
        <f t="shared" si="15"/>
        <v>内部装修</v>
      </c>
      <c r="AA36" s="1132">
        <f t="shared" si="3"/>
        <v>1</v>
      </c>
      <c r="AB36" s="1132">
        <f t="shared" si="4"/>
        <v>1</v>
      </c>
      <c r="AC36" s="1132">
        <f t="shared" si="5"/>
        <v>1</v>
      </c>
    </row>
    <row r="37" spans="1:29" ht="15">
      <c r="A37" s="997"/>
      <c r="B37" s="943" t="s">
        <v>1553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5"/>
      <c r="Q37" s="681" t="str">
        <f t="shared" si="11"/>
        <v>内部装修状况</v>
      </c>
      <c r="R37" s="1121" t="s">
        <v>1452</v>
      </c>
      <c r="S37" s="1122">
        <f t="shared" si="12"/>
        <v>100</v>
      </c>
      <c r="T37" s="1121" t="s">
        <v>1452</v>
      </c>
      <c r="U37" s="1122">
        <f t="shared" si="13"/>
        <v>100</v>
      </c>
      <c r="V37" s="1121" t="s">
        <v>1452</v>
      </c>
      <c r="W37" s="1122">
        <f t="shared" si="14"/>
        <v>100</v>
      </c>
      <c r="X37" s="1115"/>
      <c r="Y37" s="3475"/>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5"/>
      <c r="Q38" s="1348">
        <f t="shared" si="11"/>
        <v>111</v>
      </c>
      <c r="R38" s="1123" t="s">
        <v>1452</v>
      </c>
      <c r="S38" s="1124">
        <f t="shared" si="12"/>
        <v>100</v>
      </c>
      <c r="T38" s="1123" t="s">
        <v>1452</v>
      </c>
      <c r="U38" s="1124">
        <f t="shared" si="13"/>
        <v>100</v>
      </c>
      <c r="V38" s="1123" t="s">
        <v>1452</v>
      </c>
      <c r="W38" s="1124">
        <f t="shared" si="14"/>
        <v>100</v>
      </c>
      <c r="X38" s="1125"/>
      <c r="Y38" s="3475"/>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5"/>
      <c r="Q39" s="681">
        <f t="shared" si="11"/>
        <v>111</v>
      </c>
      <c r="R39" s="1121" t="s">
        <v>1452</v>
      </c>
      <c r="S39" s="1122">
        <f t="shared" si="12"/>
        <v>100</v>
      </c>
      <c r="T39" s="1121" t="s">
        <v>1452</v>
      </c>
      <c r="U39" s="1122">
        <f t="shared" si="13"/>
        <v>100</v>
      </c>
      <c r="V39" s="1121" t="s">
        <v>1452</v>
      </c>
      <c r="W39" s="1122">
        <f t="shared" si="14"/>
        <v>100</v>
      </c>
      <c r="X39" s="1115"/>
      <c r="Y39" s="3475"/>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6"/>
      <c r="Q40" s="681">
        <f t="shared" si="11"/>
        <v>111</v>
      </c>
      <c r="R40" s="1121" t="s">
        <v>1452</v>
      </c>
      <c r="S40" s="1122">
        <f t="shared" si="12"/>
        <v>100</v>
      </c>
      <c r="T40" s="1121" t="s">
        <v>1452</v>
      </c>
      <c r="U40" s="1122">
        <f t="shared" si="13"/>
        <v>100</v>
      </c>
      <c r="V40" s="1121" t="s">
        <v>1452</v>
      </c>
      <c r="W40" s="1122">
        <f t="shared" si="14"/>
        <v>100</v>
      </c>
      <c r="X40" s="1115"/>
      <c r="Y40" s="3476"/>
      <c r="Z40" s="1105">
        <f t="shared" si="15"/>
        <v>111</v>
      </c>
      <c r="AA40" s="1132">
        <f t="shared" si="3"/>
        <v>1</v>
      </c>
      <c r="AB40" s="1132">
        <f t="shared" si="4"/>
        <v>1</v>
      </c>
      <c r="AC40" s="1132">
        <f t="shared" si="5"/>
        <v>1</v>
      </c>
    </row>
    <row r="41" spans="1:29" ht="15">
      <c r="A41" s="1004" t="s">
        <v>1484</v>
      </c>
      <c r="B41" s="1323"/>
      <c r="C41" s="1324" t="s">
        <v>124</v>
      </c>
      <c r="D41" s="1325"/>
      <c r="E41" s="1326"/>
      <c r="F41" s="1327"/>
      <c r="G41" s="1328"/>
      <c r="H41" s="1329"/>
      <c r="I41" s="1326"/>
      <c r="J41" s="1329"/>
      <c r="K41" s="1096"/>
      <c r="L41" s="1438"/>
      <c r="M41" s="1056"/>
      <c r="N41" s="1426"/>
      <c r="O41" s="1056"/>
      <c r="P41" s="3462" t="str">
        <f>A41</f>
        <v>成交单价（元/平方米）</v>
      </c>
      <c r="Q41" s="3462"/>
      <c r="R41" s="3463">
        <f>E41</f>
        <v>0</v>
      </c>
      <c r="S41" s="3463"/>
      <c r="T41" s="3463">
        <f>G41</f>
        <v>0</v>
      </c>
      <c r="U41" s="3463"/>
      <c r="V41" s="3463">
        <f>I41</f>
        <v>0</v>
      </c>
      <c r="W41" s="3463"/>
      <c r="X41" s="1061"/>
      <c r="Y41" s="1134"/>
      <c r="Z41" s="1061"/>
      <c r="AA41" s="1061"/>
      <c r="AB41" s="1061"/>
      <c r="AC41" s="1061"/>
    </row>
    <row r="42" spans="1:29" ht="15">
      <c r="A42" s="1012" t="s">
        <v>1485</v>
      </c>
      <c r="B42" s="1330"/>
      <c r="C42" s="1331" t="e">
        <f>R43</f>
        <v>#DIV/0!</v>
      </c>
      <c r="D42" s="1015" t="s">
        <v>1486</v>
      </c>
      <c r="E42" s="1332" t="e">
        <f>R42</f>
        <v>#DIV/0!</v>
      </c>
      <c r="F42" s="1016"/>
      <c r="G42" s="1331" t="e">
        <f>T42</f>
        <v>#DIV/0!</v>
      </c>
      <c r="H42" s="1016"/>
      <c r="I42" s="1332" t="e">
        <f>V42</f>
        <v>#DIV/0!</v>
      </c>
      <c r="J42" s="1016"/>
      <c r="K42" s="1098">
        <f>F42+H42+J42</f>
        <v>0</v>
      </c>
      <c r="L42" s="1438"/>
      <c r="M42" s="1056"/>
      <c r="N42" s="1426"/>
      <c r="O42" s="1056"/>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061"/>
      <c r="Y42" s="1061"/>
      <c r="Z42" s="1061"/>
      <c r="AA42" s="1061"/>
      <c r="AB42" s="1061"/>
      <c r="AC42" s="1061"/>
    </row>
    <row r="43" spans="1:29" ht="15">
      <c r="A43" s="1018" t="s">
        <v>1487</v>
      </c>
      <c r="B43" s="1019"/>
      <c r="C43" s="1333" t="e">
        <f>R43</f>
        <v>#DIV/0!</v>
      </c>
      <c r="D43" s="1333"/>
      <c r="E43" s="1333"/>
      <c r="F43" s="1333"/>
      <c r="G43" s="1333"/>
      <c r="H43" s="1333"/>
      <c r="I43" s="1333"/>
      <c r="J43" s="1333"/>
      <c r="K43" s="1099"/>
      <c r="L43" s="1438"/>
      <c r="M43" s="1056"/>
      <c r="N43" s="1056"/>
      <c r="O43" s="1056"/>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1488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1489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1490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1491</v>
      </c>
      <c r="B51" s="1061"/>
      <c r="C51" s="1062"/>
      <c r="D51" s="1062"/>
      <c r="E51" s="1062"/>
      <c r="F51" s="1063"/>
      <c r="G51" s="1063"/>
      <c r="H51" s="1062"/>
      <c r="I51" s="1062"/>
      <c r="J51" s="1062"/>
      <c r="K51" s="1279"/>
      <c r="L51" s="1280"/>
      <c r="M51" s="1113"/>
      <c r="N51" s="1113"/>
      <c r="O51" s="1113"/>
      <c r="P51" s="1441"/>
      <c r="Q51" s="1443"/>
    </row>
    <row r="52" spans="1:17" s="910" customFormat="1" ht="15">
      <c r="A52" s="1335" t="s">
        <v>1450</v>
      </c>
      <c r="B52" s="1336"/>
      <c r="C52" s="1337" t="str">
        <f>YEAR(C7)&amp;"-"&amp;MONTH(C7)</f>
        <v>2022-11</v>
      </c>
      <c r="D52" s="1338">
        <f>EDATE(C52,-1)</f>
        <v>44835</v>
      </c>
      <c r="E52" s="1338">
        <f t="shared" ref="E52:O52" si="16">EDATE(D52,-1)</f>
        <v>44805</v>
      </c>
      <c r="F52" s="1338">
        <f t="shared" si="16"/>
        <v>44774</v>
      </c>
      <c r="G52" s="1338">
        <f t="shared" si="16"/>
        <v>44743</v>
      </c>
      <c r="H52" s="1338">
        <f t="shared" si="16"/>
        <v>44713</v>
      </c>
      <c r="I52" s="1338">
        <f t="shared" si="16"/>
        <v>44682</v>
      </c>
      <c r="J52" s="1338">
        <f t="shared" si="16"/>
        <v>44652</v>
      </c>
      <c r="K52" s="1338">
        <f t="shared" si="16"/>
        <v>44621</v>
      </c>
      <c r="L52" s="1338">
        <f t="shared" si="16"/>
        <v>44593</v>
      </c>
      <c r="M52" s="1338">
        <f t="shared" si="16"/>
        <v>44562</v>
      </c>
      <c r="N52" s="1338">
        <f t="shared" si="16"/>
        <v>44531</v>
      </c>
      <c r="O52" s="1338">
        <f t="shared" si="16"/>
        <v>44501</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1492</v>
      </c>
      <c r="B54" s="1142"/>
      <c r="C54" s="1143"/>
      <c r="D54" s="1144"/>
      <c r="E54" s="1144"/>
      <c r="F54" s="1144"/>
      <c r="G54" s="1144"/>
      <c r="H54" s="1144"/>
      <c r="I54" s="1144"/>
      <c r="J54" s="1144"/>
      <c r="K54" s="1144"/>
      <c r="L54" s="1144"/>
      <c r="M54" s="1192"/>
      <c r="N54" s="1444"/>
      <c r="O54" s="1445"/>
      <c r="P54" s="1443"/>
      <c r="Q54" s="1443"/>
    </row>
    <row r="55" spans="1:17" s="905" customFormat="1" ht="15">
      <c r="A55" s="1145" t="s">
        <v>1453</v>
      </c>
      <c r="B55" s="1146"/>
      <c r="C55" s="1147" t="s">
        <v>1454</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1493</v>
      </c>
      <c r="B57" s="1152" t="s">
        <v>1457</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1460</v>
      </c>
      <c r="C59" s="1157" t="s">
        <v>1494</v>
      </c>
      <c r="D59" s="1157" t="s">
        <v>1495</v>
      </c>
      <c r="E59" s="1157" t="s">
        <v>1496</v>
      </c>
      <c r="F59" s="1157" t="s">
        <v>1497</v>
      </c>
      <c r="G59" s="1157" t="s">
        <v>1498</v>
      </c>
      <c r="H59" s="1157" t="s">
        <v>1499</v>
      </c>
      <c r="I59" s="1157" t="s">
        <v>1500</v>
      </c>
      <c r="J59" s="1157"/>
      <c r="K59" s="1206"/>
      <c r="L59" s="1207"/>
      <c r="M59" s="1208"/>
      <c r="N59" s="1448"/>
      <c r="O59" s="1448"/>
      <c r="P59" s="1449"/>
      <c r="Q59" s="1443"/>
    </row>
    <row r="60" spans="1:17" ht="15">
      <c r="A60" s="1153"/>
      <c r="B60" s="1158"/>
      <c r="C60" s="1159" t="s">
        <v>1542</v>
      </c>
      <c r="D60" s="1159" t="s">
        <v>1542</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1461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1462</v>
      </c>
      <c r="B70" s="1152" t="s">
        <v>1552</v>
      </c>
      <c r="C70" s="1173" t="s">
        <v>1501</v>
      </c>
      <c r="D70" s="1173" t="s">
        <v>1502</v>
      </c>
      <c r="E70" s="1173" t="s">
        <v>1503</v>
      </c>
      <c r="F70" s="1173" t="s">
        <v>1504</v>
      </c>
      <c r="G70" s="1173" t="s">
        <v>1505</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1465</v>
      </c>
      <c r="C72" s="1175" t="s">
        <v>1501</v>
      </c>
      <c r="D72" s="1175" t="s">
        <v>1502</v>
      </c>
      <c r="E72" s="1175" t="s">
        <v>1503</v>
      </c>
      <c r="F72" s="1175" t="s">
        <v>1504</v>
      </c>
      <c r="G72" s="1175" t="s">
        <v>1505</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1466</v>
      </c>
      <c r="C74" s="1175" t="s">
        <v>1501</v>
      </c>
      <c r="D74" s="1175" t="s">
        <v>1502</v>
      </c>
      <c r="E74" s="1175" t="s">
        <v>1503</v>
      </c>
      <c r="F74" s="1175" t="s">
        <v>1504</v>
      </c>
      <c r="G74" s="1175" t="s">
        <v>1505</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1467</v>
      </c>
      <c r="C76" s="1180" t="s">
        <v>1506</v>
      </c>
      <c r="D76" s="1180" t="s">
        <v>1507</v>
      </c>
      <c r="E76" s="1180" t="s">
        <v>1508</v>
      </c>
      <c r="F76" s="1180" t="s">
        <v>1509</v>
      </c>
      <c r="G76" s="1180" t="s">
        <v>1510</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1546</v>
      </c>
      <c r="C78" s="1175" t="s">
        <v>1501</v>
      </c>
      <c r="D78" s="1175" t="s">
        <v>1502</v>
      </c>
      <c r="E78" s="1175" t="s">
        <v>1503</v>
      </c>
      <c r="F78" s="1175" t="s">
        <v>1504</v>
      </c>
      <c r="G78" s="1175" t="s">
        <v>1505</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1471</v>
      </c>
      <c r="B88" s="1152" t="s">
        <v>1472</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1474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1475</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1477</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564</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1478</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1479</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1482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1554</v>
      </c>
      <c r="C106" s="1175" t="s">
        <v>1501</v>
      </c>
      <c r="D106" s="1175" t="s">
        <v>1502</v>
      </c>
      <c r="E106" s="1175" t="s">
        <v>1503</v>
      </c>
      <c r="F106" s="1175" t="s">
        <v>1504</v>
      </c>
      <c r="G106" s="1175" t="s">
        <v>1505</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1555</v>
      </c>
      <c r="B1" s="1285"/>
      <c r="C1" s="1286" t="s">
        <v>1433</v>
      </c>
      <c r="D1" s="1287"/>
      <c r="E1" s="1363"/>
      <c r="F1" s="1289"/>
      <c r="G1" s="1364" t="s">
        <v>1435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945</v>
      </c>
      <c r="B2" s="1292" t="e">
        <f ca="1">IF(C2="——",IF(B37="元/平方米",ROUND(C39*D3/10000,0),ROUND(F3*C39/10000,0)),IF(B37="元/平方米",ROUND(C39*D3/10000,0),ROUND(F3*C39/10000,0))-D2)</f>
        <v>#DIV/0!</v>
      </c>
      <c r="C2" s="1293"/>
      <c r="D2" s="1250" t="e">
        <f ca="1">SUMIF(INDIRECT("'"&amp;F2&amp;"'"&amp;"!A:A"),"承租人权益价值",INDIRECT("'"&amp;F2&amp;"'"&amp;"!c:c"))</f>
        <v>#REF!</v>
      </c>
      <c r="E2" s="1294" t="s">
        <v>946</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947</v>
      </c>
      <c r="B3" s="922" t="e">
        <f ca="1">IF(AND(C2="——",B37="元/平方米"),C39,ROUND(B2*10000/D3,0))</f>
        <v>#DIV/0!</v>
      </c>
      <c r="C3" s="1296" t="s">
        <v>1436</v>
      </c>
      <c r="D3" s="1297">
        <f>SUMIF('数据-汇总表'!$C19:$C33,D1,'数据-汇总表'!$E19:$E33)</f>
        <v>0</v>
      </c>
      <c r="E3" s="1296" t="s">
        <v>1556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1437</v>
      </c>
      <c r="B4" s="925"/>
      <c r="C4" s="3447" t="s">
        <v>1438</v>
      </c>
      <c r="D4" s="3448"/>
      <c r="E4" s="3449" t="s">
        <v>1439</v>
      </c>
      <c r="F4" s="3450"/>
      <c r="G4" s="3447" t="s">
        <v>1440</v>
      </c>
      <c r="H4" s="3448"/>
      <c r="I4" s="3447" t="s">
        <v>1441</v>
      </c>
      <c r="J4" s="3448"/>
      <c r="K4" s="1071"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78" t="s">
        <v>1440</v>
      </c>
      <c r="AC4" s="3477" t="s">
        <v>1441</v>
      </c>
    </row>
    <row r="5" spans="1:29" ht="15">
      <c r="A5" s="926"/>
      <c r="B5" s="927"/>
      <c r="C5" s="3451" t="s">
        <v>1444</v>
      </c>
      <c r="D5" s="3452"/>
      <c r="E5" s="3453" t="s">
        <v>1445</v>
      </c>
      <c r="F5" s="3454"/>
      <c r="G5" s="3451" t="s">
        <v>1446</v>
      </c>
      <c r="H5" s="3452"/>
      <c r="I5" s="3451" t="s">
        <v>1447</v>
      </c>
      <c r="J5" s="3452"/>
      <c r="K5" s="1071"/>
      <c r="L5" s="1072"/>
      <c r="M5" s="1073"/>
      <c r="N5" s="1073"/>
      <c r="O5" s="1073"/>
      <c r="P5" s="3482"/>
      <c r="Q5" s="3483"/>
      <c r="R5" s="3488"/>
      <c r="S5" s="3489"/>
      <c r="T5" s="3488"/>
      <c r="U5" s="3489"/>
      <c r="V5" s="3492"/>
      <c r="W5" s="3492"/>
      <c r="X5" s="1115"/>
      <c r="Y5" s="3488"/>
      <c r="Z5" s="3489"/>
      <c r="AA5" s="3478"/>
      <c r="AB5" s="3478"/>
      <c r="AC5" s="3478"/>
    </row>
    <row r="6" spans="1:29" ht="15">
      <c r="A6" s="928"/>
      <c r="B6" s="929"/>
      <c r="C6" s="3455" t="s">
        <v>1448</v>
      </c>
      <c r="D6" s="3456"/>
      <c r="E6" s="3457" t="s">
        <v>1448</v>
      </c>
      <c r="F6" s="3458"/>
      <c r="G6" s="3455" t="s">
        <v>1448</v>
      </c>
      <c r="H6" s="3456"/>
      <c r="I6" s="3455" t="s">
        <v>1448</v>
      </c>
      <c r="J6" s="3456"/>
      <c r="K6" s="1071" t="s">
        <v>1449</v>
      </c>
      <c r="L6" s="1072"/>
      <c r="M6" s="1073"/>
      <c r="N6" s="1073"/>
      <c r="O6" s="1073"/>
      <c r="P6" s="3484"/>
      <c r="Q6" s="3485"/>
      <c r="R6" s="3488"/>
      <c r="S6" s="3489"/>
      <c r="T6" s="3490"/>
      <c r="U6" s="3491"/>
      <c r="V6" s="3492"/>
      <c r="W6" s="3492"/>
      <c r="X6" s="1115"/>
      <c r="Y6" s="3490"/>
      <c r="Z6" s="3491"/>
      <c r="AA6" s="3479"/>
      <c r="AB6" s="3479"/>
      <c r="AC6" s="3479"/>
    </row>
    <row r="7" spans="1:29" s="905" customFormat="1" ht="15">
      <c r="A7" s="930" t="s">
        <v>1450</v>
      </c>
      <c r="B7" s="931"/>
      <c r="C7" s="932">
        <f>'数据-取费表'!B2</f>
        <v>44889</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9" t="s">
        <v>1451</v>
      </c>
      <c r="Q7" s="3460"/>
      <c r="R7" s="1116" t="s">
        <v>1452</v>
      </c>
      <c r="S7" s="1117">
        <f t="shared" ref="S7:S14" si="0">F7</f>
        <v>0</v>
      </c>
      <c r="T7" s="1116" t="s">
        <v>1452</v>
      </c>
      <c r="U7" s="1117">
        <f t="shared" ref="U7:U14" si="1">H7</f>
        <v>0</v>
      </c>
      <c r="V7" s="1116" t="s">
        <v>1452</v>
      </c>
      <c r="W7" s="1117">
        <f t="shared" ref="W7:W14"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36" si="3">D8/F8</f>
        <v>#DIV/0!</v>
      </c>
      <c r="AB8" s="1130" t="e">
        <f t="shared" ref="AB8:AB36" si="4">D8/H8</f>
        <v>#DIV/0!</v>
      </c>
      <c r="AC8" s="1130" t="e">
        <f t="shared" ref="AC8:AC36" si="5">D8/J8</f>
        <v>#DIV/0!</v>
      </c>
    </row>
    <row r="9" spans="1:29" s="905" customFormat="1">
      <c r="A9" s="1365" t="s">
        <v>1456</v>
      </c>
      <c r="B9" s="1366" t="s">
        <v>1457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2" t="s">
        <v>1458</v>
      </c>
      <c r="Q9" s="1120" t="str">
        <f t="shared" ref="Q9:Q14" si="6">B9</f>
        <v>用途</v>
      </c>
      <c r="R9" s="1116" t="s">
        <v>1452</v>
      </c>
      <c r="S9" s="1117">
        <f t="shared" si="0"/>
        <v>100</v>
      </c>
      <c r="T9" s="1116" t="s">
        <v>1452</v>
      </c>
      <c r="U9" s="1117">
        <f t="shared" si="1"/>
        <v>100</v>
      </c>
      <c r="V9" s="1116" t="s">
        <v>1452</v>
      </c>
      <c r="W9" s="1117">
        <f t="shared" si="2"/>
        <v>100</v>
      </c>
      <c r="X9" s="1118"/>
      <c r="Y9" s="3395" t="s">
        <v>1459</v>
      </c>
      <c r="Z9" s="1131" t="str">
        <f t="shared" ref="Z9:Z14" si="7">Q9</f>
        <v>用途</v>
      </c>
      <c r="AA9" s="1130">
        <f t="shared" si="3"/>
        <v>1</v>
      </c>
      <c r="AB9" s="1130">
        <f t="shared" si="4"/>
        <v>1</v>
      </c>
      <c r="AC9" s="1130">
        <f t="shared" si="5"/>
        <v>1</v>
      </c>
    </row>
    <row r="10" spans="1:29" s="906" customFormat="1" ht="27">
      <c r="A10" s="1368"/>
      <c r="B10" s="1369" t="s">
        <v>1460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2"/>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2"/>
      <c r="Q11" s="1120">
        <f t="shared" si="6"/>
        <v>111</v>
      </c>
      <c r="R11" s="1116" t="s">
        <v>1452</v>
      </c>
      <c r="S11" s="1117">
        <f t="shared" si="0"/>
        <v>100</v>
      </c>
      <c r="T11" s="1116" t="s">
        <v>1452</v>
      </c>
      <c r="U11" s="1117">
        <f t="shared" si="1"/>
        <v>100</v>
      </c>
      <c r="V11" s="1116" t="s">
        <v>1452</v>
      </c>
      <c r="W11" s="1117">
        <f t="shared" si="2"/>
        <v>100</v>
      </c>
      <c r="X11" s="1118"/>
      <c r="Y11" s="3395"/>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2"/>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2"/>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85.5">
      <c r="A14" s="924" t="s">
        <v>1462</v>
      </c>
      <c r="B14" s="961" t="s">
        <v>1465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3" t="s">
        <v>1464</v>
      </c>
      <c r="Q14" s="681" t="str">
        <f t="shared" si="6"/>
        <v>交通便捷度</v>
      </c>
      <c r="R14" s="1121" t="s">
        <v>1452</v>
      </c>
      <c r="S14" s="1122">
        <f t="shared" si="0"/>
        <v>100</v>
      </c>
      <c r="T14" s="1121" t="s">
        <v>1452</v>
      </c>
      <c r="U14" s="1122">
        <f t="shared" si="1"/>
        <v>100</v>
      </c>
      <c r="V14" s="1121" t="s">
        <v>1452</v>
      </c>
      <c r="W14" s="1122">
        <f t="shared" si="2"/>
        <v>100</v>
      </c>
      <c r="X14" s="1115"/>
      <c r="Y14" s="3473" t="s">
        <v>1464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4"/>
      <c r="Q15" s="681"/>
      <c r="R15" s="1121"/>
      <c r="S15" s="1122"/>
      <c r="T15" s="1121"/>
      <c r="U15" s="1122"/>
      <c r="V15" s="1121"/>
      <c r="W15" s="1122"/>
      <c r="X15" s="1115"/>
      <c r="Y15" s="3474"/>
      <c r="Z15" s="1105"/>
      <c r="AA15" s="1132">
        <v>1</v>
      </c>
      <c r="AB15" s="1132">
        <v>1</v>
      </c>
      <c r="AC15" s="1132">
        <v>1</v>
      </c>
    </row>
    <row r="16" spans="1:29" ht="42.75">
      <c r="A16" s="926"/>
      <c r="B16" s="970" t="s">
        <v>1466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4"/>
      <c r="Q16" s="681" t="str">
        <f>B16</f>
        <v>公共配套设施</v>
      </c>
      <c r="R16" s="1121" t="s">
        <v>1452</v>
      </c>
      <c r="S16" s="1122">
        <f>F16</f>
        <v>100</v>
      </c>
      <c r="T16" s="1121" t="s">
        <v>1452</v>
      </c>
      <c r="U16" s="1122">
        <f>H16</f>
        <v>100</v>
      </c>
      <c r="V16" s="1121" t="s">
        <v>1452</v>
      </c>
      <c r="W16" s="1122">
        <f>J16</f>
        <v>100</v>
      </c>
      <c r="X16" s="1115"/>
      <c r="Y16" s="3474"/>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4"/>
      <c r="Q17" s="681"/>
      <c r="R17" s="1121"/>
      <c r="S17" s="1122"/>
      <c r="T17" s="1121"/>
      <c r="U17" s="1122"/>
      <c r="V17" s="1121"/>
      <c r="W17" s="1122"/>
      <c r="X17" s="1115"/>
      <c r="Y17" s="3474"/>
      <c r="Z17" s="1105"/>
      <c r="AA17" s="1132">
        <v>1</v>
      </c>
      <c r="AB17" s="1132">
        <v>1</v>
      </c>
      <c r="AC17" s="1132">
        <v>1</v>
      </c>
    </row>
    <row r="18" spans="1:29" ht="28.5">
      <c r="A18" s="926"/>
      <c r="B18" s="977" t="s">
        <v>1467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4"/>
      <c r="Q18" s="681" t="str">
        <f>B18</f>
        <v>基础设施水平</v>
      </c>
      <c r="R18" s="1121" t="s">
        <v>1452</v>
      </c>
      <c r="S18" s="1122">
        <f>F18</f>
        <v>100</v>
      </c>
      <c r="T18" s="1121" t="s">
        <v>1452</v>
      </c>
      <c r="U18" s="1122">
        <f>H18</f>
        <v>100</v>
      </c>
      <c r="V18" s="1121" t="s">
        <v>1452</v>
      </c>
      <c r="W18" s="1122">
        <f>J18</f>
        <v>100</v>
      </c>
      <c r="X18" s="1115"/>
      <c r="Y18" s="3474"/>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4"/>
      <c r="Q19" s="681"/>
      <c r="R19" s="1121"/>
      <c r="S19" s="1122"/>
      <c r="T19" s="1121"/>
      <c r="U19" s="1122"/>
      <c r="V19" s="1121"/>
      <c r="W19" s="1122"/>
      <c r="X19" s="1115"/>
      <c r="Y19" s="3474"/>
      <c r="Z19" s="1105"/>
      <c r="AA19" s="1132">
        <v>1</v>
      </c>
      <c r="AB19" s="1132">
        <v>1</v>
      </c>
      <c r="AC19" s="1132">
        <v>1</v>
      </c>
    </row>
    <row r="20" spans="1:29" ht="57">
      <c r="A20" s="926"/>
      <c r="B20" s="970" t="s">
        <v>1468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4"/>
      <c r="Q20" s="681" t="str">
        <f>B20</f>
        <v>自然及人文环境</v>
      </c>
      <c r="R20" s="1121" t="s">
        <v>1452</v>
      </c>
      <c r="S20" s="1122">
        <f>F20</f>
        <v>100</v>
      </c>
      <c r="T20" s="1121" t="s">
        <v>1452</v>
      </c>
      <c r="U20" s="1122">
        <f>H20</f>
        <v>100</v>
      </c>
      <c r="V20" s="1121" t="s">
        <v>1452</v>
      </c>
      <c r="W20" s="1122">
        <f>J20</f>
        <v>100</v>
      </c>
      <c r="X20" s="1115"/>
      <c r="Y20" s="3474"/>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4"/>
      <c r="Q21" s="681"/>
      <c r="R21" s="1121"/>
      <c r="S21" s="1122"/>
      <c r="T21" s="1121"/>
      <c r="U21" s="1122"/>
      <c r="V21" s="1121"/>
      <c r="W21" s="1122"/>
      <c r="X21" s="1115"/>
      <c r="Y21" s="3474"/>
      <c r="Z21" s="1105"/>
      <c r="AA21" s="1132">
        <v>1</v>
      </c>
      <c r="AB21" s="1132">
        <v>1</v>
      </c>
      <c r="AC21" s="1132">
        <v>1</v>
      </c>
    </row>
    <row r="22" spans="1:29" ht="15">
      <c r="A22" s="926"/>
      <c r="B22" s="970" t="s">
        <v>1536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4"/>
      <c r="Q22" s="681" t="str">
        <f>B22</f>
        <v>楼层</v>
      </c>
      <c r="R22" s="1121" t="s">
        <v>1452</v>
      </c>
      <c r="S22" s="1122">
        <f>F22</f>
        <v>100</v>
      </c>
      <c r="T22" s="1121" t="s">
        <v>1452</v>
      </c>
      <c r="U22" s="1122">
        <f>H22</f>
        <v>100</v>
      </c>
      <c r="V22" s="1121" t="s">
        <v>1452</v>
      </c>
      <c r="W22" s="1122">
        <f>J22</f>
        <v>100</v>
      </c>
      <c r="X22" s="1115"/>
      <c r="Y22" s="3474"/>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4"/>
      <c r="Q23" s="681">
        <f>B23</f>
        <v>111</v>
      </c>
      <c r="R23" s="1121" t="s">
        <v>1452</v>
      </c>
      <c r="S23" s="1122">
        <f>F23</f>
        <v>100</v>
      </c>
      <c r="T23" s="1121" t="s">
        <v>1452</v>
      </c>
      <c r="U23" s="1122">
        <f>H23</f>
        <v>100</v>
      </c>
      <c r="V23" s="1121" t="s">
        <v>1452</v>
      </c>
      <c r="W23" s="1122">
        <f>J23</f>
        <v>100</v>
      </c>
      <c r="X23" s="1115"/>
      <c r="Y23" s="3474"/>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4"/>
      <c r="Q24" s="681">
        <f t="shared" ref="Q24:Q36" si="11">B24</f>
        <v>111</v>
      </c>
      <c r="R24" s="1121" t="s">
        <v>1452</v>
      </c>
      <c r="S24" s="1122">
        <f>F24</f>
        <v>100</v>
      </c>
      <c r="T24" s="1121" t="s">
        <v>1452</v>
      </c>
      <c r="U24" s="1122">
        <f>H24</f>
        <v>100</v>
      </c>
      <c r="V24" s="1121" t="s">
        <v>1452</v>
      </c>
      <c r="W24" s="1122">
        <f>J24</f>
        <v>100</v>
      </c>
      <c r="X24" s="1115"/>
      <c r="Y24" s="3474"/>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4"/>
      <c r="Q25" s="1120">
        <f t="shared" si="11"/>
        <v>111</v>
      </c>
      <c r="R25" s="1116" t="s">
        <v>1452</v>
      </c>
      <c r="S25" s="1117">
        <f>F25</f>
        <v>100</v>
      </c>
      <c r="T25" s="1116" t="s">
        <v>1452</v>
      </c>
      <c r="U25" s="1117">
        <f>H25</f>
        <v>100</v>
      </c>
      <c r="V25" s="1116" t="s">
        <v>1452</v>
      </c>
      <c r="W25" s="1117">
        <f>J25</f>
        <v>100</v>
      </c>
      <c r="X25" s="1118"/>
      <c r="Y25" s="3474"/>
      <c r="Z25" s="1131">
        <f>Q25</f>
        <v>111</v>
      </c>
      <c r="AA25" s="1132">
        <f t="shared" si="3"/>
        <v>1</v>
      </c>
      <c r="AB25" s="1132">
        <f t="shared" si="4"/>
        <v>1</v>
      </c>
      <c r="AC25" s="1132">
        <f t="shared" si="5"/>
        <v>1</v>
      </c>
    </row>
    <row r="26" spans="1:29" ht="28.5">
      <c r="A26" s="1381" t="s">
        <v>1471</v>
      </c>
      <c r="B26" s="1382" t="s">
        <v>1557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8" t="s">
        <v>1473</v>
      </c>
      <c r="Q26" s="681" t="str">
        <f t="shared" si="11"/>
        <v>配套类型</v>
      </c>
      <c r="R26" s="1121" t="s">
        <v>1452</v>
      </c>
      <c r="S26" s="1122">
        <f t="shared" ref="S26:S36" si="12">F26</f>
        <v>100</v>
      </c>
      <c r="T26" s="1121" t="s">
        <v>1452</v>
      </c>
      <c r="U26" s="1122">
        <f t="shared" ref="U26:U36" si="13">H26</f>
        <v>100</v>
      </c>
      <c r="V26" s="1121" t="s">
        <v>1452</v>
      </c>
      <c r="W26" s="1122">
        <f t="shared" ref="W26:W36" si="14">J26</f>
        <v>100</v>
      </c>
      <c r="X26" s="1115"/>
      <c r="Y26" s="3475" t="s">
        <v>1473</v>
      </c>
      <c r="Z26" s="1105" t="str">
        <f t="shared" ref="Z26:Z36" si="15">Q26</f>
        <v>配套类型</v>
      </c>
      <c r="AA26" s="1132">
        <f t="shared" si="3"/>
        <v>1</v>
      </c>
      <c r="AB26" s="1132">
        <f t="shared" si="4"/>
        <v>1</v>
      </c>
      <c r="AC26" s="1132">
        <f t="shared" si="5"/>
        <v>1</v>
      </c>
    </row>
    <row r="27" spans="1:29" s="907" customFormat="1" ht="15">
      <c r="A27" s="1384"/>
      <c r="B27" s="983" t="s">
        <v>1558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5"/>
      <c r="Q27" s="1348" t="str">
        <f t="shared" si="11"/>
        <v>项目停车位配比</v>
      </c>
      <c r="R27" s="1123" t="s">
        <v>1452</v>
      </c>
      <c r="S27" s="1124">
        <f t="shared" si="12"/>
        <v>100</v>
      </c>
      <c r="T27" s="1123" t="s">
        <v>1452</v>
      </c>
      <c r="U27" s="1124">
        <f t="shared" si="13"/>
        <v>100</v>
      </c>
      <c r="V27" s="1123" t="s">
        <v>1452</v>
      </c>
      <c r="W27" s="1124">
        <f t="shared" si="14"/>
        <v>100</v>
      </c>
      <c r="X27" s="1125"/>
      <c r="Y27" s="3475"/>
      <c r="Z27" s="1133" t="str">
        <f t="shared" si="15"/>
        <v>项目停车位配比</v>
      </c>
      <c r="AA27" s="1132">
        <f t="shared" si="3"/>
        <v>1</v>
      </c>
      <c r="AB27" s="1132">
        <f t="shared" si="4"/>
        <v>1</v>
      </c>
      <c r="AC27" s="1132">
        <f t="shared" si="5"/>
        <v>1</v>
      </c>
    </row>
    <row r="28" spans="1:29" ht="15">
      <c r="A28" s="1386"/>
      <c r="B28" s="983" t="s">
        <v>1477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5"/>
      <c r="Q28" s="681" t="str">
        <f t="shared" si="11"/>
        <v>公共部分装修</v>
      </c>
      <c r="R28" s="1121" t="s">
        <v>1452</v>
      </c>
      <c r="S28" s="1122">
        <f t="shared" si="12"/>
        <v>100</v>
      </c>
      <c r="T28" s="1121" t="s">
        <v>1452</v>
      </c>
      <c r="U28" s="1122">
        <f t="shared" si="13"/>
        <v>100</v>
      </c>
      <c r="V28" s="1121" t="s">
        <v>1452</v>
      </c>
      <c r="W28" s="1122">
        <f t="shared" si="14"/>
        <v>100</v>
      </c>
      <c r="X28" s="1115"/>
      <c r="Y28" s="3475"/>
      <c r="Z28" s="1105" t="str">
        <f t="shared" si="15"/>
        <v>公共部分装修</v>
      </c>
      <c r="AA28" s="1132">
        <f t="shared" si="3"/>
        <v>1</v>
      </c>
      <c r="AB28" s="1132">
        <f t="shared" si="4"/>
        <v>1</v>
      </c>
      <c r="AC28" s="1132">
        <f t="shared" si="5"/>
        <v>1</v>
      </c>
    </row>
    <row r="29" spans="1:29" ht="15">
      <c r="A29" s="1386"/>
      <c r="B29" s="983" t="s">
        <v>1559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5"/>
      <c r="Q29" s="681" t="str">
        <f t="shared" si="11"/>
        <v>成新率</v>
      </c>
      <c r="R29" s="1121" t="s">
        <v>1452</v>
      </c>
      <c r="S29" s="1122" t="e">
        <f t="shared" si="12"/>
        <v>#N/A</v>
      </c>
      <c r="T29" s="1121" t="s">
        <v>1452</v>
      </c>
      <c r="U29" s="1122" t="e">
        <f t="shared" si="13"/>
        <v>#N/A</v>
      </c>
      <c r="V29" s="1121" t="s">
        <v>1452</v>
      </c>
      <c r="W29" s="1122" t="e">
        <f t="shared" si="14"/>
        <v>#N/A</v>
      </c>
      <c r="X29" s="1115"/>
      <c r="Y29" s="3475"/>
      <c r="Z29" s="1105" t="str">
        <f t="shared" si="15"/>
        <v>成新率</v>
      </c>
      <c r="AA29" s="1132" t="e">
        <f t="shared" si="3"/>
        <v>#N/A</v>
      </c>
      <c r="AB29" s="1132" t="e">
        <f t="shared" si="4"/>
        <v>#N/A</v>
      </c>
      <c r="AC29" s="1132" t="e">
        <f t="shared" si="5"/>
        <v>#N/A</v>
      </c>
    </row>
    <row r="30" spans="1:29" ht="15">
      <c r="A30" s="1386"/>
      <c r="B30" s="983" t="s">
        <v>1560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5"/>
      <c r="Q30" s="681" t="str">
        <f t="shared" si="11"/>
        <v>物业等级</v>
      </c>
      <c r="R30" s="1121" t="s">
        <v>1452</v>
      </c>
      <c r="S30" s="1122">
        <f t="shared" si="12"/>
        <v>100</v>
      </c>
      <c r="T30" s="1121" t="s">
        <v>1452</v>
      </c>
      <c r="U30" s="1122">
        <f t="shared" si="13"/>
        <v>100</v>
      </c>
      <c r="V30" s="1121" t="s">
        <v>1452</v>
      </c>
      <c r="W30" s="1122">
        <f t="shared" si="14"/>
        <v>100</v>
      </c>
      <c r="X30" s="1115"/>
      <c r="Y30" s="3475"/>
      <c r="Z30" s="1105" t="str">
        <f t="shared" si="15"/>
        <v>物业等级</v>
      </c>
      <c r="AA30" s="1132">
        <f t="shared" si="3"/>
        <v>1</v>
      </c>
      <c r="AB30" s="1132">
        <f t="shared" si="4"/>
        <v>1</v>
      </c>
      <c r="AC30" s="1132">
        <f t="shared" si="5"/>
        <v>1</v>
      </c>
    </row>
    <row r="31" spans="1:29" s="905" customFormat="1" ht="15">
      <c r="A31" s="1387"/>
      <c r="B31" s="983" t="s">
        <v>1561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5"/>
      <c r="Q31" s="1120" t="str">
        <f t="shared" si="11"/>
        <v>停车位面积</v>
      </c>
      <c r="R31" s="1116" t="s">
        <v>1452</v>
      </c>
      <c r="S31" s="1117" t="e">
        <f t="shared" si="12"/>
        <v>#N/A</v>
      </c>
      <c r="T31" s="1116" t="s">
        <v>1452</v>
      </c>
      <c r="U31" s="1117" t="e">
        <f t="shared" si="13"/>
        <v>#N/A</v>
      </c>
      <c r="V31" s="1116" t="s">
        <v>1452</v>
      </c>
      <c r="W31" s="1117" t="e">
        <f t="shared" si="14"/>
        <v>#N/A</v>
      </c>
      <c r="X31" s="1118"/>
      <c r="Y31" s="3475"/>
      <c r="Z31" s="1131" t="str">
        <f t="shared" si="15"/>
        <v>停车位面积</v>
      </c>
      <c r="AA31" s="1130" t="e">
        <f t="shared" si="3"/>
        <v>#N/A</v>
      </c>
      <c r="AB31" s="1130" t="e">
        <f t="shared" si="4"/>
        <v>#N/A</v>
      </c>
      <c r="AC31" s="1130" t="e">
        <f t="shared" si="5"/>
        <v>#N/A</v>
      </c>
    </row>
    <row r="32" spans="1:29" ht="15">
      <c r="A32" s="1386"/>
      <c r="B32" s="983" t="s">
        <v>1562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5" t="s">
        <v>1473</v>
      </c>
      <c r="Q32" s="681" t="str">
        <f t="shared" si="11"/>
        <v>车位类型</v>
      </c>
      <c r="R32" s="1121" t="s">
        <v>1452</v>
      </c>
      <c r="S32" s="1122">
        <f t="shared" si="12"/>
        <v>100</v>
      </c>
      <c r="T32" s="1121" t="s">
        <v>1452</v>
      </c>
      <c r="U32" s="1122">
        <f t="shared" si="13"/>
        <v>100</v>
      </c>
      <c r="V32" s="1121" t="s">
        <v>1452</v>
      </c>
      <c r="W32" s="1122">
        <f t="shared" si="14"/>
        <v>100</v>
      </c>
      <c r="X32" s="1115"/>
      <c r="Y32" s="3475" t="s">
        <v>1473</v>
      </c>
      <c r="Z32" s="1105" t="str">
        <f t="shared" si="15"/>
        <v>车位类型</v>
      </c>
      <c r="AA32" s="1132">
        <f t="shared" si="3"/>
        <v>1</v>
      </c>
      <c r="AB32" s="1132">
        <f t="shared" si="4"/>
        <v>1</v>
      </c>
      <c r="AC32" s="1132">
        <f t="shared" si="5"/>
        <v>1</v>
      </c>
    </row>
    <row r="33" spans="1:29" ht="15">
      <c r="A33" s="1386"/>
      <c r="B33" s="983" t="s">
        <v>1563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5"/>
      <c r="Q33" s="681" t="str">
        <f t="shared" si="11"/>
        <v>是否直接入户</v>
      </c>
      <c r="R33" s="1121" t="s">
        <v>1452</v>
      </c>
      <c r="S33" s="1122">
        <f t="shared" si="12"/>
        <v>100</v>
      </c>
      <c r="T33" s="1121" t="s">
        <v>1452</v>
      </c>
      <c r="U33" s="1122">
        <f t="shared" si="13"/>
        <v>100</v>
      </c>
      <c r="V33" s="1121" t="s">
        <v>1452</v>
      </c>
      <c r="W33" s="1122">
        <f t="shared" si="14"/>
        <v>100</v>
      </c>
      <c r="X33" s="1115"/>
      <c r="Y33" s="3475"/>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5"/>
      <c r="Q34" s="681">
        <f t="shared" si="11"/>
        <v>111</v>
      </c>
      <c r="R34" s="1121" t="s">
        <v>1452</v>
      </c>
      <c r="S34" s="1122">
        <f t="shared" si="12"/>
        <v>100</v>
      </c>
      <c r="T34" s="1121" t="s">
        <v>1452</v>
      </c>
      <c r="U34" s="1122">
        <f t="shared" si="13"/>
        <v>100</v>
      </c>
      <c r="V34" s="1121" t="s">
        <v>1452</v>
      </c>
      <c r="W34" s="1122">
        <f t="shared" si="14"/>
        <v>100</v>
      </c>
      <c r="X34" s="1115"/>
      <c r="Y34" s="3475"/>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5"/>
      <c r="Q35" s="1348">
        <f t="shared" si="11"/>
        <v>111</v>
      </c>
      <c r="R35" s="1123" t="s">
        <v>1452</v>
      </c>
      <c r="S35" s="1124">
        <f t="shared" si="12"/>
        <v>100</v>
      </c>
      <c r="T35" s="1123" t="s">
        <v>1452</v>
      </c>
      <c r="U35" s="1124">
        <f t="shared" si="13"/>
        <v>100</v>
      </c>
      <c r="V35" s="1123" t="s">
        <v>1452</v>
      </c>
      <c r="W35" s="1124">
        <f t="shared" si="14"/>
        <v>100</v>
      </c>
      <c r="X35" s="1125"/>
      <c r="Y35" s="3475"/>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5"/>
      <c r="Q36" s="681">
        <f t="shared" si="11"/>
        <v>111</v>
      </c>
      <c r="R36" s="1121" t="s">
        <v>1452</v>
      </c>
      <c r="S36" s="1122">
        <f t="shared" si="12"/>
        <v>100</v>
      </c>
      <c r="T36" s="1121" t="s">
        <v>1452</v>
      </c>
      <c r="U36" s="1122">
        <f t="shared" si="13"/>
        <v>100</v>
      </c>
      <c r="V36" s="1121" t="s">
        <v>1452</v>
      </c>
      <c r="W36" s="1122">
        <f t="shared" si="14"/>
        <v>100</v>
      </c>
      <c r="X36" s="1115"/>
      <c r="Y36" s="3475"/>
      <c r="Z36" s="1105">
        <f t="shared" si="15"/>
        <v>111</v>
      </c>
      <c r="AA36" s="1132">
        <f t="shared" si="3"/>
        <v>1</v>
      </c>
      <c r="AB36" s="1132">
        <f t="shared" si="4"/>
        <v>1</v>
      </c>
      <c r="AC36" s="1132">
        <f t="shared" si="5"/>
        <v>1</v>
      </c>
    </row>
    <row r="37" spans="1:29" ht="15">
      <c r="A37" s="1004" t="s">
        <v>1564</v>
      </c>
      <c r="B37" s="1389" t="s">
        <v>1565</v>
      </c>
      <c r="C37" s="1324" t="s">
        <v>124</v>
      </c>
      <c r="D37" s="1325"/>
      <c r="E37" s="1326"/>
      <c r="F37" s="1327"/>
      <c r="G37" s="1328"/>
      <c r="H37" s="1329"/>
      <c r="I37" s="1326"/>
      <c r="J37" s="1329"/>
      <c r="K37" s="1398"/>
      <c r="L37" s="1097"/>
      <c r="M37" s="1021"/>
      <c r="N37" s="1073"/>
      <c r="O37" s="1021"/>
      <c r="P37" s="3462" t="str">
        <f>A37</f>
        <v>成交单价</v>
      </c>
      <c r="Q37" s="3462"/>
      <c r="R37" s="3463">
        <f>E37</f>
        <v>0</v>
      </c>
      <c r="S37" s="3463"/>
      <c r="T37" s="3463">
        <f>G37</f>
        <v>0</v>
      </c>
      <c r="U37" s="3463"/>
      <c r="V37" s="3463">
        <f>I37</f>
        <v>0</v>
      </c>
      <c r="W37" s="3463"/>
      <c r="X37" s="1061"/>
      <c r="Y37" s="1134"/>
      <c r="Z37" s="1061"/>
      <c r="AA37" s="1061"/>
      <c r="AB37" s="1061"/>
      <c r="AC37" s="1061"/>
    </row>
    <row r="38" spans="1:29" ht="15">
      <c r="A38" s="1012" t="s">
        <v>1485</v>
      </c>
      <c r="B38" s="1330" t="str">
        <f>B37</f>
        <v>元/车位</v>
      </c>
      <c r="C38" s="1331" t="e">
        <f>R39</f>
        <v>#DIV/0!</v>
      </c>
      <c r="D38" s="1015" t="s">
        <v>1486</v>
      </c>
      <c r="E38" s="1332" t="e">
        <f>R38</f>
        <v>#DIV/0!</v>
      </c>
      <c r="F38" s="1016"/>
      <c r="G38" s="1331" t="e">
        <f>T38</f>
        <v>#DIV/0!</v>
      </c>
      <c r="H38" s="1016"/>
      <c r="I38" s="1332" t="e">
        <f>V38</f>
        <v>#DIV/0!</v>
      </c>
      <c r="J38" s="1016"/>
      <c r="K38" s="1098">
        <f>F38+H38+J38</f>
        <v>0</v>
      </c>
      <c r="L38" s="1097"/>
      <c r="M38" s="1021"/>
      <c r="N38" s="1021"/>
      <c r="O38" s="1021"/>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061"/>
      <c r="Y38" s="1061"/>
      <c r="Z38" s="1061"/>
      <c r="AA38" s="1061"/>
      <c r="AB38" s="1061"/>
      <c r="AC38" s="1061"/>
    </row>
    <row r="39" spans="1:29" ht="15">
      <c r="A39" s="1018" t="s">
        <v>1566</v>
      </c>
      <c r="B39" s="1019"/>
      <c r="C39" s="1333" t="e">
        <f>R39</f>
        <v>#DIV/0!</v>
      </c>
      <c r="D39" s="1333"/>
      <c r="E39" s="1333"/>
      <c r="F39" s="1333"/>
      <c r="G39" s="1333"/>
      <c r="H39" s="1333"/>
      <c r="I39" s="1333"/>
      <c r="J39" s="1333"/>
      <c r="K39" s="1399"/>
      <c r="L39" s="1097"/>
      <c r="M39" s="1021"/>
      <c r="N39" s="1021"/>
      <c r="O39" s="1021"/>
      <c r="P39" s="3464" t="str">
        <f>A39</f>
        <v>估价对象XX用房的比较价值（楼面单价，元/平方米）</v>
      </c>
      <c r="Q39" s="3465"/>
      <c r="R39" s="3509" t="e">
        <f>IF(F1="售价",ROUND(IF(D38="简单平均",AVERAGE(R38:W38),R38*F38+T38*H38+V38*J38),0),ROUND(IF(D38="简单平均",AVERAGE(R38:V38),R38*F38+T38*H38+V38*J38),1))</f>
        <v>#DIV/0!</v>
      </c>
      <c r="S39" s="3509"/>
      <c r="T39" s="3509"/>
      <c r="U39" s="3509"/>
      <c r="V39" s="3509"/>
      <c r="W39" s="3509"/>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1488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1489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1490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1491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1450</v>
      </c>
      <c r="B48" s="1336"/>
      <c r="C48" s="1337" t="str">
        <f>YEAR(C7)&amp;"-"&amp;MONTH(C7)</f>
        <v>2022-11</v>
      </c>
      <c r="D48" s="1338">
        <f>EDATE(C48,-1)</f>
        <v>44835</v>
      </c>
      <c r="E48" s="1338">
        <f t="shared" ref="E48:O48" si="16">EDATE(D48,-1)</f>
        <v>44805</v>
      </c>
      <c r="F48" s="1338">
        <f t="shared" si="16"/>
        <v>44774</v>
      </c>
      <c r="G48" s="1338">
        <f t="shared" si="16"/>
        <v>44743</v>
      </c>
      <c r="H48" s="1338">
        <f t="shared" si="16"/>
        <v>44713</v>
      </c>
      <c r="I48" s="1338">
        <f t="shared" si="16"/>
        <v>44682</v>
      </c>
      <c r="J48" s="1338">
        <f t="shared" si="16"/>
        <v>44652</v>
      </c>
      <c r="K48" s="1338">
        <f t="shared" si="16"/>
        <v>44621</v>
      </c>
      <c r="L48" s="1338">
        <f t="shared" si="16"/>
        <v>44593</v>
      </c>
      <c r="M48" s="1338">
        <f t="shared" si="16"/>
        <v>44562</v>
      </c>
      <c r="N48" s="1338">
        <f t="shared" si="16"/>
        <v>44531</v>
      </c>
      <c r="O48" s="1338">
        <f t="shared" si="16"/>
        <v>44501</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1492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1453</v>
      </c>
      <c r="B51" s="1146"/>
      <c r="C51" s="1147" t="s">
        <v>1454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1493</v>
      </c>
      <c r="B53" s="1152" t="s">
        <v>1457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1460</v>
      </c>
      <c r="C55" s="1157" t="s">
        <v>1494</v>
      </c>
      <c r="D55" s="1157" t="s">
        <v>1495</v>
      </c>
      <c r="E55" s="1157" t="s">
        <v>1496</v>
      </c>
      <c r="F55" s="1157" t="s">
        <v>1497</v>
      </c>
      <c r="G55" s="1157" t="s">
        <v>1498</v>
      </c>
      <c r="H55" s="1157" t="s">
        <v>1499</v>
      </c>
      <c r="I55" s="1157" t="s">
        <v>1500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1542</v>
      </c>
      <c r="D56" s="1159" t="s">
        <v>1542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1462</v>
      </c>
      <c r="B63" s="1152" t="s">
        <v>1465</v>
      </c>
      <c r="C63" s="1173" t="s">
        <v>1501</v>
      </c>
      <c r="D63" s="1173" t="s">
        <v>1502</v>
      </c>
      <c r="E63" s="1173" t="s">
        <v>1503</v>
      </c>
      <c r="F63" s="1173" t="s">
        <v>1504</v>
      </c>
      <c r="G63" s="1173" t="s">
        <v>1505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1466</v>
      </c>
      <c r="C65" s="1175" t="s">
        <v>1501</v>
      </c>
      <c r="D65" s="1175" t="s">
        <v>1502</v>
      </c>
      <c r="E65" s="1175" t="s">
        <v>1503</v>
      </c>
      <c r="F65" s="1175" t="s">
        <v>1504</v>
      </c>
      <c r="G65" s="1175" t="s">
        <v>1505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1467</v>
      </c>
      <c r="C67" s="1180" t="s">
        <v>1506</v>
      </c>
      <c r="D67" s="1180" t="s">
        <v>1507</v>
      </c>
      <c r="E67" s="1180" t="s">
        <v>1508</v>
      </c>
      <c r="F67" s="1180" t="s">
        <v>1509</v>
      </c>
      <c r="G67" s="1180" t="s">
        <v>1510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1468</v>
      </c>
      <c r="C69" s="1175" t="s">
        <v>1501</v>
      </c>
      <c r="D69" s="1175" t="s">
        <v>1502</v>
      </c>
      <c r="E69" s="1175" t="s">
        <v>1503</v>
      </c>
      <c r="F69" s="1175" t="s">
        <v>1504</v>
      </c>
      <c r="G69" s="1175" t="s">
        <v>1505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1471</v>
      </c>
      <c r="B79" s="1152" t="s">
        <v>1567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1558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1477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1560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1561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1562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1563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1555</v>
      </c>
      <c r="B1" s="1285"/>
      <c r="C1" s="1286" t="s">
        <v>1433</v>
      </c>
      <c r="D1" s="1287"/>
      <c r="E1" s="1288"/>
      <c r="F1" s="1289"/>
      <c r="G1" s="1290" t="s">
        <v>1435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945</v>
      </c>
      <c r="B2" s="1292" t="e">
        <f ca="1">IF(C2="——",ROUND(C37*D3/10000,0),ROUND(C37*D3/10000,0)-D2)</f>
        <v>#DIV/0!</v>
      </c>
      <c r="C2" s="1293"/>
      <c r="D2" s="1250" t="e">
        <f ca="1">SUMIF(INDIRECT("'"&amp;F2&amp;"'"&amp;"!A:A"),"承租人权益价值",INDIRECT("'"&amp;F2&amp;"'"&amp;"!c:c"))</f>
        <v>#REF!</v>
      </c>
      <c r="E2" s="1294" t="s">
        <v>946</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947</v>
      </c>
      <c r="B3" s="922" t="e">
        <f ca="1">IF(C2="——",C37,ROUND(B2*10000/D3,0))</f>
        <v>#DIV/0!</v>
      </c>
      <c r="C3" s="1296" t="s">
        <v>1436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1437</v>
      </c>
      <c r="B4" s="925"/>
      <c r="C4" s="3447" t="s">
        <v>1438</v>
      </c>
      <c r="D4" s="3448"/>
      <c r="E4" s="3449" t="s">
        <v>1439</v>
      </c>
      <c r="F4" s="3450"/>
      <c r="G4" s="3447" t="s">
        <v>1440</v>
      </c>
      <c r="H4" s="3448"/>
      <c r="I4" s="3447" t="s">
        <v>1441</v>
      </c>
      <c r="J4" s="3448"/>
      <c r="K4" s="1071"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78" t="s">
        <v>1440</v>
      </c>
      <c r="AC4" s="3477" t="s">
        <v>1441</v>
      </c>
    </row>
    <row r="5" spans="1:29" ht="15">
      <c r="A5" s="926"/>
      <c r="B5" s="927"/>
      <c r="C5" s="3451" t="s">
        <v>1444</v>
      </c>
      <c r="D5" s="3452"/>
      <c r="E5" s="3453" t="s">
        <v>1445</v>
      </c>
      <c r="F5" s="3454"/>
      <c r="G5" s="3451" t="s">
        <v>1446</v>
      </c>
      <c r="H5" s="3452"/>
      <c r="I5" s="3451" t="s">
        <v>1447</v>
      </c>
      <c r="J5" s="3452"/>
      <c r="K5" s="1071"/>
      <c r="L5" s="1072"/>
      <c r="M5" s="1073"/>
      <c r="N5" s="1073"/>
      <c r="O5" s="1073"/>
      <c r="P5" s="3482"/>
      <c r="Q5" s="3483"/>
      <c r="R5" s="3488"/>
      <c r="S5" s="3489"/>
      <c r="T5" s="3488"/>
      <c r="U5" s="3489"/>
      <c r="V5" s="3492"/>
      <c r="W5" s="3492"/>
      <c r="X5" s="1115"/>
      <c r="Y5" s="3488"/>
      <c r="Z5" s="3489"/>
      <c r="AA5" s="3478"/>
      <c r="AB5" s="3478"/>
      <c r="AC5" s="3478"/>
    </row>
    <row r="6" spans="1:29" ht="15">
      <c r="A6" s="928"/>
      <c r="B6" s="929"/>
      <c r="C6" s="3455" t="s">
        <v>1448</v>
      </c>
      <c r="D6" s="3456"/>
      <c r="E6" s="3457" t="s">
        <v>1448</v>
      </c>
      <c r="F6" s="3458"/>
      <c r="G6" s="3455" t="s">
        <v>1448</v>
      </c>
      <c r="H6" s="3456"/>
      <c r="I6" s="3455" t="s">
        <v>1448</v>
      </c>
      <c r="J6" s="3456"/>
      <c r="K6" s="1071" t="s">
        <v>1449</v>
      </c>
      <c r="L6" s="1072"/>
      <c r="M6" s="1073"/>
      <c r="N6" s="1073"/>
      <c r="O6" s="1073"/>
      <c r="P6" s="3484"/>
      <c r="Q6" s="3485"/>
      <c r="R6" s="3488"/>
      <c r="S6" s="3489"/>
      <c r="T6" s="3490"/>
      <c r="U6" s="3491"/>
      <c r="V6" s="3492"/>
      <c r="W6" s="3492"/>
      <c r="X6" s="1115"/>
      <c r="Y6" s="3490"/>
      <c r="Z6" s="3491"/>
      <c r="AA6" s="3479"/>
      <c r="AB6" s="3479"/>
      <c r="AC6" s="3479"/>
    </row>
    <row r="7" spans="1:29" s="905" customFormat="1" ht="15">
      <c r="A7" s="930" t="s">
        <v>1450</v>
      </c>
      <c r="B7" s="931"/>
      <c r="C7" s="932">
        <f>'数据-取费表'!B2</f>
        <v>44889</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9" t="s">
        <v>1451</v>
      </c>
      <c r="Q7" s="3460"/>
      <c r="R7" s="1116" t="s">
        <v>1452</v>
      </c>
      <c r="S7" s="1117">
        <f t="shared" ref="S7:S14" si="0">F7</f>
        <v>0</v>
      </c>
      <c r="T7" s="1116" t="s">
        <v>1452</v>
      </c>
      <c r="U7" s="1117">
        <f t="shared" ref="U7:U14" si="1">H7</f>
        <v>0</v>
      </c>
      <c r="V7" s="1116" t="s">
        <v>1452</v>
      </c>
      <c r="W7" s="1117">
        <f t="shared" ref="W7:W14"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34" si="3">D8/F8</f>
        <v>#DIV/0!</v>
      </c>
      <c r="AB8" s="1130" t="e">
        <f t="shared" ref="AB8:AB34" si="4">D8/H8</f>
        <v>#DIV/0!</v>
      </c>
      <c r="AC8" s="1130" t="e">
        <f t="shared" ref="AC8:AC34" si="5">D8/J8</f>
        <v>#DIV/0!</v>
      </c>
    </row>
    <row r="9" spans="1:29" s="905" customFormat="1">
      <c r="A9" s="938" t="s">
        <v>1456</v>
      </c>
      <c r="B9" s="939" t="s">
        <v>1457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2" t="s">
        <v>1458</v>
      </c>
      <c r="Q9" s="1120" t="str">
        <f t="shared" ref="Q9:Q14" si="6">B9</f>
        <v>用途</v>
      </c>
      <c r="R9" s="1116" t="s">
        <v>1452</v>
      </c>
      <c r="S9" s="1117">
        <f t="shared" si="0"/>
        <v>100</v>
      </c>
      <c r="T9" s="1116" t="s">
        <v>1452</v>
      </c>
      <c r="U9" s="1117">
        <f t="shared" si="1"/>
        <v>100</v>
      </c>
      <c r="V9" s="1116" t="s">
        <v>1452</v>
      </c>
      <c r="W9" s="1117">
        <f t="shared" si="2"/>
        <v>100</v>
      </c>
      <c r="X9" s="1118"/>
      <c r="Y9" s="3395" t="s">
        <v>1459</v>
      </c>
      <c r="Z9" s="1131" t="str">
        <f t="shared" ref="Z9:Z14" si="7">Q9</f>
        <v>用途</v>
      </c>
      <c r="AA9" s="1130">
        <f t="shared" si="3"/>
        <v>1</v>
      </c>
      <c r="AB9" s="1130">
        <f t="shared" si="4"/>
        <v>1</v>
      </c>
      <c r="AC9" s="1130">
        <f t="shared" si="5"/>
        <v>1</v>
      </c>
    </row>
    <row r="10" spans="1:29" s="906" customFormat="1" ht="27">
      <c r="A10" s="942"/>
      <c r="B10" s="943" t="s">
        <v>1460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2"/>
      <c r="Q10" s="1120" t="str">
        <f t="shared" si="6"/>
        <v>土地使用年限（年）</v>
      </c>
      <c r="R10" s="1116" t="s">
        <v>1452</v>
      </c>
      <c r="S10" s="1117">
        <f t="shared" si="0"/>
        <v>100</v>
      </c>
      <c r="T10" s="1116" t="s">
        <v>1452</v>
      </c>
      <c r="U10" s="1117">
        <f t="shared" si="1"/>
        <v>100</v>
      </c>
      <c r="V10" s="1116" t="s">
        <v>1452</v>
      </c>
      <c r="W10" s="1117">
        <f t="shared" si="2"/>
        <v>100</v>
      </c>
      <c r="X10" s="1118"/>
      <c r="Y10" s="3395"/>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2"/>
      <c r="Q11" s="1120">
        <f t="shared" si="6"/>
        <v>111</v>
      </c>
      <c r="R11" s="1116" t="s">
        <v>1452</v>
      </c>
      <c r="S11" s="1117">
        <f t="shared" si="0"/>
        <v>100</v>
      </c>
      <c r="T11" s="1116" t="s">
        <v>1452</v>
      </c>
      <c r="U11" s="1117">
        <f t="shared" si="1"/>
        <v>100</v>
      </c>
      <c r="V11" s="1116" t="s">
        <v>1452</v>
      </c>
      <c r="W11" s="1117">
        <f t="shared" si="2"/>
        <v>100</v>
      </c>
      <c r="X11" s="1118"/>
      <c r="Y11" s="3395"/>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2"/>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2"/>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85.5">
      <c r="A14" s="960" t="s">
        <v>1462</v>
      </c>
      <c r="B14" s="1253" t="s">
        <v>1465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3" t="s">
        <v>1464</v>
      </c>
      <c r="Q14" s="681" t="str">
        <f t="shared" si="6"/>
        <v>交通便捷度</v>
      </c>
      <c r="R14" s="1121" t="s">
        <v>1452</v>
      </c>
      <c r="S14" s="1122">
        <f t="shared" si="0"/>
        <v>100</v>
      </c>
      <c r="T14" s="1121" t="s">
        <v>1452</v>
      </c>
      <c r="U14" s="1122">
        <f t="shared" si="1"/>
        <v>100</v>
      </c>
      <c r="V14" s="1121" t="s">
        <v>1452</v>
      </c>
      <c r="W14" s="1122">
        <f t="shared" si="2"/>
        <v>100</v>
      </c>
      <c r="X14" s="1115"/>
      <c r="Y14" s="3473" t="s">
        <v>1464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4"/>
      <c r="Q15" s="681"/>
      <c r="R15" s="1121"/>
      <c r="S15" s="1122"/>
      <c r="T15" s="1121"/>
      <c r="U15" s="1122"/>
      <c r="V15" s="1121"/>
      <c r="W15" s="1122"/>
      <c r="X15" s="1115"/>
      <c r="Y15" s="3474"/>
      <c r="Z15" s="1105"/>
      <c r="AA15" s="1132">
        <v>1</v>
      </c>
      <c r="AB15" s="1132">
        <v>1</v>
      </c>
      <c r="AC15" s="1132">
        <v>1</v>
      </c>
    </row>
    <row r="16" spans="1:29" ht="42.75">
      <c r="A16" s="946"/>
      <c r="B16" s="1256" t="s">
        <v>1466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4"/>
      <c r="Q16" s="681" t="str">
        <f>B16</f>
        <v>公共配套设施</v>
      </c>
      <c r="R16" s="1121" t="s">
        <v>1452</v>
      </c>
      <c r="S16" s="1122">
        <f>F16</f>
        <v>100</v>
      </c>
      <c r="T16" s="1121" t="s">
        <v>1452</v>
      </c>
      <c r="U16" s="1122">
        <f>H16</f>
        <v>100</v>
      </c>
      <c r="V16" s="1121" t="s">
        <v>1452</v>
      </c>
      <c r="W16" s="1122">
        <f>J16</f>
        <v>100</v>
      </c>
      <c r="X16" s="1115"/>
      <c r="Y16" s="3474"/>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4"/>
      <c r="Q17" s="681"/>
      <c r="R17" s="1121"/>
      <c r="S17" s="1122"/>
      <c r="T17" s="1121"/>
      <c r="U17" s="1122"/>
      <c r="V17" s="1121"/>
      <c r="W17" s="1122"/>
      <c r="X17" s="1115"/>
      <c r="Y17" s="3474"/>
      <c r="Z17" s="1105"/>
      <c r="AA17" s="1132">
        <v>1</v>
      </c>
      <c r="AB17" s="1132">
        <v>1</v>
      </c>
      <c r="AC17" s="1132">
        <v>1</v>
      </c>
    </row>
    <row r="18" spans="1:29" ht="28.5">
      <c r="A18" s="946"/>
      <c r="B18" s="1260" t="s">
        <v>1467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4"/>
      <c r="Q18" s="681" t="str">
        <f>B18</f>
        <v>基础设施水平</v>
      </c>
      <c r="R18" s="1121" t="s">
        <v>1452</v>
      </c>
      <c r="S18" s="1122">
        <f>F18</f>
        <v>100</v>
      </c>
      <c r="T18" s="1121" t="s">
        <v>1452</v>
      </c>
      <c r="U18" s="1122">
        <f>H18</f>
        <v>100</v>
      </c>
      <c r="V18" s="1121" t="s">
        <v>1452</v>
      </c>
      <c r="W18" s="1122">
        <f>J18</f>
        <v>100</v>
      </c>
      <c r="X18" s="1115"/>
      <c r="Y18" s="3474"/>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4"/>
      <c r="Q19" s="681"/>
      <c r="R19" s="1121"/>
      <c r="S19" s="1122"/>
      <c r="T19" s="1121"/>
      <c r="U19" s="1122"/>
      <c r="V19" s="1121"/>
      <c r="W19" s="1122"/>
      <c r="X19" s="1115"/>
      <c r="Y19" s="3474"/>
      <c r="Z19" s="1105"/>
      <c r="AA19" s="1132">
        <v>1</v>
      </c>
      <c r="AB19" s="1132">
        <v>1</v>
      </c>
      <c r="AC19" s="1132">
        <v>1</v>
      </c>
    </row>
    <row r="20" spans="1:29" ht="57">
      <c r="A20" s="946"/>
      <c r="B20" s="1256" t="s">
        <v>1468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4"/>
      <c r="Q20" s="681" t="str">
        <f>B20</f>
        <v>自然及人文环境</v>
      </c>
      <c r="R20" s="1121" t="s">
        <v>1452</v>
      </c>
      <c r="S20" s="1122">
        <f>F20</f>
        <v>100</v>
      </c>
      <c r="T20" s="1121" t="s">
        <v>1452</v>
      </c>
      <c r="U20" s="1122">
        <f>H20</f>
        <v>100</v>
      </c>
      <c r="V20" s="1121" t="s">
        <v>1452</v>
      </c>
      <c r="W20" s="1122">
        <f>J20</f>
        <v>100</v>
      </c>
      <c r="X20" s="1115"/>
      <c r="Y20" s="3474"/>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4"/>
      <c r="Q21" s="681"/>
      <c r="R21" s="1121"/>
      <c r="S21" s="1122"/>
      <c r="T21" s="1121"/>
      <c r="U21" s="1122"/>
      <c r="V21" s="1121"/>
      <c r="W21" s="1122"/>
      <c r="X21" s="1115"/>
      <c r="Y21" s="3474"/>
      <c r="Z21" s="1105"/>
      <c r="AA21" s="1132">
        <v>1</v>
      </c>
      <c r="AB21" s="1132">
        <v>1</v>
      </c>
      <c r="AC21" s="1132">
        <v>1</v>
      </c>
    </row>
    <row r="22" spans="1:29" ht="15">
      <c r="A22" s="946"/>
      <c r="B22" s="1256" t="s">
        <v>1536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4"/>
      <c r="Q22" s="681" t="str">
        <f>B22</f>
        <v>楼层</v>
      </c>
      <c r="R22" s="1121" t="s">
        <v>1452</v>
      </c>
      <c r="S22" s="1122">
        <f>F22</f>
        <v>100</v>
      </c>
      <c r="T22" s="1121" t="s">
        <v>1452</v>
      </c>
      <c r="U22" s="1122">
        <f>H22</f>
        <v>100</v>
      </c>
      <c r="V22" s="1121" t="s">
        <v>1452</v>
      </c>
      <c r="W22" s="1122">
        <f>J22</f>
        <v>100</v>
      </c>
      <c r="X22" s="1115"/>
      <c r="Y22" s="3474"/>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4"/>
      <c r="Q23" s="681">
        <f>B23</f>
        <v>111</v>
      </c>
      <c r="R23" s="1121" t="s">
        <v>1452</v>
      </c>
      <c r="S23" s="1122">
        <f>F23</f>
        <v>100</v>
      </c>
      <c r="T23" s="1121" t="s">
        <v>1452</v>
      </c>
      <c r="U23" s="1122">
        <f>H23</f>
        <v>100</v>
      </c>
      <c r="V23" s="1121" t="s">
        <v>1452</v>
      </c>
      <c r="W23" s="1122">
        <f>J23</f>
        <v>100</v>
      </c>
      <c r="X23" s="1115"/>
      <c r="Y23" s="3474"/>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4"/>
      <c r="Q24" s="681">
        <f t="shared" ref="Q24:Q34" si="11">B24</f>
        <v>111</v>
      </c>
      <c r="R24" s="1121" t="s">
        <v>1452</v>
      </c>
      <c r="S24" s="1122">
        <f>F24</f>
        <v>100</v>
      </c>
      <c r="T24" s="1121" t="s">
        <v>1452</v>
      </c>
      <c r="U24" s="1122">
        <f>H24</f>
        <v>100</v>
      </c>
      <c r="V24" s="1121" t="s">
        <v>1452</v>
      </c>
      <c r="W24" s="1122">
        <f>J24</f>
        <v>100</v>
      </c>
      <c r="X24" s="1115"/>
      <c r="Y24" s="3474"/>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4"/>
      <c r="Q25" s="1120">
        <f t="shared" si="11"/>
        <v>111</v>
      </c>
      <c r="R25" s="1116" t="s">
        <v>1452</v>
      </c>
      <c r="S25" s="1117">
        <f>F25</f>
        <v>100</v>
      </c>
      <c r="T25" s="1116" t="s">
        <v>1452</v>
      </c>
      <c r="U25" s="1117">
        <f>H25</f>
        <v>100</v>
      </c>
      <c r="V25" s="1116" t="s">
        <v>1452</v>
      </c>
      <c r="W25" s="1117">
        <f>J25</f>
        <v>100</v>
      </c>
      <c r="X25" s="1118"/>
      <c r="Y25" s="3474"/>
      <c r="Z25" s="1131">
        <f>Q25</f>
        <v>111</v>
      </c>
      <c r="AA25" s="1132">
        <f t="shared" si="3"/>
        <v>1</v>
      </c>
      <c r="AB25" s="1132">
        <f t="shared" si="4"/>
        <v>1</v>
      </c>
      <c r="AC25" s="1132">
        <f t="shared" si="5"/>
        <v>1</v>
      </c>
    </row>
    <row r="26" spans="1:29" ht="28.5">
      <c r="A26" s="1313" t="s">
        <v>1471</v>
      </c>
      <c r="B26" s="939" t="s">
        <v>1477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8" t="s">
        <v>1473</v>
      </c>
      <c r="Q26" s="681" t="str">
        <f t="shared" si="11"/>
        <v>公共部分装修</v>
      </c>
      <c r="R26" s="1121" t="s">
        <v>1452</v>
      </c>
      <c r="S26" s="1122">
        <f t="shared" ref="S26:S34" si="12">F26</f>
        <v>100</v>
      </c>
      <c r="T26" s="1121" t="s">
        <v>1452</v>
      </c>
      <c r="U26" s="1122">
        <f t="shared" ref="U26:U34" si="13">H26</f>
        <v>100</v>
      </c>
      <c r="V26" s="1121" t="s">
        <v>1452</v>
      </c>
      <c r="W26" s="1122">
        <f t="shared" ref="W26:W34" si="14">J26</f>
        <v>100</v>
      </c>
      <c r="X26" s="1115"/>
      <c r="Y26" s="3475" t="s">
        <v>1473</v>
      </c>
      <c r="Z26" s="1105" t="str">
        <f t="shared" ref="Z26:Z34" si="15">Q26</f>
        <v>公共部分装修</v>
      </c>
      <c r="AA26" s="1132">
        <f t="shared" si="3"/>
        <v>1</v>
      </c>
      <c r="AB26" s="1132">
        <f t="shared" si="4"/>
        <v>1</v>
      </c>
      <c r="AC26" s="1132">
        <f t="shared" si="5"/>
        <v>1</v>
      </c>
    </row>
    <row r="27" spans="1:29" s="907" customFormat="1" ht="15">
      <c r="A27" s="1002"/>
      <c r="B27" s="943" t="s">
        <v>1559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5"/>
      <c r="Q27" s="1348" t="str">
        <f t="shared" si="11"/>
        <v>成新率</v>
      </c>
      <c r="R27" s="1123" t="s">
        <v>1452</v>
      </c>
      <c r="S27" s="1124" t="e">
        <f t="shared" si="12"/>
        <v>#N/A</v>
      </c>
      <c r="T27" s="1123" t="s">
        <v>1452</v>
      </c>
      <c r="U27" s="1124" t="e">
        <f t="shared" si="13"/>
        <v>#N/A</v>
      </c>
      <c r="V27" s="1123" t="s">
        <v>1452</v>
      </c>
      <c r="W27" s="1124" t="e">
        <f t="shared" si="14"/>
        <v>#N/A</v>
      </c>
      <c r="X27" s="1125"/>
      <c r="Y27" s="3475"/>
      <c r="Z27" s="1133" t="str">
        <f t="shared" si="15"/>
        <v>成新率</v>
      </c>
      <c r="AA27" s="1132" t="e">
        <f t="shared" si="3"/>
        <v>#N/A</v>
      </c>
      <c r="AB27" s="1132" t="e">
        <f t="shared" si="4"/>
        <v>#N/A</v>
      </c>
      <c r="AC27" s="1132" t="e">
        <f t="shared" si="5"/>
        <v>#N/A</v>
      </c>
    </row>
    <row r="28" spans="1:29" ht="15">
      <c r="A28" s="997"/>
      <c r="B28" s="943" t="s">
        <v>1560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5"/>
      <c r="Q28" s="681" t="str">
        <f t="shared" si="11"/>
        <v>物业等级</v>
      </c>
      <c r="R28" s="1121" t="s">
        <v>1452</v>
      </c>
      <c r="S28" s="1122">
        <f t="shared" si="12"/>
        <v>100</v>
      </c>
      <c r="T28" s="1121" t="s">
        <v>1452</v>
      </c>
      <c r="U28" s="1122">
        <f t="shared" si="13"/>
        <v>100</v>
      </c>
      <c r="V28" s="1121" t="s">
        <v>1452</v>
      </c>
      <c r="W28" s="1122">
        <f t="shared" si="14"/>
        <v>100</v>
      </c>
      <c r="X28" s="1115"/>
      <c r="Y28" s="3475"/>
      <c r="Z28" s="1105" t="str">
        <f t="shared" si="15"/>
        <v>物业等级</v>
      </c>
      <c r="AA28" s="1132">
        <f t="shared" si="3"/>
        <v>1</v>
      </c>
      <c r="AB28" s="1132">
        <f t="shared" si="4"/>
        <v>1</v>
      </c>
      <c r="AC28" s="1132">
        <f t="shared" si="5"/>
        <v>1</v>
      </c>
    </row>
    <row r="29" spans="1:29" ht="15">
      <c r="A29" s="997"/>
      <c r="B29" s="943" t="s">
        <v>1568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5"/>
      <c r="Q29" s="681" t="str">
        <f t="shared" si="11"/>
        <v>有无电梯</v>
      </c>
      <c r="R29" s="1121" t="s">
        <v>1452</v>
      </c>
      <c r="S29" s="1122">
        <f t="shared" si="12"/>
        <v>100</v>
      </c>
      <c r="T29" s="1121" t="s">
        <v>1452</v>
      </c>
      <c r="U29" s="1122">
        <f t="shared" si="13"/>
        <v>100</v>
      </c>
      <c r="V29" s="1121" t="s">
        <v>1452</v>
      </c>
      <c r="W29" s="1122">
        <f t="shared" si="14"/>
        <v>100</v>
      </c>
      <c r="X29" s="1115"/>
      <c r="Y29" s="3475"/>
      <c r="Z29" s="1105" t="str">
        <f t="shared" si="15"/>
        <v>有无电梯</v>
      </c>
      <c r="AA29" s="1132">
        <f t="shared" si="3"/>
        <v>1</v>
      </c>
      <c r="AB29" s="1132">
        <f t="shared" si="4"/>
        <v>1</v>
      </c>
      <c r="AC29" s="1132">
        <f t="shared" si="5"/>
        <v>1</v>
      </c>
    </row>
    <row r="30" spans="1:29" ht="15">
      <c r="A30" s="997"/>
      <c r="B30" s="943" t="s">
        <v>524</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5"/>
      <c r="Q30" s="681" t="str">
        <f t="shared" si="11"/>
        <v>建筑面积</v>
      </c>
      <c r="R30" s="1121" t="s">
        <v>1452</v>
      </c>
      <c r="S30" s="1122" t="e">
        <f t="shared" si="12"/>
        <v>#N/A</v>
      </c>
      <c r="T30" s="1121" t="s">
        <v>1452</v>
      </c>
      <c r="U30" s="1122" t="e">
        <f t="shared" si="13"/>
        <v>#N/A</v>
      </c>
      <c r="V30" s="1121" t="s">
        <v>1452</v>
      </c>
      <c r="W30" s="1122" t="e">
        <f t="shared" si="14"/>
        <v>#N/A</v>
      </c>
      <c r="X30" s="1115"/>
      <c r="Y30" s="3475"/>
      <c r="Z30" s="1105" t="str">
        <f t="shared" si="15"/>
        <v>建筑面积</v>
      </c>
      <c r="AA30" s="1132" t="e">
        <f t="shared" si="3"/>
        <v>#N/A</v>
      </c>
      <c r="AB30" s="1132" t="e">
        <f t="shared" si="4"/>
        <v>#N/A</v>
      </c>
      <c r="AC30" s="1132" t="e">
        <f t="shared" si="5"/>
        <v>#N/A</v>
      </c>
    </row>
    <row r="31" spans="1:29" s="905" customFormat="1" ht="15">
      <c r="A31" s="999"/>
      <c r="B31" s="943" t="s">
        <v>1569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5"/>
      <c r="Q31" s="1120" t="str">
        <f t="shared" si="11"/>
        <v>是否封闭</v>
      </c>
      <c r="R31" s="1116" t="s">
        <v>1452</v>
      </c>
      <c r="S31" s="1117">
        <f t="shared" si="12"/>
        <v>100</v>
      </c>
      <c r="T31" s="1116" t="s">
        <v>1452</v>
      </c>
      <c r="U31" s="1117">
        <f t="shared" si="13"/>
        <v>100</v>
      </c>
      <c r="V31" s="1116" t="s">
        <v>1452</v>
      </c>
      <c r="W31" s="1117">
        <f t="shared" si="14"/>
        <v>100</v>
      </c>
      <c r="X31" s="1118"/>
      <c r="Y31" s="3475"/>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5" t="s">
        <v>1473</v>
      </c>
      <c r="Q32" s="681">
        <f t="shared" si="11"/>
        <v>111</v>
      </c>
      <c r="R32" s="1121" t="s">
        <v>1452</v>
      </c>
      <c r="S32" s="1122">
        <f t="shared" si="12"/>
        <v>100</v>
      </c>
      <c r="T32" s="1121" t="s">
        <v>1452</v>
      </c>
      <c r="U32" s="1122">
        <f t="shared" si="13"/>
        <v>100</v>
      </c>
      <c r="V32" s="1121" t="s">
        <v>1452</v>
      </c>
      <c r="W32" s="1122">
        <f t="shared" si="14"/>
        <v>100</v>
      </c>
      <c r="X32" s="1115"/>
      <c r="Y32" s="3475" t="s">
        <v>1473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5"/>
      <c r="Q33" s="681">
        <f t="shared" si="11"/>
        <v>111</v>
      </c>
      <c r="R33" s="1121" t="s">
        <v>1452</v>
      </c>
      <c r="S33" s="1122">
        <f t="shared" si="12"/>
        <v>100</v>
      </c>
      <c r="T33" s="1121" t="s">
        <v>1452</v>
      </c>
      <c r="U33" s="1122">
        <f t="shared" si="13"/>
        <v>100</v>
      </c>
      <c r="V33" s="1121" t="s">
        <v>1452</v>
      </c>
      <c r="W33" s="1122">
        <f t="shared" si="14"/>
        <v>100</v>
      </c>
      <c r="X33" s="1115"/>
      <c r="Y33" s="3475"/>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5"/>
      <c r="Q34" s="681">
        <f t="shared" si="11"/>
        <v>111</v>
      </c>
      <c r="R34" s="1121" t="s">
        <v>1452</v>
      </c>
      <c r="S34" s="1122">
        <f t="shared" si="12"/>
        <v>100</v>
      </c>
      <c r="T34" s="1121" t="s">
        <v>1452</v>
      </c>
      <c r="U34" s="1122">
        <f t="shared" si="13"/>
        <v>100</v>
      </c>
      <c r="V34" s="1121" t="s">
        <v>1452</v>
      </c>
      <c r="W34" s="1122">
        <f t="shared" si="14"/>
        <v>100</v>
      </c>
      <c r="X34" s="1115"/>
      <c r="Y34" s="3475"/>
      <c r="Z34" s="1105">
        <f t="shared" si="15"/>
        <v>111</v>
      </c>
      <c r="AA34" s="1132">
        <f t="shared" si="3"/>
        <v>1</v>
      </c>
      <c r="AB34" s="1132">
        <f t="shared" si="4"/>
        <v>1</v>
      </c>
      <c r="AC34" s="1132">
        <f t="shared" si="5"/>
        <v>1</v>
      </c>
    </row>
    <row r="35" spans="1:30" ht="15">
      <c r="A35" s="1004" t="s">
        <v>1484</v>
      </c>
      <c r="B35" s="1323"/>
      <c r="C35" s="1324" t="s">
        <v>124</v>
      </c>
      <c r="D35" s="1325"/>
      <c r="E35" s="1326"/>
      <c r="F35" s="1327"/>
      <c r="G35" s="1328"/>
      <c r="H35" s="1329"/>
      <c r="I35" s="1326"/>
      <c r="J35" s="1329"/>
      <c r="K35" s="1096"/>
      <c r="L35" s="1097"/>
      <c r="M35" s="1021"/>
      <c r="N35" s="1073"/>
      <c r="O35" s="1021"/>
      <c r="P35" s="3462" t="str">
        <f>A35</f>
        <v>成交单价（元/平方米）</v>
      </c>
      <c r="Q35" s="3462"/>
      <c r="R35" s="3463">
        <f>E35</f>
        <v>0</v>
      </c>
      <c r="S35" s="3463"/>
      <c r="T35" s="3463">
        <f>G35</f>
        <v>0</v>
      </c>
      <c r="U35" s="3463"/>
      <c r="V35" s="3463">
        <f>I35</f>
        <v>0</v>
      </c>
      <c r="W35" s="3463"/>
      <c r="X35" s="1061"/>
      <c r="Y35" s="1134"/>
      <c r="Z35" s="1061"/>
      <c r="AA35" s="1061"/>
      <c r="AB35" s="1061"/>
      <c r="AC35" s="1061"/>
    </row>
    <row r="36" spans="1:30" ht="15">
      <c r="A36" s="1012" t="s">
        <v>1485</v>
      </c>
      <c r="B36" s="1330"/>
      <c r="C36" s="1331" t="e">
        <f>R37</f>
        <v>#DIV/0!</v>
      </c>
      <c r="D36" s="1015" t="s">
        <v>1486</v>
      </c>
      <c r="E36" s="1332" t="e">
        <f>R36</f>
        <v>#DIV/0!</v>
      </c>
      <c r="F36" s="1016"/>
      <c r="G36" s="1331" t="e">
        <f>T36</f>
        <v>#DIV/0!</v>
      </c>
      <c r="H36" s="1016"/>
      <c r="I36" s="1332" t="e">
        <f>V36</f>
        <v>#DIV/0!</v>
      </c>
      <c r="J36" s="1016"/>
      <c r="K36" s="1098">
        <f>F36+H36+J36</f>
        <v>0</v>
      </c>
      <c r="L36" s="1097"/>
      <c r="M36" s="1021"/>
      <c r="N36" s="1073"/>
      <c r="O36" s="1021"/>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061"/>
      <c r="Y36" s="1061"/>
      <c r="Z36" s="1061"/>
      <c r="AA36" s="1061"/>
      <c r="AB36" s="1061"/>
      <c r="AC36" s="1061"/>
    </row>
    <row r="37" spans="1:30" ht="15">
      <c r="A37" s="1018" t="s">
        <v>1487</v>
      </c>
      <c r="B37" s="1019"/>
      <c r="C37" s="1333" t="e">
        <f>R37</f>
        <v>#DIV/0!</v>
      </c>
      <c r="D37" s="1333"/>
      <c r="E37" s="1333"/>
      <c r="F37" s="1333"/>
      <c r="G37" s="1333"/>
      <c r="H37" s="1333"/>
      <c r="I37" s="1333"/>
      <c r="J37" s="1333"/>
      <c r="K37" s="1099"/>
      <c r="L37" s="1097"/>
      <c r="M37" s="1021"/>
      <c r="N37" s="1021"/>
      <c r="O37" s="1021"/>
      <c r="P37" s="3464" t="str">
        <f>A37</f>
        <v>估价对象XX用房的比较价值（楼面单价，元/平方米）</v>
      </c>
      <c r="Q37" s="3465"/>
      <c r="R37" s="3509" t="e">
        <f>IF(F1="售价",ROUND(IF(D36="简单平均",AVERAGE(R36:W36),R36*F36+T36*H36+V36*J36),0),ROUND(IF(D36="简单平均",AVERAGE(R36:V36),R36*F36+T36*H36+V36*J36),1))</f>
        <v>#DIV/0!</v>
      </c>
      <c r="S37" s="3509"/>
      <c r="T37" s="3509"/>
      <c r="U37" s="3509"/>
      <c r="V37" s="3509"/>
      <c r="W37" s="3509"/>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1488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1489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1490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1491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1450</v>
      </c>
      <c r="B46" s="1336"/>
      <c r="C46" s="1337" t="str">
        <f>YEAR(C7)&amp;"-"&amp;MONTH(C7)</f>
        <v>2022-11</v>
      </c>
      <c r="D46" s="1338">
        <f>EDATE(C46,-1)</f>
        <v>44835</v>
      </c>
      <c r="E46" s="1338">
        <f t="shared" ref="E46:O46" si="16">EDATE(D46,-1)</f>
        <v>44805</v>
      </c>
      <c r="F46" s="1338">
        <f t="shared" si="16"/>
        <v>44774</v>
      </c>
      <c r="G46" s="1338">
        <f t="shared" si="16"/>
        <v>44743</v>
      </c>
      <c r="H46" s="1338">
        <f t="shared" si="16"/>
        <v>44713</v>
      </c>
      <c r="I46" s="1338">
        <f t="shared" si="16"/>
        <v>44682</v>
      </c>
      <c r="J46" s="1338">
        <f t="shared" si="16"/>
        <v>44652</v>
      </c>
      <c r="K46" s="1338">
        <f t="shared" si="16"/>
        <v>44621</v>
      </c>
      <c r="L46" s="1338">
        <f t="shared" si="16"/>
        <v>44593</v>
      </c>
      <c r="M46" s="1338">
        <f t="shared" si="16"/>
        <v>44562</v>
      </c>
      <c r="N46" s="1338">
        <f t="shared" si="16"/>
        <v>44531</v>
      </c>
      <c r="O46" s="1338">
        <f t="shared" si="16"/>
        <v>44501</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1492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1453</v>
      </c>
      <c r="B49" s="1146"/>
      <c r="C49" s="1147" t="s">
        <v>1454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1493</v>
      </c>
      <c r="B51" s="1152" t="s">
        <v>1457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1460</v>
      </c>
      <c r="C53" s="1157" t="s">
        <v>1494</v>
      </c>
      <c r="D53" s="1157" t="s">
        <v>1495</v>
      </c>
      <c r="E53" s="1157" t="s">
        <v>1496</v>
      </c>
      <c r="F53" s="1157" t="s">
        <v>1497</v>
      </c>
      <c r="G53" s="1157" t="s">
        <v>1498</v>
      </c>
      <c r="H53" s="1157" t="s">
        <v>1499</v>
      </c>
      <c r="I53" s="1157" t="s">
        <v>1500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1542</v>
      </c>
      <c r="D54" s="1159" t="s">
        <v>1542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1462</v>
      </c>
      <c r="B61" s="1152" t="s">
        <v>1465</v>
      </c>
      <c r="C61" s="1173" t="s">
        <v>1501</v>
      </c>
      <c r="D61" s="1173" t="s">
        <v>1502</v>
      </c>
      <c r="E61" s="1173" t="s">
        <v>1503</v>
      </c>
      <c r="F61" s="1173" t="s">
        <v>1504</v>
      </c>
      <c r="G61" s="1173" t="s">
        <v>1505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1570</v>
      </c>
      <c r="C63" s="1175" t="s">
        <v>1501</v>
      </c>
      <c r="D63" s="1175" t="s">
        <v>1502</v>
      </c>
      <c r="E63" s="1175" t="s">
        <v>1503</v>
      </c>
      <c r="F63" s="1175" t="s">
        <v>1504</v>
      </c>
      <c r="G63" s="1175" t="s">
        <v>1505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1467</v>
      </c>
      <c r="C65" s="1180" t="s">
        <v>1506</v>
      </c>
      <c r="D65" s="1180" t="s">
        <v>1507</v>
      </c>
      <c r="E65" s="1180" t="s">
        <v>1508</v>
      </c>
      <c r="F65" s="1180" t="s">
        <v>1509</v>
      </c>
      <c r="G65" s="1180" t="s">
        <v>1510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1468</v>
      </c>
      <c r="C67" s="1175" t="s">
        <v>1501</v>
      </c>
      <c r="D67" s="1175" t="s">
        <v>1502</v>
      </c>
      <c r="E67" s="1175" t="s">
        <v>1503</v>
      </c>
      <c r="F67" s="1175" t="s">
        <v>1504</v>
      </c>
      <c r="G67" s="1175" t="s">
        <v>1505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1471</v>
      </c>
      <c r="B77" s="1152" t="s">
        <v>1477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1560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1568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524</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1571</v>
      </c>
      <c r="B1" s="915"/>
      <c r="C1" s="916" t="s">
        <v>1572</v>
      </c>
      <c r="D1" s="917"/>
      <c r="E1" s="917"/>
      <c r="F1" s="918" t="s">
        <v>1435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945</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947</v>
      </c>
      <c r="B3" s="922" t="e">
        <f>ROUND(IF(D3="",B2*10000/'数据-汇总表'!E3,B2*10000/D3),0)</f>
        <v>#DIV/0!</v>
      </c>
      <c r="C3" s="153" t="s">
        <v>1436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1437</v>
      </c>
      <c r="B4" s="925"/>
      <c r="C4" s="3447" t="s">
        <v>1438</v>
      </c>
      <c r="D4" s="3448"/>
      <c r="E4" s="3449" t="s">
        <v>1439</v>
      </c>
      <c r="F4" s="3450"/>
      <c r="G4" s="3447" t="s">
        <v>1440</v>
      </c>
      <c r="H4" s="3448"/>
      <c r="I4" s="3447" t="s">
        <v>1441</v>
      </c>
      <c r="J4" s="3448"/>
      <c r="K4" s="1071"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78" t="s">
        <v>1440</v>
      </c>
      <c r="AC4" s="3477" t="s">
        <v>1441</v>
      </c>
    </row>
    <row r="5" spans="1:30" ht="15">
      <c r="A5" s="926"/>
      <c r="B5" s="927"/>
      <c r="C5" s="3451" t="s">
        <v>1444</v>
      </c>
      <c r="D5" s="3452"/>
      <c r="E5" s="3453" t="s">
        <v>1445</v>
      </c>
      <c r="F5" s="3454"/>
      <c r="G5" s="3451" t="s">
        <v>1446</v>
      </c>
      <c r="H5" s="3452"/>
      <c r="I5" s="3451" t="s">
        <v>1447</v>
      </c>
      <c r="J5" s="3452"/>
      <c r="K5" s="1071"/>
      <c r="L5" s="1072"/>
      <c r="M5" s="1073"/>
      <c r="N5" s="1073"/>
      <c r="O5" s="1073"/>
      <c r="P5" s="3482"/>
      <c r="Q5" s="3483"/>
      <c r="R5" s="3488"/>
      <c r="S5" s="3489"/>
      <c r="T5" s="3488"/>
      <c r="U5" s="3489"/>
      <c r="V5" s="3492"/>
      <c r="W5" s="3492"/>
      <c r="X5" s="1115"/>
      <c r="Y5" s="3488"/>
      <c r="Z5" s="3489"/>
      <c r="AA5" s="3478"/>
      <c r="AB5" s="3478"/>
      <c r="AC5" s="3478"/>
    </row>
    <row r="6" spans="1:30" ht="15">
      <c r="A6" s="928"/>
      <c r="B6" s="929"/>
      <c r="C6" s="3455" t="s">
        <v>1448</v>
      </c>
      <c r="D6" s="3456"/>
      <c r="E6" s="3457" t="s">
        <v>1448</v>
      </c>
      <c r="F6" s="3458"/>
      <c r="G6" s="3455" t="s">
        <v>1448</v>
      </c>
      <c r="H6" s="3456"/>
      <c r="I6" s="3455" t="s">
        <v>1448</v>
      </c>
      <c r="J6" s="3456"/>
      <c r="K6" s="1071" t="s">
        <v>1449</v>
      </c>
      <c r="L6" s="1072"/>
      <c r="M6" s="1073"/>
      <c r="N6" s="1073"/>
      <c r="O6" s="1073"/>
      <c r="P6" s="3484"/>
      <c r="Q6" s="3485"/>
      <c r="R6" s="3488"/>
      <c r="S6" s="3489"/>
      <c r="T6" s="3490"/>
      <c r="U6" s="3491"/>
      <c r="V6" s="3492"/>
      <c r="W6" s="3492"/>
      <c r="X6" s="1115"/>
      <c r="Y6" s="3490"/>
      <c r="Z6" s="3491"/>
      <c r="AA6" s="3479"/>
      <c r="AB6" s="3479"/>
      <c r="AC6" s="3479"/>
    </row>
    <row r="7" spans="1:30" s="905" customFormat="1" ht="15">
      <c r="A7" s="930" t="s">
        <v>1450</v>
      </c>
      <c r="B7" s="931"/>
      <c r="C7" s="932">
        <f>'数据-取费表'!B2</f>
        <v>44889</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9"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130" t="e">
        <f>D7/J7</f>
        <v>#DIV/0!</v>
      </c>
    </row>
    <row r="8" spans="1:30" s="905" customFormat="1" ht="15">
      <c r="A8" s="930" t="s">
        <v>1453</v>
      </c>
      <c r="B8" s="931"/>
      <c r="C8" s="937" t="s">
        <v>1454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45" si="3">D8/F8</f>
        <v>#DIV/0!</v>
      </c>
      <c r="AB8" s="1130" t="e">
        <f t="shared" ref="AB8:AB45" si="4">D8/H8</f>
        <v>#DIV/0!</v>
      </c>
      <c r="AC8" s="1130" t="e">
        <f t="shared" ref="AC8:AC45" si="5">D8/J8</f>
        <v>#DIV/0!</v>
      </c>
    </row>
    <row r="9" spans="1:30" s="905" customFormat="1">
      <c r="A9" s="938" t="s">
        <v>1456</v>
      </c>
      <c r="B9" s="939" t="s">
        <v>1457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2"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130">
        <f t="shared" si="5"/>
        <v>1</v>
      </c>
    </row>
    <row r="10" spans="1:30" s="906" customFormat="1" ht="27">
      <c r="A10" s="942"/>
      <c r="B10" s="943" t="s">
        <v>1460</v>
      </c>
      <c r="C10" s="944"/>
      <c r="D10" s="945">
        <v>100</v>
      </c>
      <c r="E10" s="1251"/>
      <c r="F10" s="945">
        <f>ROUND(100/'数据-取费表'!G16,0)</f>
        <v>114</v>
      </c>
      <c r="G10" s="1252"/>
      <c r="H10" s="945">
        <f>ROUND(100/'数据-取费表'!G16,0)</f>
        <v>114</v>
      </c>
      <c r="I10" s="1252"/>
      <c r="J10" s="945">
        <f>ROUND(100/'数据-取费表'!G16,0)</f>
        <v>114</v>
      </c>
      <c r="K10" s="1078"/>
      <c r="L10" s="1079"/>
      <c r="M10" s="1080"/>
      <c r="N10" s="1080"/>
      <c r="O10" s="1081"/>
      <c r="P10" s="3462"/>
      <c r="Q10" s="1120" t="str">
        <f t="shared" si="6"/>
        <v>土地使用年限（年）</v>
      </c>
      <c r="R10" s="1116" t="s">
        <v>1452</v>
      </c>
      <c r="S10" s="1117">
        <f t="shared" si="0"/>
        <v>114</v>
      </c>
      <c r="T10" s="1116" t="s">
        <v>1452</v>
      </c>
      <c r="U10" s="1117">
        <f t="shared" si="1"/>
        <v>114</v>
      </c>
      <c r="V10" s="1116" t="s">
        <v>1452</v>
      </c>
      <c r="W10" s="1117">
        <f t="shared" si="2"/>
        <v>114</v>
      </c>
      <c r="X10" s="1118"/>
      <c r="Y10" s="3395"/>
      <c r="Z10" s="1131" t="str">
        <f t="shared" si="7"/>
        <v>土地使用年限（年）</v>
      </c>
      <c r="AA10" s="1130">
        <f t="shared" si="3"/>
        <v>0.87719298245613997</v>
      </c>
      <c r="AB10" s="1130">
        <f t="shared" si="4"/>
        <v>0.87719298245613997</v>
      </c>
      <c r="AC10" s="1130">
        <f t="shared" si="5"/>
        <v>0.87719298245613997</v>
      </c>
    </row>
    <row r="11" spans="1:30" ht="15">
      <c r="A11" s="946"/>
      <c r="B11" s="943" t="s">
        <v>1461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2"/>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130" t="e">
        <f t="shared" si="5"/>
        <v>#N/A</v>
      </c>
    </row>
    <row r="12" spans="1:30" s="905" customFormat="1" ht="15">
      <c r="A12" s="949"/>
      <c r="B12" s="950" t="s">
        <v>1573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2"/>
      <c r="Q12" s="1120" t="str">
        <f t="shared" si="6"/>
        <v>配建</v>
      </c>
      <c r="R12" s="1116" t="s">
        <v>1452</v>
      </c>
      <c r="S12" s="1117">
        <f t="shared" si="0"/>
        <v>100</v>
      </c>
      <c r="T12" s="1116" t="s">
        <v>1452</v>
      </c>
      <c r="U12" s="1117">
        <f t="shared" si="1"/>
        <v>100</v>
      </c>
      <c r="V12" s="1116" t="s">
        <v>1452</v>
      </c>
      <c r="W12" s="1117">
        <f t="shared" si="2"/>
        <v>100</v>
      </c>
      <c r="X12" s="1118"/>
      <c r="Y12" s="3395"/>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2"/>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2"/>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130">
        <f t="shared" si="5"/>
        <v>1</v>
      </c>
    </row>
    <row r="15" spans="1:30" ht="99.75">
      <c r="A15" s="960" t="s">
        <v>1462</v>
      </c>
      <c r="B15" s="1253" t="s">
        <v>1463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3" t="s">
        <v>1464</v>
      </c>
      <c r="Q15" s="681" t="str">
        <f t="shared" si="6"/>
        <v>居住社区成熟度</v>
      </c>
      <c r="R15" s="1121" t="s">
        <v>1452</v>
      </c>
      <c r="S15" s="1122">
        <f t="shared" si="0"/>
        <v>100</v>
      </c>
      <c r="T15" s="1121" t="s">
        <v>1452</v>
      </c>
      <c r="U15" s="1122">
        <f t="shared" si="1"/>
        <v>100</v>
      </c>
      <c r="V15" s="1121" t="s">
        <v>1452</v>
      </c>
      <c r="W15" s="1122">
        <f t="shared" si="2"/>
        <v>100</v>
      </c>
      <c r="X15" s="1115"/>
      <c r="Y15" s="3473" t="s">
        <v>1464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4"/>
      <c r="Q16" s="681"/>
      <c r="R16" s="1121"/>
      <c r="S16" s="1122"/>
      <c r="T16" s="1121"/>
      <c r="U16" s="1122"/>
      <c r="V16" s="1121"/>
      <c r="W16" s="1122"/>
      <c r="X16" s="1115"/>
      <c r="Y16" s="3474"/>
      <c r="Z16" s="1105"/>
      <c r="AA16" s="1132">
        <v>1</v>
      </c>
      <c r="AB16" s="1132">
        <v>1</v>
      </c>
      <c r="AC16" s="1132">
        <v>1</v>
      </c>
    </row>
    <row r="17" spans="1:29" ht="71.25">
      <c r="A17" s="946"/>
      <c r="B17" s="1256" t="s">
        <v>1532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4"/>
      <c r="Q17" s="681" t="str">
        <f>B17</f>
        <v>商业繁华度</v>
      </c>
      <c r="R17" s="1121" t="s">
        <v>1452</v>
      </c>
      <c r="S17" s="1122">
        <f>F17</f>
        <v>100</v>
      </c>
      <c r="T17" s="1121" t="s">
        <v>1452</v>
      </c>
      <c r="U17" s="1122">
        <f>H17</f>
        <v>100</v>
      </c>
      <c r="V17" s="1121" t="s">
        <v>1452</v>
      </c>
      <c r="W17" s="1122">
        <f>J17</f>
        <v>100</v>
      </c>
      <c r="X17" s="1115"/>
      <c r="Y17" s="3474"/>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4"/>
      <c r="Q18" s="681"/>
      <c r="R18" s="1121"/>
      <c r="S18" s="1122"/>
      <c r="T18" s="1121"/>
      <c r="U18" s="1122"/>
      <c r="V18" s="1121"/>
      <c r="W18" s="1122"/>
      <c r="X18" s="1115"/>
      <c r="Y18" s="3474"/>
      <c r="Z18" s="1105"/>
      <c r="AA18" s="1132">
        <v>1</v>
      </c>
      <c r="AB18" s="1132">
        <v>1</v>
      </c>
      <c r="AC18" s="1132">
        <v>1</v>
      </c>
    </row>
    <row r="19" spans="1:29" ht="71.25">
      <c r="A19" s="946"/>
      <c r="B19" s="1256" t="s">
        <v>1545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4"/>
      <c r="Q19" s="681" t="str">
        <f>B19</f>
        <v>办公集聚程度</v>
      </c>
      <c r="R19" s="1121" t="s">
        <v>1452</v>
      </c>
      <c r="S19" s="1122">
        <f>F19</f>
        <v>100</v>
      </c>
      <c r="T19" s="1121" t="s">
        <v>1452</v>
      </c>
      <c r="U19" s="1122">
        <f>H19</f>
        <v>100</v>
      </c>
      <c r="V19" s="1121" t="s">
        <v>1452</v>
      </c>
      <c r="W19" s="1122">
        <f>J19</f>
        <v>100</v>
      </c>
      <c r="X19" s="1115"/>
      <c r="Y19" s="3474"/>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4"/>
      <c r="Q20" s="681"/>
      <c r="R20" s="1121"/>
      <c r="S20" s="1122"/>
      <c r="T20" s="1121"/>
      <c r="U20" s="1122"/>
      <c r="V20" s="1121"/>
      <c r="W20" s="1122"/>
      <c r="X20" s="1115"/>
      <c r="Y20" s="3474"/>
      <c r="Z20" s="1105"/>
      <c r="AA20" s="1132">
        <v>1</v>
      </c>
      <c r="AB20" s="1132">
        <v>1</v>
      </c>
      <c r="AC20" s="1132">
        <v>1</v>
      </c>
    </row>
    <row r="21" spans="1:29" ht="85.5">
      <c r="A21" s="946"/>
      <c r="B21" s="1256" t="s">
        <v>1465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4"/>
      <c r="Q21" s="681" t="str">
        <f>B21</f>
        <v>交通便捷度</v>
      </c>
      <c r="R21" s="1121" t="s">
        <v>1452</v>
      </c>
      <c r="S21" s="1122">
        <f>F21</f>
        <v>100</v>
      </c>
      <c r="T21" s="1121" t="s">
        <v>1452</v>
      </c>
      <c r="U21" s="1122">
        <f>H21</f>
        <v>100</v>
      </c>
      <c r="V21" s="1121" t="s">
        <v>1452</v>
      </c>
      <c r="W21" s="1122">
        <f>J21</f>
        <v>100</v>
      </c>
      <c r="X21" s="1115"/>
      <c r="Y21" s="3474"/>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4"/>
      <c r="Q22" s="681"/>
      <c r="R22" s="1121"/>
      <c r="S22" s="1122"/>
      <c r="T22" s="1121"/>
      <c r="U22" s="1122"/>
      <c r="V22" s="1121"/>
      <c r="W22" s="1122"/>
      <c r="X22" s="1115"/>
      <c r="Y22" s="3474"/>
      <c r="Z22" s="1105"/>
      <c r="AA22" s="1132">
        <v>1</v>
      </c>
      <c r="AB22" s="1132">
        <v>1</v>
      </c>
      <c r="AC22" s="1132">
        <v>1</v>
      </c>
    </row>
    <row r="23" spans="1:29" ht="15">
      <c r="A23" s="926"/>
      <c r="B23" s="1256" t="s">
        <v>1574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4"/>
      <c r="Q23" s="681" t="str">
        <f t="shared" ref="Q23:Q38" si="8">B23</f>
        <v>区域土地利用方向</v>
      </c>
      <c r="R23" s="1121" t="s">
        <v>1452</v>
      </c>
      <c r="S23" s="1122">
        <f>F23</f>
        <v>100</v>
      </c>
      <c r="T23" s="1121" t="s">
        <v>1452</v>
      </c>
      <c r="U23" s="1122">
        <f>H23</f>
        <v>100</v>
      </c>
      <c r="V23" s="1121" t="s">
        <v>1452</v>
      </c>
      <c r="W23" s="1122">
        <f>J23</f>
        <v>100</v>
      </c>
      <c r="X23" s="1115"/>
      <c r="Y23" s="3474"/>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4"/>
      <c r="Q24" s="681"/>
      <c r="R24" s="1121"/>
      <c r="S24" s="1122"/>
      <c r="T24" s="1121"/>
      <c r="U24" s="1122"/>
      <c r="V24" s="1121"/>
      <c r="W24" s="1122"/>
      <c r="X24" s="1115"/>
      <c r="Y24" s="3474"/>
      <c r="Z24" s="1105"/>
      <c r="AA24" s="1132"/>
      <c r="AB24" s="1132"/>
      <c r="AC24" s="1132"/>
    </row>
    <row r="25" spans="1:29" ht="57">
      <c r="A25" s="926"/>
      <c r="B25" s="1260" t="s">
        <v>1575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4"/>
      <c r="Q25" s="681" t="str">
        <f t="shared" si="8"/>
        <v>自然及人文环境状况</v>
      </c>
      <c r="R25" s="1121" t="s">
        <v>1452</v>
      </c>
      <c r="S25" s="1122">
        <f>F25</f>
        <v>100</v>
      </c>
      <c r="T25" s="1121" t="s">
        <v>1452</v>
      </c>
      <c r="U25" s="1122">
        <f>H25</f>
        <v>100</v>
      </c>
      <c r="V25" s="1121" t="s">
        <v>1452</v>
      </c>
      <c r="W25" s="1122">
        <f>J25</f>
        <v>100</v>
      </c>
      <c r="X25" s="1115"/>
      <c r="Y25" s="3474"/>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4"/>
      <c r="Q26" s="681"/>
      <c r="R26" s="1121"/>
      <c r="S26" s="1122"/>
      <c r="T26" s="1121"/>
      <c r="U26" s="1122"/>
      <c r="V26" s="1121"/>
      <c r="W26" s="1122"/>
      <c r="X26" s="1115"/>
      <c r="Y26" s="3474"/>
      <c r="Z26" s="1105"/>
      <c r="AA26" s="1132">
        <v>1</v>
      </c>
      <c r="AB26" s="1132">
        <v>1</v>
      </c>
      <c r="AC26" s="1132">
        <v>1</v>
      </c>
    </row>
    <row r="27" spans="1:29" s="905" customFormat="1" ht="42.75">
      <c r="A27" s="976"/>
      <c r="B27" s="1260" t="s">
        <v>1466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4"/>
      <c r="Q27" s="1120" t="str">
        <f t="shared" si="8"/>
        <v>公共配套设施</v>
      </c>
      <c r="R27" s="1116" t="s">
        <v>1452</v>
      </c>
      <c r="S27" s="1117">
        <f>F27</f>
        <v>100</v>
      </c>
      <c r="T27" s="1116" t="s">
        <v>1452</v>
      </c>
      <c r="U27" s="1117">
        <f>H27</f>
        <v>100</v>
      </c>
      <c r="V27" s="1116" t="s">
        <v>1452</v>
      </c>
      <c r="W27" s="1117">
        <f>J27</f>
        <v>100</v>
      </c>
      <c r="X27" s="1118"/>
      <c r="Y27" s="3474"/>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4"/>
      <c r="Q28" s="1120"/>
      <c r="R28" s="1116"/>
      <c r="S28" s="1117"/>
      <c r="T28" s="1116"/>
      <c r="U28" s="1117"/>
      <c r="V28" s="1116"/>
      <c r="W28" s="1117"/>
      <c r="X28" s="1118"/>
      <c r="Y28" s="3474"/>
      <c r="Z28" s="1131"/>
      <c r="AA28" s="1132">
        <v>1</v>
      </c>
      <c r="AB28" s="1132">
        <v>1</v>
      </c>
      <c r="AC28" s="1132">
        <v>1</v>
      </c>
    </row>
    <row r="29" spans="1:29" s="905" customFormat="1" ht="28.5">
      <c r="A29" s="976"/>
      <c r="B29" s="1260" t="s">
        <v>1467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4"/>
      <c r="Q29" s="1120" t="str">
        <f t="shared" ref="Q29" si="9">B29</f>
        <v>基础设施水平</v>
      </c>
      <c r="R29" s="1116" t="s">
        <v>1452</v>
      </c>
      <c r="S29" s="1117">
        <f>F29</f>
        <v>100</v>
      </c>
      <c r="T29" s="1116" t="s">
        <v>1452</v>
      </c>
      <c r="U29" s="1117">
        <f>H29</f>
        <v>100</v>
      </c>
      <c r="V29" s="1116" t="s">
        <v>1452</v>
      </c>
      <c r="W29" s="1117">
        <f>J29</f>
        <v>100</v>
      </c>
      <c r="X29" s="1118"/>
      <c r="Y29" s="3474"/>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4"/>
      <c r="Q30" s="1120"/>
      <c r="R30" s="1116"/>
      <c r="S30" s="1117"/>
      <c r="T30" s="1116"/>
      <c r="U30" s="1117"/>
      <c r="V30" s="1116"/>
      <c r="W30" s="1117"/>
      <c r="X30" s="1118"/>
      <c r="Y30" s="3474"/>
      <c r="Z30" s="1131"/>
      <c r="AA30" s="1132">
        <v>1</v>
      </c>
      <c r="AB30" s="1132">
        <v>1</v>
      </c>
      <c r="AC30" s="1132">
        <v>1</v>
      </c>
    </row>
    <row r="31" spans="1:29" ht="15">
      <c r="A31" s="946"/>
      <c r="B31" s="994" t="s">
        <v>1533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4"/>
      <c r="Q31" s="681" t="str">
        <f t="shared" si="8"/>
        <v>临街状况</v>
      </c>
      <c r="R31" s="1121" t="s">
        <v>1452</v>
      </c>
      <c r="S31" s="1122">
        <f t="shared" ref="S31:S45" si="10">F31</f>
        <v>100</v>
      </c>
      <c r="T31" s="1121" t="s">
        <v>1452</v>
      </c>
      <c r="U31" s="1122">
        <f t="shared" ref="U31:U45" si="11">H31</f>
        <v>100</v>
      </c>
      <c r="V31" s="1121" t="s">
        <v>1452</v>
      </c>
      <c r="W31" s="1122">
        <f t="shared" ref="W31:W45" si="12">J31</f>
        <v>100</v>
      </c>
      <c r="X31" s="1115"/>
      <c r="Y31" s="3474"/>
      <c r="Z31" s="1105" t="str">
        <f t="shared" ref="Z31:Z45" si="13">Q31</f>
        <v>临街状况</v>
      </c>
      <c r="AA31" s="1132">
        <f t="shared" si="3"/>
        <v>1</v>
      </c>
      <c r="AB31" s="1132">
        <f t="shared" si="4"/>
        <v>1</v>
      </c>
      <c r="AC31" s="1132">
        <f t="shared" si="5"/>
        <v>1</v>
      </c>
    </row>
    <row r="32" spans="1:29" ht="27">
      <c r="A32" s="946"/>
      <c r="B32" s="1260" t="s">
        <v>1547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4"/>
      <c r="Q32" s="681" t="str">
        <f t="shared" si="8"/>
        <v>毗邻道路的类型与等级</v>
      </c>
      <c r="R32" s="1121" t="s">
        <v>1452</v>
      </c>
      <c r="S32" s="1122">
        <f t="shared" si="10"/>
        <v>100</v>
      </c>
      <c r="T32" s="1121" t="s">
        <v>1452</v>
      </c>
      <c r="U32" s="1122">
        <f t="shared" si="11"/>
        <v>100</v>
      </c>
      <c r="V32" s="1121" t="s">
        <v>1452</v>
      </c>
      <c r="W32" s="1122">
        <f t="shared" si="12"/>
        <v>100</v>
      </c>
      <c r="X32" s="1115"/>
      <c r="Y32" s="3474"/>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4"/>
      <c r="Q33" s="681"/>
      <c r="R33" s="1121"/>
      <c r="S33" s="1122"/>
      <c r="T33" s="1121"/>
      <c r="U33" s="1122"/>
      <c r="V33" s="1121"/>
      <c r="W33" s="1122"/>
      <c r="X33" s="1115"/>
      <c r="Y33" s="3474"/>
      <c r="Z33" s="1105"/>
      <c r="AA33" s="1132">
        <v>1</v>
      </c>
      <c r="AB33" s="1132">
        <v>1</v>
      </c>
      <c r="AC33" s="1132">
        <v>1</v>
      </c>
    </row>
    <row r="34" spans="1:29" ht="15">
      <c r="A34" s="946"/>
      <c r="B34" s="943" t="s">
        <v>1576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4"/>
      <c r="Q34" s="681" t="str">
        <f t="shared" si="8"/>
        <v>土地级别</v>
      </c>
      <c r="R34" s="1121" t="s">
        <v>1452</v>
      </c>
      <c r="S34" s="1122">
        <f t="shared" si="10"/>
        <v>100</v>
      </c>
      <c r="T34" s="1121" t="s">
        <v>1452</v>
      </c>
      <c r="U34" s="1122">
        <f t="shared" si="11"/>
        <v>100</v>
      </c>
      <c r="V34" s="1121" t="s">
        <v>1452</v>
      </c>
      <c r="W34" s="1122">
        <f t="shared" si="12"/>
        <v>100</v>
      </c>
      <c r="X34" s="1115"/>
      <c r="Y34" s="3474"/>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4"/>
      <c r="Q35" s="681">
        <f t="shared" si="8"/>
        <v>111</v>
      </c>
      <c r="R35" s="1121" t="s">
        <v>1452</v>
      </c>
      <c r="S35" s="1122">
        <f t="shared" si="10"/>
        <v>100</v>
      </c>
      <c r="T35" s="1121" t="s">
        <v>1452</v>
      </c>
      <c r="U35" s="1122">
        <f t="shared" si="11"/>
        <v>100</v>
      </c>
      <c r="V35" s="1121" t="s">
        <v>1452</v>
      </c>
      <c r="W35" s="1122">
        <f t="shared" si="12"/>
        <v>100</v>
      </c>
      <c r="X35" s="1115"/>
      <c r="Y35" s="3474"/>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8" t="s">
        <v>1473</v>
      </c>
      <c r="Q36" s="681">
        <f t="shared" si="8"/>
        <v>111</v>
      </c>
      <c r="R36" s="1121" t="s">
        <v>1452</v>
      </c>
      <c r="S36" s="1122">
        <f t="shared" si="10"/>
        <v>100</v>
      </c>
      <c r="T36" s="1121" t="s">
        <v>1452</v>
      </c>
      <c r="U36" s="1122">
        <f t="shared" si="11"/>
        <v>100</v>
      </c>
      <c r="V36" s="1121" t="s">
        <v>1452</v>
      </c>
      <c r="W36" s="1122">
        <f t="shared" si="12"/>
        <v>100</v>
      </c>
      <c r="X36" s="1115"/>
      <c r="Y36" s="3475" t="s">
        <v>1473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5"/>
      <c r="Q37" s="681">
        <f t="shared" si="8"/>
        <v>111</v>
      </c>
      <c r="R37" s="1123" t="s">
        <v>1452</v>
      </c>
      <c r="S37" s="1124">
        <f t="shared" si="10"/>
        <v>100</v>
      </c>
      <c r="T37" s="1123" t="s">
        <v>1452</v>
      </c>
      <c r="U37" s="1124">
        <f t="shared" si="11"/>
        <v>100</v>
      </c>
      <c r="V37" s="1123" t="s">
        <v>1452</v>
      </c>
      <c r="W37" s="1124">
        <f t="shared" si="12"/>
        <v>100</v>
      </c>
      <c r="X37" s="1125"/>
      <c r="Y37" s="3475"/>
      <c r="Z37" s="1133">
        <f t="shared" si="13"/>
        <v>111</v>
      </c>
      <c r="AA37" s="1132">
        <f t="shared" si="3"/>
        <v>1</v>
      </c>
      <c r="AB37" s="1132">
        <f t="shared" si="4"/>
        <v>1</v>
      </c>
      <c r="AC37" s="1132">
        <f t="shared" si="5"/>
        <v>1</v>
      </c>
    </row>
    <row r="38" spans="1:29" ht="15">
      <c r="A38" s="997" t="s">
        <v>1471</v>
      </c>
      <c r="B38" s="994" t="s">
        <v>1577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5"/>
      <c r="Q38" s="681" t="str">
        <f t="shared" si="8"/>
        <v>宗地面积</v>
      </c>
      <c r="R38" s="1121" t="s">
        <v>1452</v>
      </c>
      <c r="S38" s="1122" t="e">
        <f t="shared" si="10"/>
        <v>#N/A</v>
      </c>
      <c r="T38" s="1121" t="s">
        <v>1452</v>
      </c>
      <c r="U38" s="1122" t="e">
        <f t="shared" si="11"/>
        <v>#N/A</v>
      </c>
      <c r="V38" s="1121" t="s">
        <v>1452</v>
      </c>
      <c r="W38" s="1122" t="e">
        <f t="shared" si="12"/>
        <v>#N/A</v>
      </c>
      <c r="X38" s="1115"/>
      <c r="Y38" s="3475"/>
      <c r="Z38" s="1105" t="str">
        <f t="shared" si="13"/>
        <v>宗地面积</v>
      </c>
      <c r="AA38" s="1132" t="e">
        <f t="shared" si="3"/>
        <v>#N/A</v>
      </c>
      <c r="AB38" s="1132" t="e">
        <f t="shared" si="4"/>
        <v>#N/A</v>
      </c>
      <c r="AC38" s="1132" t="e">
        <f t="shared" si="5"/>
        <v>#N/A</v>
      </c>
    </row>
    <row r="39" spans="1:29" ht="15">
      <c r="A39" s="997"/>
      <c r="B39" s="943" t="s">
        <v>1578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5"/>
      <c r="Q39" s="681" t="str">
        <f t="shared" ref="Q39:Q45" si="14">B39</f>
        <v>宗地形状</v>
      </c>
      <c r="R39" s="1121" t="s">
        <v>1452</v>
      </c>
      <c r="S39" s="1122">
        <f t="shared" si="10"/>
        <v>100</v>
      </c>
      <c r="T39" s="1121" t="s">
        <v>1452</v>
      </c>
      <c r="U39" s="1122">
        <f t="shared" si="11"/>
        <v>100</v>
      </c>
      <c r="V39" s="1121" t="s">
        <v>1452</v>
      </c>
      <c r="W39" s="1122">
        <f t="shared" si="12"/>
        <v>100</v>
      </c>
      <c r="X39" s="1115"/>
      <c r="Y39" s="3475"/>
      <c r="Z39" s="1105" t="str">
        <f t="shared" si="13"/>
        <v>宗地形状</v>
      </c>
      <c r="AA39" s="1132">
        <f t="shared" si="3"/>
        <v>1</v>
      </c>
      <c r="AB39" s="1132">
        <f t="shared" si="4"/>
        <v>1</v>
      </c>
      <c r="AC39" s="1132">
        <f t="shared" si="5"/>
        <v>1</v>
      </c>
    </row>
    <row r="40" spans="1:29" ht="15">
      <c r="A40" s="997"/>
      <c r="B40" s="943" t="s">
        <v>1579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5"/>
      <c r="Q40" s="681" t="str">
        <f t="shared" si="14"/>
        <v>临街宽度及深度</v>
      </c>
      <c r="R40" s="1121" t="s">
        <v>1452</v>
      </c>
      <c r="S40" s="1122">
        <f t="shared" si="10"/>
        <v>100</v>
      </c>
      <c r="T40" s="1121" t="s">
        <v>1452</v>
      </c>
      <c r="U40" s="1122">
        <f t="shared" si="11"/>
        <v>100</v>
      </c>
      <c r="V40" s="1121" t="s">
        <v>1452</v>
      </c>
      <c r="W40" s="1122">
        <f t="shared" si="12"/>
        <v>100</v>
      </c>
      <c r="X40" s="1115"/>
      <c r="Y40" s="3475"/>
      <c r="Z40" s="1105" t="str">
        <f t="shared" si="13"/>
        <v>临街宽度及深度</v>
      </c>
      <c r="AA40" s="1132">
        <f t="shared" si="3"/>
        <v>1</v>
      </c>
      <c r="AB40" s="1132">
        <f t="shared" si="4"/>
        <v>1</v>
      </c>
      <c r="AC40" s="1132">
        <f t="shared" si="5"/>
        <v>1</v>
      </c>
    </row>
    <row r="41" spans="1:29" s="905" customFormat="1" ht="15">
      <c r="A41" s="999"/>
      <c r="B41" s="943" t="s">
        <v>1580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5"/>
      <c r="Q41" s="681" t="str">
        <f t="shared" si="14"/>
        <v>宗地开发程度</v>
      </c>
      <c r="R41" s="1116" t="s">
        <v>1452</v>
      </c>
      <c r="S41" s="1117">
        <f t="shared" si="10"/>
        <v>100</v>
      </c>
      <c r="T41" s="1116" t="s">
        <v>1452</v>
      </c>
      <c r="U41" s="1117">
        <f t="shared" si="11"/>
        <v>100</v>
      </c>
      <c r="V41" s="1116" t="s">
        <v>1452</v>
      </c>
      <c r="W41" s="1117">
        <f t="shared" si="12"/>
        <v>100</v>
      </c>
      <c r="X41" s="1118"/>
      <c r="Y41" s="3475"/>
      <c r="Z41" s="1131" t="str">
        <f t="shared" si="13"/>
        <v>宗地开发程度</v>
      </c>
      <c r="AA41" s="1130">
        <f t="shared" si="3"/>
        <v>1</v>
      </c>
      <c r="AB41" s="1130">
        <f t="shared" si="4"/>
        <v>1</v>
      </c>
      <c r="AC41" s="1130">
        <f t="shared" si="5"/>
        <v>1</v>
      </c>
    </row>
    <row r="42" spans="1:29" ht="15">
      <c r="A42" s="997"/>
      <c r="B42" s="943" t="s">
        <v>1581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5" t="s">
        <v>1473</v>
      </c>
      <c r="Q42" s="681" t="str">
        <f t="shared" si="14"/>
        <v>工程地质条件</v>
      </c>
      <c r="R42" s="1121" t="s">
        <v>1452</v>
      </c>
      <c r="S42" s="1122">
        <f t="shared" si="10"/>
        <v>100</v>
      </c>
      <c r="T42" s="1121" t="s">
        <v>1452</v>
      </c>
      <c r="U42" s="1122">
        <f t="shared" si="11"/>
        <v>100</v>
      </c>
      <c r="V42" s="1121" t="s">
        <v>1452</v>
      </c>
      <c r="W42" s="1122">
        <f t="shared" si="12"/>
        <v>100</v>
      </c>
      <c r="X42" s="1115"/>
      <c r="Y42" s="3475" t="s">
        <v>1473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5"/>
      <c r="Q43" s="681">
        <f t="shared" si="14"/>
        <v>111</v>
      </c>
      <c r="R43" s="1121" t="s">
        <v>1452</v>
      </c>
      <c r="S43" s="1122">
        <f t="shared" si="10"/>
        <v>100</v>
      </c>
      <c r="T43" s="1121" t="s">
        <v>1452</v>
      </c>
      <c r="U43" s="1122">
        <f t="shared" si="11"/>
        <v>100</v>
      </c>
      <c r="V43" s="1121" t="s">
        <v>1452</v>
      </c>
      <c r="W43" s="1122">
        <f t="shared" si="12"/>
        <v>100</v>
      </c>
      <c r="X43" s="1115"/>
      <c r="Y43" s="3475"/>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5"/>
      <c r="Q44" s="681">
        <f t="shared" si="14"/>
        <v>111</v>
      </c>
      <c r="R44" s="1121" t="s">
        <v>1452</v>
      </c>
      <c r="S44" s="1122">
        <f t="shared" si="10"/>
        <v>100</v>
      </c>
      <c r="T44" s="1121" t="s">
        <v>1452</v>
      </c>
      <c r="U44" s="1122">
        <f t="shared" si="11"/>
        <v>100</v>
      </c>
      <c r="V44" s="1121" t="s">
        <v>1452</v>
      </c>
      <c r="W44" s="1122">
        <f t="shared" si="12"/>
        <v>100</v>
      </c>
      <c r="X44" s="1115"/>
      <c r="Y44" s="3475"/>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5"/>
      <c r="Q45" s="681">
        <f t="shared" si="14"/>
        <v>111</v>
      </c>
      <c r="R45" s="1123" t="s">
        <v>1452</v>
      </c>
      <c r="S45" s="1124">
        <f t="shared" si="10"/>
        <v>100</v>
      </c>
      <c r="T45" s="1123" t="s">
        <v>1452</v>
      </c>
      <c r="U45" s="1124">
        <f t="shared" si="11"/>
        <v>100</v>
      </c>
      <c r="V45" s="1123" t="s">
        <v>1452</v>
      </c>
      <c r="W45" s="1124">
        <f t="shared" si="12"/>
        <v>100</v>
      </c>
      <c r="X45" s="1125"/>
      <c r="Y45" s="3475"/>
      <c r="Z45" s="1133">
        <f t="shared" si="13"/>
        <v>111</v>
      </c>
      <c r="AA45" s="1132">
        <f t="shared" si="3"/>
        <v>1</v>
      </c>
      <c r="AB45" s="1132">
        <f t="shared" si="4"/>
        <v>1</v>
      </c>
      <c r="AC45" s="1132">
        <f t="shared" si="5"/>
        <v>1</v>
      </c>
    </row>
    <row r="46" spans="1:29" ht="15">
      <c r="A46" s="1004" t="s">
        <v>1564</v>
      </c>
      <c r="B46" s="1005" t="s">
        <v>1582</v>
      </c>
      <c r="C46" s="1006" t="s">
        <v>124</v>
      </c>
      <c r="D46" s="1007"/>
      <c r="E46" s="1008"/>
      <c r="F46" s="1009"/>
      <c r="G46" s="1010"/>
      <c r="H46" s="1011"/>
      <c r="I46" s="1008"/>
      <c r="J46" s="1011"/>
      <c r="K46" s="1096"/>
      <c r="L46" s="1097"/>
      <c r="M46" s="1021"/>
      <c r="N46" s="1073"/>
      <c r="O46" s="1021"/>
      <c r="P46" s="3462" t="str">
        <f>A46</f>
        <v>成交单价</v>
      </c>
      <c r="Q46" s="3462"/>
      <c r="R46" s="3492">
        <f>E46</f>
        <v>0</v>
      </c>
      <c r="S46" s="3492"/>
      <c r="T46" s="3492">
        <f>G46</f>
        <v>0</v>
      </c>
      <c r="U46" s="3492"/>
      <c r="V46" s="3492">
        <f>I46</f>
        <v>0</v>
      </c>
      <c r="W46" s="3492"/>
      <c r="X46" s="1061"/>
      <c r="Y46" s="1134"/>
      <c r="Z46" s="1061"/>
      <c r="AA46" s="1061"/>
      <c r="AB46" s="1061"/>
      <c r="AC46" s="1061"/>
    </row>
    <row r="47" spans="1:29" ht="15">
      <c r="A47" s="1012" t="s">
        <v>1485</v>
      </c>
      <c r="B47" s="1013"/>
      <c r="C47" s="1014" t="e">
        <f>R48</f>
        <v>#DIV/0!</v>
      </c>
      <c r="D47" s="1015" t="s">
        <v>1486</v>
      </c>
      <c r="E47" s="1014" t="e">
        <f>R47</f>
        <v>#DIV/0!</v>
      </c>
      <c r="F47" s="1016"/>
      <c r="G47" s="1017" t="e">
        <f>T47</f>
        <v>#DIV/0!</v>
      </c>
      <c r="H47" s="1016"/>
      <c r="I47" s="1014" t="e">
        <f>V47</f>
        <v>#DIV/0!</v>
      </c>
      <c r="J47" s="1016"/>
      <c r="K47" s="1098">
        <f>F47+H47+J47</f>
        <v>0</v>
      </c>
      <c r="L47" s="1097"/>
      <c r="M47" s="1021"/>
      <c r="N47" s="1021"/>
      <c r="O47" s="1021"/>
      <c r="P47" s="3462" t="str">
        <f>A47</f>
        <v>比较价值（元/平方米）</v>
      </c>
      <c r="Q47" s="3462"/>
      <c r="R47" s="3510" t="e">
        <f>ROUND(PRODUCT(R46,AA7:AA45),0)</f>
        <v>#DIV/0!</v>
      </c>
      <c r="S47" s="3510"/>
      <c r="T47" s="3510" t="e">
        <f>ROUND(PRODUCT(T46,AB7:AB45),0)</f>
        <v>#DIV/0!</v>
      </c>
      <c r="U47" s="3510"/>
      <c r="V47" s="3510" t="e">
        <f>ROUND(PRODUCT(V46,AC7:AC45),0)</f>
        <v>#DIV/0!</v>
      </c>
      <c r="W47" s="3510"/>
      <c r="X47" s="1061"/>
      <c r="Y47" s="1061"/>
      <c r="Z47" s="1061"/>
      <c r="AA47" s="1061"/>
      <c r="AB47" s="1061"/>
      <c r="AC47" s="1061"/>
    </row>
    <row r="48" spans="1:29" ht="15">
      <c r="A48" s="1018" t="s">
        <v>1583</v>
      </c>
      <c r="B48" s="1019"/>
      <c r="C48" s="1020" t="e">
        <f>R48</f>
        <v>#DIV/0!</v>
      </c>
      <c r="D48" s="1020"/>
      <c r="E48" s="1020"/>
      <c r="F48" s="1020"/>
      <c r="G48" s="1020"/>
      <c r="H48" s="1020"/>
      <c r="I48" s="1020"/>
      <c r="J48" s="1020"/>
      <c r="K48" s="1099"/>
      <c r="L48" s="1097"/>
      <c r="M48" s="1021"/>
      <c r="N48" s="1021"/>
      <c r="O48" s="1021"/>
      <c r="P48" s="3464" t="str">
        <f>A48</f>
        <v>估价对象XX用房的比较价值（楼面单价，元/平方米）</v>
      </c>
      <c r="Q48" s="3465"/>
      <c r="R48" s="3511" t="e">
        <f>ROUND(IF(D47="简单平均",AVERAGE(R47:W47),R47*F47+T47*H47+V47*J47),0)</f>
        <v>#DIV/0!</v>
      </c>
      <c r="S48" s="3511"/>
      <c r="T48" s="3511"/>
      <c r="U48" s="3511"/>
      <c r="V48" s="3511"/>
      <c r="W48" s="351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1488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1489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1490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1584</v>
      </c>
      <c r="B55" s="1031" t="s">
        <v>1585</v>
      </c>
      <c r="C55" s="1032" t="s">
        <v>1586</v>
      </c>
      <c r="D55" s="1033" t="s">
        <v>1587</v>
      </c>
      <c r="E55" s="1034" t="s">
        <v>1588</v>
      </c>
      <c r="F55" s="1264" t="s">
        <v>1589</v>
      </c>
      <c r="G55" s="3447" t="s">
        <v>1590</v>
      </c>
      <c r="H55" s="3512"/>
      <c r="I55" s="1268" t="s">
        <v>1591</v>
      </c>
      <c r="J55" s="1269">
        <f>项目基本情况!F35</f>
        <v>0</v>
      </c>
      <c r="K55" s="1106" t="s">
        <v>1592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1593</v>
      </c>
      <c r="B56" s="1037" t="e">
        <f>C48</f>
        <v>#DIV/0!</v>
      </c>
      <c r="C56" s="1038">
        <v>1</v>
      </c>
      <c r="D56" s="1039">
        <v>1</v>
      </c>
      <c r="E56" s="1038">
        <f>'数据-汇总表'!E8+'数据-汇总表'!E9</f>
        <v>10004.18</v>
      </c>
      <c r="F56" s="1265" t="e">
        <f t="shared" ref="F56:F64" si="15">ROUND(B56*E56/10000,0)</f>
        <v>#DIV/0!</v>
      </c>
      <c r="G56" s="3467"/>
      <c r="H56" s="3462"/>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1594</v>
      </c>
      <c r="B57" s="167" t="e">
        <f>ROUND($C$48*C57*D57,0)</f>
        <v>#DIV/0!</v>
      </c>
      <c r="C57" s="626">
        <f t="shared" ref="C57:C64" si="16">IF($C$55="北京市系数",I57,J57)</f>
        <v>0</v>
      </c>
      <c r="D57" s="1042">
        <v>0.25</v>
      </c>
      <c r="E57" s="1043"/>
      <c r="F57" s="1265" t="e">
        <f t="shared" si="15"/>
        <v>#DIV/0!</v>
      </c>
      <c r="G57" s="1044" t="s">
        <v>1595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1596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1597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1598</v>
      </c>
      <c r="B60" s="167" t="e">
        <f t="shared" si="17"/>
        <v>#DIV/0!</v>
      </c>
      <c r="C60" s="626">
        <f t="shared" si="16"/>
        <v>0</v>
      </c>
      <c r="D60" s="1042">
        <v>0.25</v>
      </c>
      <c r="E60" s="166">
        <f>'数据-汇总表'!E11</f>
        <v>0</v>
      </c>
      <c r="F60" s="1265" t="e">
        <f t="shared" si="15"/>
        <v>#DIV/0!</v>
      </c>
      <c r="G60" s="1048" t="s">
        <v>1599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1600</v>
      </c>
      <c r="B61" s="167" t="e">
        <f t="shared" si="17"/>
        <v>#DIV/0!</v>
      </c>
      <c r="C61" s="626">
        <f t="shared" si="16"/>
        <v>0</v>
      </c>
      <c r="D61" s="1042">
        <v>0.25</v>
      </c>
      <c r="E61" s="166">
        <f>'数据-汇总表'!E12</f>
        <v>1394.4</v>
      </c>
      <c r="F61" s="1265" t="e">
        <f t="shared" si="15"/>
        <v>#DIV/0!</v>
      </c>
      <c r="G61" s="1049" t="s">
        <v>1601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1602</v>
      </c>
      <c r="B62" s="167" t="e">
        <f t="shared" si="17"/>
        <v>#DIV/0!</v>
      </c>
      <c r="C62" s="626">
        <f t="shared" si="16"/>
        <v>0</v>
      </c>
      <c r="D62" s="1042">
        <v>0.25</v>
      </c>
      <c r="E62" s="166">
        <f>'数据-汇总表'!E13</f>
        <v>0</v>
      </c>
      <c r="F62" s="1265" t="e">
        <f t="shared" si="15"/>
        <v>#DIV/0!</v>
      </c>
      <c r="G62" s="1049" t="s">
        <v>1603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1604</v>
      </c>
      <c r="B63" s="167" t="e">
        <f t="shared" si="17"/>
        <v>#DIV/0!</v>
      </c>
      <c r="C63" s="626">
        <f t="shared" si="16"/>
        <v>0</v>
      </c>
      <c r="D63" s="1042">
        <v>0.25</v>
      </c>
      <c r="E63" s="166">
        <f>'数据-汇总表'!E14</f>
        <v>0</v>
      </c>
      <c r="F63" s="1265" t="e">
        <f t="shared" si="15"/>
        <v>#DIV/0!</v>
      </c>
      <c r="G63" s="1048" t="s">
        <v>1595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1605</v>
      </c>
      <c r="B64" s="167" t="e">
        <f t="shared" si="17"/>
        <v>#DIV/0!</v>
      </c>
      <c r="C64" s="626">
        <f t="shared" si="16"/>
        <v>0</v>
      </c>
      <c r="D64" s="1042">
        <v>0.25</v>
      </c>
      <c r="E64" s="166">
        <f>'数据-汇总表'!E15</f>
        <v>0</v>
      </c>
      <c r="F64" s="1265" t="e">
        <f t="shared" si="15"/>
        <v>#DIV/0!</v>
      </c>
      <c r="G64" s="1050" t="s">
        <v>1599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1606</v>
      </c>
      <c r="B65" s="1053" t="s">
        <v>1542</v>
      </c>
      <c r="C65" s="1053" t="s">
        <v>1542</v>
      </c>
      <c r="D65" s="1053" t="s">
        <v>1542</v>
      </c>
      <c r="E65" s="1053">
        <f>IF(B46="楼面地价",SUM(E56:E64),'数据-汇总表'!D3)</f>
        <v>11398.58</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2022-11-1</v>
      </c>
      <c r="D67" s="1059">
        <f>EDATE(C67,-3)</f>
        <v>44774</v>
      </c>
      <c r="E67" s="1059">
        <f>EDATE(D67,-3)</f>
        <v>44682</v>
      </c>
      <c r="F67" s="1059">
        <f t="shared" ref="F67:O67" si="18">EDATE(E67,-3)</f>
        <v>44593</v>
      </c>
      <c r="G67" s="1059">
        <f t="shared" si="18"/>
        <v>44501</v>
      </c>
      <c r="H67" s="1059">
        <f t="shared" si="18"/>
        <v>44409</v>
      </c>
      <c r="I67" s="1059">
        <f t="shared" si="18"/>
        <v>44317</v>
      </c>
      <c r="J67" s="1059">
        <f t="shared" si="18"/>
        <v>44228</v>
      </c>
      <c r="K67" s="1059">
        <f t="shared" si="18"/>
        <v>44136</v>
      </c>
      <c r="L67" s="1059">
        <f t="shared" si="18"/>
        <v>44044</v>
      </c>
      <c r="M67" s="1059">
        <f t="shared" si="18"/>
        <v>43952</v>
      </c>
      <c r="N67" s="1059">
        <f t="shared" si="18"/>
        <v>43862</v>
      </c>
      <c r="O67" s="1059">
        <f t="shared" si="18"/>
        <v>43770</v>
      </c>
      <c r="P67" s="1021"/>
      <c r="Q67" s="1021"/>
      <c r="R67" s="1021"/>
      <c r="S67" s="1021"/>
      <c r="T67" s="1021"/>
      <c r="U67" s="1021"/>
      <c r="V67" s="1021"/>
      <c r="W67" s="1021"/>
      <c r="X67" s="1021"/>
      <c r="Y67" s="1021"/>
      <c r="Z67" s="1021"/>
      <c r="AA67" s="1021"/>
      <c r="AB67" s="1021"/>
      <c r="AC67" s="1021"/>
    </row>
    <row r="68" spans="1:29" ht="21">
      <c r="A68" s="1060" t="s">
        <v>1491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1607</v>
      </c>
      <c r="B69" s="1136"/>
      <c r="C69" s="1137" t="str">
        <f>YEAR(C67)&amp;"-"&amp;ROUNDUP(MONTH(C67)/3,0)</f>
        <v>2022-4</v>
      </c>
      <c r="D69" s="1137" t="str">
        <f>YEAR(D67)&amp;"-"&amp;ROUNDUP(MONTH(D67)/3,0)</f>
        <v>2022-3</v>
      </c>
      <c r="E69" s="1137" t="str">
        <f t="shared" ref="E69:O69" si="19">YEAR(E67)&amp;"-"&amp;ROUNDUP(MONTH(E67)/3,0)</f>
        <v>2022-2</v>
      </c>
      <c r="F69" s="1137" t="str">
        <f t="shared" si="19"/>
        <v>2022-1</v>
      </c>
      <c r="G69" s="1137" t="str">
        <f t="shared" si="19"/>
        <v>2021-4</v>
      </c>
      <c r="H69" s="1137" t="str">
        <f t="shared" si="19"/>
        <v>2021-3</v>
      </c>
      <c r="I69" s="1137" t="str">
        <f t="shared" si="19"/>
        <v>2021-2</v>
      </c>
      <c r="J69" s="1137" t="str">
        <f t="shared" si="19"/>
        <v>2021-1</v>
      </c>
      <c r="K69" s="1137" t="str">
        <f t="shared" si="19"/>
        <v>2020-4</v>
      </c>
      <c r="L69" s="1137" t="str">
        <f t="shared" si="19"/>
        <v>2020-3</v>
      </c>
      <c r="M69" s="1137" t="str">
        <f t="shared" si="19"/>
        <v>2020-2</v>
      </c>
      <c r="N69" s="1137" t="str">
        <f t="shared" si="19"/>
        <v>2020-1</v>
      </c>
      <c r="O69" s="1137" t="str">
        <f t="shared" si="19"/>
        <v>2019-4</v>
      </c>
      <c r="P69" s="1189"/>
      <c r="Q69" s="1245"/>
      <c r="R69" s="1245"/>
      <c r="S69" s="1245"/>
      <c r="T69" s="1245"/>
      <c r="U69" s="1245"/>
      <c r="V69" s="1245"/>
      <c r="W69" s="1245"/>
      <c r="X69" s="1245"/>
      <c r="Y69" s="1245"/>
      <c r="Z69" s="1245"/>
      <c r="AA69" s="1245"/>
      <c r="AB69" s="1245"/>
      <c r="AC69" s="1245"/>
    </row>
    <row r="70" spans="1:29" s="905" customFormat="1" ht="30" customHeight="1">
      <c r="A70" s="1277" t="s">
        <v>1608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1492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1453</v>
      </c>
      <c r="B72" s="1146"/>
      <c r="C72" s="1147" t="s">
        <v>1454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1493</v>
      </c>
      <c r="B74" s="1152" t="s">
        <v>1457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1460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1461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1462</v>
      </c>
      <c r="B87" s="1152" t="s">
        <v>1463</v>
      </c>
      <c r="C87" s="1173" t="s">
        <v>1501</v>
      </c>
      <c r="D87" s="1173" t="s">
        <v>1502</v>
      </c>
      <c r="E87" s="1173" t="s">
        <v>1503</v>
      </c>
      <c r="F87" s="1173" t="s">
        <v>1504</v>
      </c>
      <c r="G87" s="1173" t="s">
        <v>1505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1532</v>
      </c>
      <c r="C89" s="1175" t="s">
        <v>1501</v>
      </c>
      <c r="D89" s="1175" t="s">
        <v>1502</v>
      </c>
      <c r="E89" s="1175" t="s">
        <v>1503</v>
      </c>
      <c r="F89" s="1175" t="s">
        <v>1504</v>
      </c>
      <c r="G89" s="1175" t="s">
        <v>1505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1545</v>
      </c>
      <c r="C91" s="1175" t="s">
        <v>1501</v>
      </c>
      <c r="D91" s="1175" t="s">
        <v>1502</v>
      </c>
      <c r="E91" s="1175" t="s">
        <v>1503</v>
      </c>
      <c r="F91" s="1175" t="s">
        <v>1504</v>
      </c>
      <c r="G91" s="1175" t="s">
        <v>1505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1465</v>
      </c>
      <c r="C93" s="1175" t="s">
        <v>1501</v>
      </c>
      <c r="D93" s="1175" t="s">
        <v>1502</v>
      </c>
      <c r="E93" s="1175" t="s">
        <v>1503</v>
      </c>
      <c r="F93" s="1175" t="s">
        <v>1504</v>
      </c>
      <c r="G93" s="1175" t="s">
        <v>1505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1574</v>
      </c>
      <c r="C95" s="1175" t="s">
        <v>1501</v>
      </c>
      <c r="D95" s="1175" t="s">
        <v>1502</v>
      </c>
      <c r="E95" s="1175" t="s">
        <v>1503</v>
      </c>
      <c r="F95" s="1175" t="s">
        <v>1504</v>
      </c>
      <c r="G95" s="1175" t="s">
        <v>1505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1575</v>
      </c>
      <c r="C97" s="1173" t="s">
        <v>1501</v>
      </c>
      <c r="D97" s="1173" t="s">
        <v>1502</v>
      </c>
      <c r="E97" s="1173" t="s">
        <v>1503</v>
      </c>
      <c r="F97" s="1173" t="s">
        <v>1504</v>
      </c>
      <c r="G97" s="1173" t="s">
        <v>1505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1466</v>
      </c>
      <c r="C99" s="1173" t="s">
        <v>1501</v>
      </c>
      <c r="D99" s="1173" t="s">
        <v>1502</v>
      </c>
      <c r="E99" s="1173" t="s">
        <v>1503</v>
      </c>
      <c r="F99" s="1173" t="s">
        <v>1504</v>
      </c>
      <c r="G99" s="1173" t="s">
        <v>1505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1467</v>
      </c>
      <c r="C101" s="1180" t="s">
        <v>1506</v>
      </c>
      <c r="D101" s="1180" t="s">
        <v>1507</v>
      </c>
      <c r="E101" s="1180" t="s">
        <v>1508</v>
      </c>
      <c r="F101" s="1180" t="s">
        <v>1509</v>
      </c>
      <c r="G101" s="1180" t="s">
        <v>1510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1609</v>
      </c>
      <c r="D103" s="1157" t="s">
        <v>1610</v>
      </c>
      <c r="E103" s="1157" t="s">
        <v>1611</v>
      </c>
      <c r="F103" s="1157" t="s">
        <v>1612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1576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1471</v>
      </c>
      <c r="B115" s="1152" t="s">
        <v>1577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1578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1580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1581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1571</v>
      </c>
      <c r="B1" s="915"/>
      <c r="C1" s="916" t="s">
        <v>1551</v>
      </c>
      <c r="D1" s="917"/>
      <c r="E1" s="917"/>
      <c r="F1" s="918" t="s">
        <v>1435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945</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947</v>
      </c>
      <c r="B3" s="922" t="e">
        <f>ROUND(IF(D3="",B2*10000/'数据-汇总表'!E3,B2*10000/D3),0)</f>
        <v>#DIV/0!</v>
      </c>
      <c r="C3" s="153" t="s">
        <v>1436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1437</v>
      </c>
      <c r="B4" s="925"/>
      <c r="C4" s="3447" t="s">
        <v>1438</v>
      </c>
      <c r="D4" s="3448"/>
      <c r="E4" s="3449" t="s">
        <v>1439</v>
      </c>
      <c r="F4" s="3450"/>
      <c r="G4" s="3447" t="s">
        <v>1440</v>
      </c>
      <c r="H4" s="3448"/>
      <c r="I4" s="3447" t="s">
        <v>1441</v>
      </c>
      <c r="J4" s="3448"/>
      <c r="K4" s="1071" t="s">
        <v>1442</v>
      </c>
      <c r="L4" s="1072"/>
      <c r="M4" s="1073"/>
      <c r="N4" s="1073"/>
      <c r="O4" s="1073"/>
      <c r="P4" s="3480" t="s">
        <v>1443</v>
      </c>
      <c r="Q4" s="3481"/>
      <c r="R4" s="3486" t="s">
        <v>1439</v>
      </c>
      <c r="S4" s="3487"/>
      <c r="T4" s="3486" t="s">
        <v>1440</v>
      </c>
      <c r="U4" s="3487"/>
      <c r="V4" s="3492" t="s">
        <v>1441</v>
      </c>
      <c r="W4" s="3492"/>
      <c r="X4" s="1115"/>
      <c r="Y4" s="3486" t="s">
        <v>1443</v>
      </c>
      <c r="Z4" s="3487"/>
      <c r="AA4" s="3477" t="s">
        <v>1439</v>
      </c>
      <c r="AB4" s="3478" t="s">
        <v>1440</v>
      </c>
      <c r="AC4" s="3477" t="s">
        <v>1441</v>
      </c>
    </row>
    <row r="5" spans="1:29" ht="15">
      <c r="A5" s="926"/>
      <c r="B5" s="927"/>
      <c r="C5" s="3451" t="s">
        <v>1444</v>
      </c>
      <c r="D5" s="3452"/>
      <c r="E5" s="3453" t="s">
        <v>1445</v>
      </c>
      <c r="F5" s="3454"/>
      <c r="G5" s="3451" t="s">
        <v>1446</v>
      </c>
      <c r="H5" s="3452"/>
      <c r="I5" s="3451" t="s">
        <v>1447</v>
      </c>
      <c r="J5" s="3452"/>
      <c r="K5" s="1071"/>
      <c r="L5" s="1072"/>
      <c r="M5" s="1073"/>
      <c r="N5" s="1073"/>
      <c r="O5" s="1073"/>
      <c r="P5" s="3482"/>
      <c r="Q5" s="3483"/>
      <c r="R5" s="3488"/>
      <c r="S5" s="3489"/>
      <c r="T5" s="3488"/>
      <c r="U5" s="3489"/>
      <c r="V5" s="3492"/>
      <c r="W5" s="3492"/>
      <c r="X5" s="1115"/>
      <c r="Y5" s="3488"/>
      <c r="Z5" s="3489"/>
      <c r="AA5" s="3478"/>
      <c r="AB5" s="3478"/>
      <c r="AC5" s="3478"/>
    </row>
    <row r="6" spans="1:29" ht="15">
      <c r="A6" s="928"/>
      <c r="B6" s="929"/>
      <c r="C6" s="3513" t="s">
        <v>1613</v>
      </c>
      <c r="D6" s="3514"/>
      <c r="E6" s="3515" t="s">
        <v>1613</v>
      </c>
      <c r="F6" s="3516"/>
      <c r="G6" s="3513" t="s">
        <v>1613</v>
      </c>
      <c r="H6" s="3514"/>
      <c r="I6" s="3513" t="s">
        <v>1613</v>
      </c>
      <c r="J6" s="3514"/>
      <c r="K6" s="1071" t="s">
        <v>1449</v>
      </c>
      <c r="L6" s="1072"/>
      <c r="M6" s="1073"/>
      <c r="N6" s="1073"/>
      <c r="O6" s="1073"/>
      <c r="P6" s="3484"/>
      <c r="Q6" s="3485"/>
      <c r="R6" s="3488"/>
      <c r="S6" s="3489"/>
      <c r="T6" s="3490"/>
      <c r="U6" s="3491"/>
      <c r="V6" s="3492"/>
      <c r="W6" s="3492"/>
      <c r="X6" s="1115"/>
      <c r="Y6" s="3490"/>
      <c r="Z6" s="3491"/>
      <c r="AA6" s="3479"/>
      <c r="AB6" s="3479"/>
      <c r="AC6" s="3479"/>
    </row>
    <row r="7" spans="1:29" s="905" customFormat="1" ht="15">
      <c r="A7" s="930" t="s">
        <v>1450</v>
      </c>
      <c r="B7" s="931"/>
      <c r="C7" s="932">
        <f>'数据-取费表'!B2</f>
        <v>44889</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9" t="s">
        <v>1451</v>
      </c>
      <c r="Q7" s="3460"/>
      <c r="R7" s="1116" t="s">
        <v>1452</v>
      </c>
      <c r="S7" s="1117">
        <f t="shared" ref="S7:S15" si="0">F7</f>
        <v>0</v>
      </c>
      <c r="T7" s="1116" t="s">
        <v>1452</v>
      </c>
      <c r="U7" s="1117">
        <f t="shared" ref="U7:U15" si="1">H7</f>
        <v>0</v>
      </c>
      <c r="V7" s="1116" t="s">
        <v>1452</v>
      </c>
      <c r="W7" s="1117">
        <f t="shared" ref="W7:W15" si="2">J7</f>
        <v>0</v>
      </c>
      <c r="X7" s="1118"/>
      <c r="Y7" s="3459" t="s">
        <v>1451</v>
      </c>
      <c r="Z7" s="3461"/>
      <c r="AA7" s="1130" t="e">
        <f>D7/F7</f>
        <v>#DIV/0!</v>
      </c>
      <c r="AB7" s="1130" t="e">
        <f>D7/H7</f>
        <v>#DIV/0!</v>
      </c>
      <c r="AC7" s="1130" t="e">
        <f>D7/J7</f>
        <v>#DIV/0!</v>
      </c>
    </row>
    <row r="8" spans="1:29" s="905" customFormat="1" ht="15">
      <c r="A8" s="930" t="s">
        <v>1453</v>
      </c>
      <c r="B8" s="931"/>
      <c r="C8" s="937" t="s">
        <v>1454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9" t="s">
        <v>1455</v>
      </c>
      <c r="Q8" s="3461"/>
      <c r="R8" s="1116" t="s">
        <v>1452</v>
      </c>
      <c r="S8" s="1117">
        <f t="shared" si="0"/>
        <v>0</v>
      </c>
      <c r="T8" s="1116" t="s">
        <v>1452</v>
      </c>
      <c r="U8" s="1117">
        <f t="shared" si="1"/>
        <v>0</v>
      </c>
      <c r="V8" s="1116" t="s">
        <v>1452</v>
      </c>
      <c r="W8" s="1117">
        <f t="shared" si="2"/>
        <v>0</v>
      </c>
      <c r="X8" s="1118"/>
      <c r="Y8" s="3459" t="s">
        <v>1455</v>
      </c>
      <c r="Z8" s="3461"/>
      <c r="AA8" s="1130" t="e">
        <f t="shared" ref="AA8:AA40" si="3">D8/F8</f>
        <v>#DIV/0!</v>
      </c>
      <c r="AB8" s="1130" t="e">
        <f t="shared" ref="AB8:AB40" si="4">D8/H8</f>
        <v>#DIV/0!</v>
      </c>
      <c r="AC8" s="1130" t="e">
        <f t="shared" ref="AC8:AC40" si="5">D8/J8</f>
        <v>#DIV/0!</v>
      </c>
    </row>
    <row r="9" spans="1:29" s="905" customFormat="1">
      <c r="A9" s="938" t="s">
        <v>1456</v>
      </c>
      <c r="B9" s="939" t="s">
        <v>1457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2" t="s">
        <v>1458</v>
      </c>
      <c r="Q9" s="1120" t="str">
        <f t="shared" ref="Q9:Q15" si="6">B9</f>
        <v>用途</v>
      </c>
      <c r="R9" s="1116" t="s">
        <v>1452</v>
      </c>
      <c r="S9" s="1117">
        <f t="shared" si="0"/>
        <v>100</v>
      </c>
      <c r="T9" s="1116" t="s">
        <v>1452</v>
      </c>
      <c r="U9" s="1117">
        <f t="shared" si="1"/>
        <v>100</v>
      </c>
      <c r="V9" s="1116" t="s">
        <v>1452</v>
      </c>
      <c r="W9" s="1117">
        <f t="shared" si="2"/>
        <v>100</v>
      </c>
      <c r="X9" s="1118"/>
      <c r="Y9" s="3395" t="s">
        <v>1459</v>
      </c>
      <c r="Z9" s="1131" t="str">
        <f t="shared" ref="Z9:Z15" si="7">Q9</f>
        <v>用途</v>
      </c>
      <c r="AA9" s="1130">
        <f t="shared" si="3"/>
        <v>1</v>
      </c>
      <c r="AB9" s="1130">
        <f t="shared" si="4"/>
        <v>1</v>
      </c>
      <c r="AC9" s="1130">
        <f t="shared" si="5"/>
        <v>1</v>
      </c>
    </row>
    <row r="10" spans="1:29" s="906" customFormat="1" ht="27">
      <c r="A10" s="942"/>
      <c r="B10" s="943" t="s">
        <v>1460</v>
      </c>
      <c r="C10" s="944"/>
      <c r="D10" s="945">
        <v>100</v>
      </c>
      <c r="E10" s="944"/>
      <c r="F10" s="945">
        <f>ROUND(100/'数据-取费表'!G16,0)</f>
        <v>114</v>
      </c>
      <c r="G10" s="944"/>
      <c r="H10" s="945">
        <f>ROUND(100/'数据-取费表'!G16,0)</f>
        <v>114</v>
      </c>
      <c r="I10" s="944"/>
      <c r="J10" s="945">
        <f>ROUND(100/'数据-取费表'!G16,0)</f>
        <v>114</v>
      </c>
      <c r="K10" s="1078"/>
      <c r="L10" s="1079"/>
      <c r="M10" s="1080"/>
      <c r="N10" s="1080"/>
      <c r="O10" s="1081"/>
      <c r="P10" s="3462"/>
      <c r="Q10" s="1120" t="str">
        <f t="shared" si="6"/>
        <v>土地使用年限（年）</v>
      </c>
      <c r="R10" s="1116" t="s">
        <v>1452</v>
      </c>
      <c r="S10" s="1117">
        <f t="shared" si="0"/>
        <v>114</v>
      </c>
      <c r="T10" s="1116" t="s">
        <v>1452</v>
      </c>
      <c r="U10" s="1117">
        <f t="shared" si="1"/>
        <v>114</v>
      </c>
      <c r="V10" s="1116" t="s">
        <v>1452</v>
      </c>
      <c r="W10" s="1117">
        <f t="shared" si="2"/>
        <v>114</v>
      </c>
      <c r="X10" s="1118"/>
      <c r="Y10" s="3395"/>
      <c r="Z10" s="1131" t="str">
        <f t="shared" si="7"/>
        <v>土地使用年限（年）</v>
      </c>
      <c r="AA10" s="1130">
        <f t="shared" si="3"/>
        <v>0.87719298245613997</v>
      </c>
      <c r="AB10" s="1130">
        <f t="shared" si="4"/>
        <v>0.87719298245613997</v>
      </c>
      <c r="AC10" s="1130">
        <f t="shared" si="5"/>
        <v>0.87719298245613997</v>
      </c>
    </row>
    <row r="11" spans="1:29" ht="15">
      <c r="A11" s="946"/>
      <c r="B11" s="943" t="s">
        <v>1461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2"/>
      <c r="Q11" s="1120" t="str">
        <f t="shared" si="6"/>
        <v>容积率</v>
      </c>
      <c r="R11" s="1116" t="s">
        <v>1452</v>
      </c>
      <c r="S11" s="1117" t="e">
        <f t="shared" si="0"/>
        <v>#N/A</v>
      </c>
      <c r="T11" s="1116" t="s">
        <v>1452</v>
      </c>
      <c r="U11" s="1117" t="e">
        <f t="shared" si="1"/>
        <v>#N/A</v>
      </c>
      <c r="V11" s="1116" t="s">
        <v>1452</v>
      </c>
      <c r="W11" s="1117" t="e">
        <f t="shared" si="2"/>
        <v>#N/A</v>
      </c>
      <c r="X11" s="1118"/>
      <c r="Y11" s="3395"/>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2"/>
      <c r="Q12" s="1120">
        <f t="shared" si="6"/>
        <v>111</v>
      </c>
      <c r="R12" s="1116" t="s">
        <v>1452</v>
      </c>
      <c r="S12" s="1117">
        <f t="shared" si="0"/>
        <v>100</v>
      </c>
      <c r="T12" s="1116" t="s">
        <v>1452</v>
      </c>
      <c r="U12" s="1117">
        <f t="shared" si="1"/>
        <v>100</v>
      </c>
      <c r="V12" s="1116" t="s">
        <v>1452</v>
      </c>
      <c r="W12" s="1117">
        <f t="shared" si="2"/>
        <v>100</v>
      </c>
      <c r="X12" s="1118"/>
      <c r="Y12" s="3395"/>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2"/>
      <c r="Q13" s="1120">
        <f t="shared" si="6"/>
        <v>111</v>
      </c>
      <c r="R13" s="1116" t="s">
        <v>1452</v>
      </c>
      <c r="S13" s="1117">
        <f t="shared" si="0"/>
        <v>100</v>
      </c>
      <c r="T13" s="1116" t="s">
        <v>1452</v>
      </c>
      <c r="U13" s="1117">
        <f t="shared" si="1"/>
        <v>100</v>
      </c>
      <c r="V13" s="1116" t="s">
        <v>1452</v>
      </c>
      <c r="W13" s="1117">
        <f t="shared" si="2"/>
        <v>100</v>
      </c>
      <c r="X13" s="1118"/>
      <c r="Y13" s="3395"/>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2"/>
      <c r="Q14" s="1120">
        <f t="shared" si="6"/>
        <v>111</v>
      </c>
      <c r="R14" s="1116" t="s">
        <v>1452</v>
      </c>
      <c r="S14" s="1117">
        <f t="shared" si="0"/>
        <v>100</v>
      </c>
      <c r="T14" s="1116" t="s">
        <v>1452</v>
      </c>
      <c r="U14" s="1117">
        <f t="shared" si="1"/>
        <v>100</v>
      </c>
      <c r="V14" s="1116" t="s">
        <v>1452</v>
      </c>
      <c r="W14" s="1117">
        <f t="shared" si="2"/>
        <v>100</v>
      </c>
      <c r="X14" s="1118"/>
      <c r="Y14" s="3395"/>
      <c r="Z14" s="1131">
        <f t="shared" si="7"/>
        <v>111</v>
      </c>
      <c r="AA14" s="1130">
        <f t="shared" si="3"/>
        <v>1</v>
      </c>
      <c r="AB14" s="1130">
        <f t="shared" si="4"/>
        <v>1</v>
      </c>
      <c r="AC14" s="1130">
        <f t="shared" si="5"/>
        <v>1</v>
      </c>
    </row>
    <row r="15" spans="1:29" ht="57">
      <c r="A15" s="960" t="s">
        <v>1462</v>
      </c>
      <c r="B15" s="961" t="s">
        <v>1552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3" t="s">
        <v>1464</v>
      </c>
      <c r="Q15" s="681" t="str">
        <f t="shared" si="6"/>
        <v>产业集聚程度</v>
      </c>
      <c r="R15" s="1121" t="s">
        <v>1452</v>
      </c>
      <c r="S15" s="1122">
        <f t="shared" si="0"/>
        <v>100</v>
      </c>
      <c r="T15" s="1121" t="s">
        <v>1452</v>
      </c>
      <c r="U15" s="1122">
        <f t="shared" si="1"/>
        <v>100</v>
      </c>
      <c r="V15" s="1121" t="s">
        <v>1452</v>
      </c>
      <c r="W15" s="1122">
        <f t="shared" si="2"/>
        <v>100</v>
      </c>
      <c r="X15" s="1115"/>
      <c r="Y15" s="3473" t="s">
        <v>1464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4"/>
      <c r="Q16" s="681"/>
      <c r="R16" s="1121"/>
      <c r="S16" s="1122"/>
      <c r="T16" s="1121"/>
      <c r="U16" s="1122"/>
      <c r="V16" s="1121"/>
      <c r="W16" s="1122"/>
      <c r="X16" s="1115"/>
      <c r="Y16" s="3474"/>
      <c r="Z16" s="1105"/>
      <c r="AA16" s="1132">
        <v>1</v>
      </c>
      <c r="AB16" s="1132">
        <v>1</v>
      </c>
      <c r="AC16" s="1132">
        <v>1</v>
      </c>
    </row>
    <row r="17" spans="1:29" ht="85.5">
      <c r="A17" s="946"/>
      <c r="B17" s="970" t="s">
        <v>1465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4"/>
      <c r="Q17" s="681" t="str">
        <f>B17</f>
        <v>交通便捷度</v>
      </c>
      <c r="R17" s="1121" t="s">
        <v>1452</v>
      </c>
      <c r="S17" s="1122">
        <f>F17</f>
        <v>100</v>
      </c>
      <c r="T17" s="1121" t="s">
        <v>1452</v>
      </c>
      <c r="U17" s="1122">
        <f>H17</f>
        <v>100</v>
      </c>
      <c r="V17" s="1121" t="s">
        <v>1452</v>
      </c>
      <c r="W17" s="1122">
        <f>J17</f>
        <v>100</v>
      </c>
      <c r="X17" s="1115"/>
      <c r="Y17" s="3474"/>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4"/>
      <c r="Q18" s="681"/>
      <c r="R18" s="1121"/>
      <c r="S18" s="1122"/>
      <c r="T18" s="1121"/>
      <c r="U18" s="1122"/>
      <c r="V18" s="1121"/>
      <c r="W18" s="1122"/>
      <c r="X18" s="1115"/>
      <c r="Y18" s="3474"/>
      <c r="Z18" s="1105"/>
      <c r="AA18" s="1132">
        <v>1</v>
      </c>
      <c r="AB18" s="1132">
        <v>1</v>
      </c>
      <c r="AC18" s="1132">
        <v>1</v>
      </c>
    </row>
    <row r="19" spans="1:29" ht="15">
      <c r="A19" s="946"/>
      <c r="B19" s="970" t="s">
        <v>1574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4"/>
      <c r="Q19" s="681" t="str">
        <f t="shared" ref="Q19:Q34" si="8">B19</f>
        <v>区域土地利用方向</v>
      </c>
      <c r="R19" s="1121" t="s">
        <v>1452</v>
      </c>
      <c r="S19" s="1122">
        <f>F19</f>
        <v>100</v>
      </c>
      <c r="T19" s="1121" t="s">
        <v>1452</v>
      </c>
      <c r="U19" s="1122">
        <f>H19</f>
        <v>100</v>
      </c>
      <c r="V19" s="1121" t="s">
        <v>1452</v>
      </c>
      <c r="W19" s="1122">
        <f>J19</f>
        <v>100</v>
      </c>
      <c r="X19" s="1115"/>
      <c r="Y19" s="3474"/>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4"/>
      <c r="Q20" s="681"/>
      <c r="R20" s="1121"/>
      <c r="S20" s="1122"/>
      <c r="T20" s="1121"/>
      <c r="U20" s="1122"/>
      <c r="V20" s="1121"/>
      <c r="W20" s="1122"/>
      <c r="X20" s="1115"/>
      <c r="Y20" s="3474"/>
      <c r="Z20" s="1105"/>
      <c r="AA20" s="1132"/>
      <c r="AB20" s="1132"/>
      <c r="AC20" s="1132"/>
    </row>
    <row r="21" spans="1:29" ht="71.25">
      <c r="A21" s="926"/>
      <c r="B21" s="970" t="s">
        <v>1614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4"/>
      <c r="Q21" s="681" t="str">
        <f t="shared" si="8"/>
        <v>环境状况</v>
      </c>
      <c r="R21" s="1121" t="s">
        <v>1452</v>
      </c>
      <c r="S21" s="1122">
        <f>F21</f>
        <v>100</v>
      </c>
      <c r="T21" s="1121" t="s">
        <v>1452</v>
      </c>
      <c r="U21" s="1122">
        <f>H21</f>
        <v>100</v>
      </c>
      <c r="V21" s="1121" t="s">
        <v>1452</v>
      </c>
      <c r="W21" s="1122">
        <f>J21</f>
        <v>100</v>
      </c>
      <c r="X21" s="1115"/>
      <c r="Y21" s="3474"/>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4"/>
      <c r="Q22" s="681"/>
      <c r="R22" s="1121"/>
      <c r="S22" s="1122"/>
      <c r="T22" s="1121"/>
      <c r="U22" s="1122"/>
      <c r="V22" s="1121"/>
      <c r="W22" s="1122"/>
      <c r="X22" s="1115"/>
      <c r="Y22" s="3474"/>
      <c r="Z22" s="1105"/>
      <c r="AA22" s="1132">
        <v>1</v>
      </c>
      <c r="AB22" s="1132">
        <v>1</v>
      </c>
      <c r="AC22" s="1132">
        <v>1</v>
      </c>
    </row>
    <row r="23" spans="1:29" s="905" customFormat="1" ht="42.75">
      <c r="A23" s="976"/>
      <c r="B23" s="977" t="s">
        <v>1466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4"/>
      <c r="Q23" s="1120" t="str">
        <f t="shared" si="8"/>
        <v>公共配套设施</v>
      </c>
      <c r="R23" s="1116" t="s">
        <v>1452</v>
      </c>
      <c r="S23" s="1117">
        <f>F23</f>
        <v>100</v>
      </c>
      <c r="T23" s="1116" t="s">
        <v>1452</v>
      </c>
      <c r="U23" s="1117">
        <f>H23</f>
        <v>100</v>
      </c>
      <c r="V23" s="1116" t="s">
        <v>1452</v>
      </c>
      <c r="W23" s="1117">
        <f>J23</f>
        <v>100</v>
      </c>
      <c r="X23" s="1118"/>
      <c r="Y23" s="3474"/>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4"/>
      <c r="Q24" s="1120"/>
      <c r="R24" s="1116"/>
      <c r="S24" s="1117"/>
      <c r="T24" s="1116"/>
      <c r="U24" s="1117"/>
      <c r="V24" s="1116"/>
      <c r="W24" s="1117"/>
      <c r="X24" s="1118"/>
      <c r="Y24" s="3474"/>
      <c r="Z24" s="1131"/>
      <c r="AA24" s="1130">
        <v>1</v>
      </c>
      <c r="AB24" s="1130">
        <v>1</v>
      </c>
      <c r="AC24" s="1130">
        <v>1</v>
      </c>
    </row>
    <row r="25" spans="1:29" s="905" customFormat="1" ht="28.5">
      <c r="A25" s="976"/>
      <c r="B25" s="977" t="s">
        <v>1467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4"/>
      <c r="Q25" s="1120" t="str">
        <f t="shared" ref="Q25" si="9">B25</f>
        <v>基础设施水平</v>
      </c>
      <c r="R25" s="1116" t="s">
        <v>1452</v>
      </c>
      <c r="S25" s="1117">
        <f>F25</f>
        <v>100</v>
      </c>
      <c r="T25" s="1116" t="s">
        <v>1452</v>
      </c>
      <c r="U25" s="1117">
        <f>H25</f>
        <v>100</v>
      </c>
      <c r="V25" s="1116" t="s">
        <v>1452</v>
      </c>
      <c r="W25" s="1117">
        <f>J25</f>
        <v>100</v>
      </c>
      <c r="X25" s="1118"/>
      <c r="Y25" s="3474"/>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4"/>
      <c r="Q26" s="1120"/>
      <c r="R26" s="1116"/>
      <c r="S26" s="1117"/>
      <c r="T26" s="1116"/>
      <c r="U26" s="1117"/>
      <c r="V26" s="1116"/>
      <c r="W26" s="1117"/>
      <c r="X26" s="1118"/>
      <c r="Y26" s="3474"/>
      <c r="Z26" s="1131"/>
      <c r="AA26" s="1130">
        <v>1</v>
      </c>
      <c r="AB26" s="1130">
        <v>1</v>
      </c>
      <c r="AC26" s="1130">
        <v>1</v>
      </c>
    </row>
    <row r="27" spans="1:29" ht="15">
      <c r="A27" s="946"/>
      <c r="B27" s="974" t="s">
        <v>1533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4"/>
      <c r="Q27" s="681" t="str">
        <f t="shared" si="8"/>
        <v>临街状况</v>
      </c>
      <c r="R27" s="1121" t="s">
        <v>1452</v>
      </c>
      <c r="S27" s="1122">
        <f t="shared" ref="S27:S40" si="10">F27</f>
        <v>100</v>
      </c>
      <c r="T27" s="1121" t="s">
        <v>1452</v>
      </c>
      <c r="U27" s="1122">
        <f t="shared" ref="U27:U40" si="11">H27</f>
        <v>100</v>
      </c>
      <c r="V27" s="1121" t="s">
        <v>1452</v>
      </c>
      <c r="W27" s="1122">
        <f t="shared" ref="W27:W40" si="12">J27</f>
        <v>100</v>
      </c>
      <c r="X27" s="1115"/>
      <c r="Y27" s="3474"/>
      <c r="Z27" s="1105" t="str">
        <f t="shared" ref="Z27:Z40" si="13">Q27</f>
        <v>临街状况</v>
      </c>
      <c r="AA27" s="1132">
        <f t="shared" si="3"/>
        <v>1</v>
      </c>
      <c r="AB27" s="1132">
        <f t="shared" si="4"/>
        <v>1</v>
      </c>
      <c r="AC27" s="1132">
        <f t="shared" si="5"/>
        <v>1</v>
      </c>
    </row>
    <row r="28" spans="1:29" ht="27">
      <c r="A28" s="946"/>
      <c r="B28" s="977" t="s">
        <v>1547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4"/>
      <c r="Q28" s="681" t="str">
        <f t="shared" si="8"/>
        <v>毗邻道路的类型与等级</v>
      </c>
      <c r="R28" s="1121" t="s">
        <v>1452</v>
      </c>
      <c r="S28" s="1122">
        <f t="shared" si="10"/>
        <v>100</v>
      </c>
      <c r="T28" s="1121" t="s">
        <v>1452</v>
      </c>
      <c r="U28" s="1122">
        <f t="shared" si="11"/>
        <v>100</v>
      </c>
      <c r="V28" s="1121" t="s">
        <v>1452</v>
      </c>
      <c r="W28" s="1122">
        <f t="shared" si="12"/>
        <v>100</v>
      </c>
      <c r="X28" s="1115"/>
      <c r="Y28" s="3474"/>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4"/>
      <c r="Q29" s="681"/>
      <c r="R29" s="1121"/>
      <c r="S29" s="1122"/>
      <c r="T29" s="1121"/>
      <c r="U29" s="1122"/>
      <c r="V29" s="1121"/>
      <c r="W29" s="1122"/>
      <c r="X29" s="1115"/>
      <c r="Y29" s="3474"/>
      <c r="Z29" s="1105"/>
      <c r="AA29" s="1132">
        <v>1</v>
      </c>
      <c r="AB29" s="1132">
        <v>1</v>
      </c>
      <c r="AC29" s="1132">
        <v>1</v>
      </c>
    </row>
    <row r="30" spans="1:29" ht="15">
      <c r="A30" s="946"/>
      <c r="B30" s="983" t="s">
        <v>1576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4"/>
      <c r="Q30" s="681" t="str">
        <f t="shared" si="8"/>
        <v>土地级别</v>
      </c>
      <c r="R30" s="1121" t="s">
        <v>1452</v>
      </c>
      <c r="S30" s="1122">
        <f t="shared" si="10"/>
        <v>100</v>
      </c>
      <c r="T30" s="1121" t="s">
        <v>1452</v>
      </c>
      <c r="U30" s="1122">
        <f t="shared" si="11"/>
        <v>100</v>
      </c>
      <c r="V30" s="1121" t="s">
        <v>1452</v>
      </c>
      <c r="W30" s="1122">
        <f t="shared" si="12"/>
        <v>100</v>
      </c>
      <c r="X30" s="1115"/>
      <c r="Y30" s="3474"/>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4"/>
      <c r="Q31" s="681">
        <f t="shared" si="8"/>
        <v>111</v>
      </c>
      <c r="R31" s="1121" t="s">
        <v>1452</v>
      </c>
      <c r="S31" s="1122">
        <f t="shared" si="10"/>
        <v>100</v>
      </c>
      <c r="T31" s="1121" t="s">
        <v>1452</v>
      </c>
      <c r="U31" s="1122">
        <f t="shared" si="11"/>
        <v>100</v>
      </c>
      <c r="V31" s="1121" t="s">
        <v>1452</v>
      </c>
      <c r="W31" s="1122">
        <f t="shared" si="12"/>
        <v>100</v>
      </c>
      <c r="X31" s="1115"/>
      <c r="Y31" s="3474"/>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8" t="s">
        <v>1473</v>
      </c>
      <c r="Q32" s="681">
        <f t="shared" si="8"/>
        <v>111</v>
      </c>
      <c r="R32" s="1121" t="s">
        <v>1452</v>
      </c>
      <c r="S32" s="1122">
        <f t="shared" si="10"/>
        <v>100</v>
      </c>
      <c r="T32" s="1121" t="s">
        <v>1452</v>
      </c>
      <c r="U32" s="1122">
        <f t="shared" si="11"/>
        <v>100</v>
      </c>
      <c r="V32" s="1121" t="s">
        <v>1452</v>
      </c>
      <c r="W32" s="1122">
        <f t="shared" si="12"/>
        <v>100</v>
      </c>
      <c r="X32" s="1115"/>
      <c r="Y32" s="3475" t="s">
        <v>1473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5"/>
      <c r="Q33" s="681">
        <f t="shared" si="8"/>
        <v>111</v>
      </c>
      <c r="R33" s="1123" t="s">
        <v>1452</v>
      </c>
      <c r="S33" s="1124">
        <f t="shared" si="10"/>
        <v>100</v>
      </c>
      <c r="T33" s="1123" t="s">
        <v>1452</v>
      </c>
      <c r="U33" s="1124">
        <f t="shared" si="11"/>
        <v>100</v>
      </c>
      <c r="V33" s="1123" t="s">
        <v>1452</v>
      </c>
      <c r="W33" s="1124">
        <f t="shared" si="12"/>
        <v>100</v>
      </c>
      <c r="X33" s="1125"/>
      <c r="Y33" s="3475"/>
      <c r="Z33" s="1133">
        <f t="shared" si="13"/>
        <v>111</v>
      </c>
      <c r="AA33" s="1132">
        <f t="shared" si="3"/>
        <v>1</v>
      </c>
      <c r="AB33" s="1132">
        <f t="shared" si="4"/>
        <v>1</v>
      </c>
      <c r="AC33" s="1132">
        <f t="shared" si="5"/>
        <v>1</v>
      </c>
    </row>
    <row r="34" spans="1:31" ht="15">
      <c r="A34" s="960" t="s">
        <v>1471</v>
      </c>
      <c r="B34" s="994" t="s">
        <v>1577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5"/>
      <c r="Q34" s="681" t="str">
        <f t="shared" si="8"/>
        <v>宗地面积</v>
      </c>
      <c r="R34" s="1121" t="s">
        <v>1452</v>
      </c>
      <c r="S34" s="1122" t="e">
        <f t="shared" si="10"/>
        <v>#N/A</v>
      </c>
      <c r="T34" s="1121" t="s">
        <v>1452</v>
      </c>
      <c r="U34" s="1122" t="e">
        <f t="shared" si="11"/>
        <v>#N/A</v>
      </c>
      <c r="V34" s="1121" t="s">
        <v>1452</v>
      </c>
      <c r="W34" s="1122" t="e">
        <f t="shared" si="12"/>
        <v>#N/A</v>
      </c>
      <c r="X34" s="1115"/>
      <c r="Y34" s="3475"/>
      <c r="Z34" s="1105" t="str">
        <f t="shared" si="13"/>
        <v>宗地面积</v>
      </c>
      <c r="AA34" s="1132" t="e">
        <f t="shared" si="3"/>
        <v>#N/A</v>
      </c>
      <c r="AB34" s="1132" t="e">
        <f t="shared" si="4"/>
        <v>#N/A</v>
      </c>
      <c r="AC34" s="1132" t="e">
        <f t="shared" si="5"/>
        <v>#N/A</v>
      </c>
    </row>
    <row r="35" spans="1:31" ht="15">
      <c r="A35" s="997"/>
      <c r="B35" s="943" t="s">
        <v>1578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5"/>
      <c r="Q35" s="681" t="str">
        <f t="shared" ref="Q35:Q40" si="14">B35</f>
        <v>宗地形状</v>
      </c>
      <c r="R35" s="1121" t="s">
        <v>1452</v>
      </c>
      <c r="S35" s="1122">
        <f t="shared" si="10"/>
        <v>100</v>
      </c>
      <c r="T35" s="1121" t="s">
        <v>1452</v>
      </c>
      <c r="U35" s="1122">
        <f t="shared" si="11"/>
        <v>100</v>
      </c>
      <c r="V35" s="1121" t="s">
        <v>1452</v>
      </c>
      <c r="W35" s="1122">
        <f t="shared" si="12"/>
        <v>100</v>
      </c>
      <c r="X35" s="1115"/>
      <c r="Y35" s="3475"/>
      <c r="Z35" s="1105" t="str">
        <f t="shared" si="13"/>
        <v>宗地形状</v>
      </c>
      <c r="AA35" s="1132">
        <f t="shared" si="3"/>
        <v>1</v>
      </c>
      <c r="AB35" s="1132">
        <f t="shared" si="4"/>
        <v>1</v>
      </c>
      <c r="AC35" s="1132">
        <f t="shared" si="5"/>
        <v>1</v>
      </c>
    </row>
    <row r="36" spans="1:31" s="905" customFormat="1" ht="15">
      <c r="A36" s="999"/>
      <c r="B36" s="943" t="s">
        <v>1580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5"/>
      <c r="Q36" s="681" t="str">
        <f t="shared" si="14"/>
        <v>宗地开发程度</v>
      </c>
      <c r="R36" s="1116" t="s">
        <v>1452</v>
      </c>
      <c r="S36" s="1117">
        <f t="shared" si="10"/>
        <v>100</v>
      </c>
      <c r="T36" s="1116" t="s">
        <v>1452</v>
      </c>
      <c r="U36" s="1117">
        <f t="shared" si="11"/>
        <v>100</v>
      </c>
      <c r="V36" s="1116" t="s">
        <v>1452</v>
      </c>
      <c r="W36" s="1117">
        <f t="shared" si="12"/>
        <v>100</v>
      </c>
      <c r="X36" s="1118"/>
      <c r="Y36" s="3475"/>
      <c r="Z36" s="1131" t="str">
        <f t="shared" si="13"/>
        <v>宗地开发程度</v>
      </c>
      <c r="AA36" s="1130">
        <f t="shared" si="3"/>
        <v>1</v>
      </c>
      <c r="AB36" s="1130">
        <f t="shared" si="4"/>
        <v>1</v>
      </c>
      <c r="AC36" s="1130">
        <f t="shared" si="5"/>
        <v>1</v>
      </c>
    </row>
    <row r="37" spans="1:31" ht="15">
      <c r="A37" s="997"/>
      <c r="B37" s="943" t="s">
        <v>1581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5" t="s">
        <v>1473</v>
      </c>
      <c r="Q37" s="681" t="str">
        <f t="shared" si="14"/>
        <v>工程地质条件</v>
      </c>
      <c r="R37" s="1121" t="s">
        <v>1452</v>
      </c>
      <c r="S37" s="1122">
        <f t="shared" si="10"/>
        <v>100</v>
      </c>
      <c r="T37" s="1121" t="s">
        <v>1452</v>
      </c>
      <c r="U37" s="1122">
        <f t="shared" si="11"/>
        <v>100</v>
      </c>
      <c r="V37" s="1121" t="s">
        <v>1452</v>
      </c>
      <c r="W37" s="1122">
        <f t="shared" si="12"/>
        <v>100</v>
      </c>
      <c r="X37" s="1115"/>
      <c r="Y37" s="3475" t="s">
        <v>1473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5"/>
      <c r="Q38" s="681">
        <f t="shared" si="14"/>
        <v>111</v>
      </c>
      <c r="R38" s="1121" t="s">
        <v>1452</v>
      </c>
      <c r="S38" s="1122">
        <f t="shared" si="10"/>
        <v>100</v>
      </c>
      <c r="T38" s="1121" t="s">
        <v>1452</v>
      </c>
      <c r="U38" s="1122">
        <f t="shared" si="11"/>
        <v>100</v>
      </c>
      <c r="V38" s="1121" t="s">
        <v>1452</v>
      </c>
      <c r="W38" s="1122">
        <f t="shared" si="12"/>
        <v>100</v>
      </c>
      <c r="X38" s="1115"/>
      <c r="Y38" s="3475"/>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5"/>
      <c r="Q39" s="681">
        <f t="shared" si="14"/>
        <v>111</v>
      </c>
      <c r="R39" s="1121" t="s">
        <v>1452</v>
      </c>
      <c r="S39" s="1122">
        <f t="shared" si="10"/>
        <v>100</v>
      </c>
      <c r="T39" s="1121" t="s">
        <v>1452</v>
      </c>
      <c r="U39" s="1122">
        <f t="shared" si="11"/>
        <v>100</v>
      </c>
      <c r="V39" s="1121" t="s">
        <v>1452</v>
      </c>
      <c r="W39" s="1122">
        <f t="shared" si="12"/>
        <v>100</v>
      </c>
      <c r="X39" s="1115"/>
      <c r="Y39" s="3475"/>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5"/>
      <c r="Q40" s="681">
        <f t="shared" si="14"/>
        <v>111</v>
      </c>
      <c r="R40" s="1123" t="s">
        <v>1452</v>
      </c>
      <c r="S40" s="1124">
        <f t="shared" si="10"/>
        <v>100</v>
      </c>
      <c r="T40" s="1123" t="s">
        <v>1452</v>
      </c>
      <c r="U40" s="1124">
        <f t="shared" si="11"/>
        <v>100</v>
      </c>
      <c r="V40" s="1123" t="s">
        <v>1452</v>
      </c>
      <c r="W40" s="1124">
        <f t="shared" si="12"/>
        <v>100</v>
      </c>
      <c r="X40" s="1125"/>
      <c r="Y40" s="3475"/>
      <c r="Z40" s="1133">
        <f t="shared" si="13"/>
        <v>111</v>
      </c>
      <c r="AA40" s="1132">
        <f t="shared" si="3"/>
        <v>1</v>
      </c>
      <c r="AB40" s="1132">
        <f t="shared" si="4"/>
        <v>1</v>
      </c>
      <c r="AC40" s="1132">
        <f t="shared" si="5"/>
        <v>1</v>
      </c>
    </row>
    <row r="41" spans="1:31" ht="15">
      <c r="A41" s="1004" t="s">
        <v>1564</v>
      </c>
      <c r="B41" s="1005" t="s">
        <v>1615</v>
      </c>
      <c r="C41" s="1006" t="s">
        <v>124</v>
      </c>
      <c r="D41" s="1007"/>
      <c r="E41" s="1008"/>
      <c r="F41" s="1009"/>
      <c r="G41" s="1010"/>
      <c r="H41" s="1011"/>
      <c r="I41" s="1008"/>
      <c r="J41" s="1011"/>
      <c r="K41" s="1096"/>
      <c r="L41" s="1097"/>
      <c r="M41" s="1073"/>
      <c r="N41" s="1073"/>
      <c r="O41" s="1021"/>
      <c r="P41" s="3462" t="str">
        <f>A41</f>
        <v>成交单价</v>
      </c>
      <c r="Q41" s="3462"/>
      <c r="R41" s="3492">
        <f>E41</f>
        <v>0</v>
      </c>
      <c r="S41" s="3492"/>
      <c r="T41" s="3492">
        <f>G41</f>
        <v>0</v>
      </c>
      <c r="U41" s="3492"/>
      <c r="V41" s="3492">
        <f>I41</f>
        <v>0</v>
      </c>
      <c r="W41" s="3492"/>
      <c r="X41" s="1061"/>
      <c r="Y41" s="1134"/>
      <c r="Z41" s="1061"/>
      <c r="AA41" s="1061"/>
      <c r="AB41" s="1061"/>
      <c r="AC41" s="1061"/>
    </row>
    <row r="42" spans="1:31" ht="15">
      <c r="A42" s="1012" t="s">
        <v>1485</v>
      </c>
      <c r="B42" s="1013"/>
      <c r="C42" s="1014" t="e">
        <f>R43</f>
        <v>#DIV/0!</v>
      </c>
      <c r="D42" s="1015" t="s">
        <v>1486</v>
      </c>
      <c r="E42" s="1014" t="e">
        <f>R42</f>
        <v>#DIV/0!</v>
      </c>
      <c r="F42" s="1016"/>
      <c r="G42" s="1017" t="e">
        <f>T42</f>
        <v>#DIV/0!</v>
      </c>
      <c r="H42" s="1016"/>
      <c r="I42" s="1014" t="e">
        <f>V42</f>
        <v>#DIV/0!</v>
      </c>
      <c r="J42" s="1016"/>
      <c r="K42" s="1098">
        <f>F42+H42+J42</f>
        <v>0</v>
      </c>
      <c r="L42" s="1097"/>
      <c r="M42" s="1073"/>
      <c r="N42" s="1073"/>
      <c r="O42" s="1021"/>
      <c r="P42" s="3462" t="str">
        <f>A42</f>
        <v>比较价值（元/平方米）</v>
      </c>
      <c r="Q42" s="3462"/>
      <c r="R42" s="3510" t="e">
        <f>ROUND(PRODUCT(R41,AA7:AA40),0)</f>
        <v>#DIV/0!</v>
      </c>
      <c r="S42" s="3510"/>
      <c r="T42" s="3510" t="e">
        <f>ROUND(PRODUCT(T41,AB7:AB40),0)</f>
        <v>#DIV/0!</v>
      </c>
      <c r="U42" s="3510"/>
      <c r="V42" s="3510" t="e">
        <f>ROUND(PRODUCT(V41,AC7:AC40),0)</f>
        <v>#DIV/0!</v>
      </c>
      <c r="W42" s="3510"/>
      <c r="X42" s="1061"/>
      <c r="Y42" s="1061"/>
      <c r="Z42" s="1061"/>
      <c r="AA42" s="1061"/>
      <c r="AB42" s="1061"/>
      <c r="AC42" s="1061"/>
    </row>
    <row r="43" spans="1:31" ht="15">
      <c r="A43" s="1018" t="s">
        <v>1487</v>
      </c>
      <c r="B43" s="1019"/>
      <c r="C43" s="1020" t="e">
        <f>R43</f>
        <v>#DIV/0!</v>
      </c>
      <c r="D43" s="1020"/>
      <c r="E43" s="1020"/>
      <c r="F43" s="1020"/>
      <c r="G43" s="1020"/>
      <c r="H43" s="1020"/>
      <c r="I43" s="1020"/>
      <c r="J43" s="1020"/>
      <c r="K43" s="1099"/>
      <c r="L43" s="1097"/>
      <c r="M43" s="1073"/>
      <c r="N43" s="1073"/>
      <c r="O43" s="1021"/>
      <c r="P43" s="3464" t="str">
        <f>A43</f>
        <v>估价对象XX用房的比较价值（楼面单价，元/平方米）</v>
      </c>
      <c r="Q43" s="3465"/>
      <c r="R43" s="3511" t="e">
        <f>ROUND(IF(D42="简单平均",AVERAGE(R42:W42),R42*F42+T42*H42+V42*J42),0)</f>
        <v>#DIV/0!</v>
      </c>
      <c r="S43" s="3511"/>
      <c r="T43" s="3511"/>
      <c r="U43" s="3511"/>
      <c r="V43" s="3511"/>
      <c r="W43" s="351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1488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1489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1490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1584</v>
      </c>
      <c r="B50" s="1031" t="s">
        <v>1585</v>
      </c>
      <c r="C50" s="1032" t="s">
        <v>1586</v>
      </c>
      <c r="D50" s="1033" t="s">
        <v>1587</v>
      </c>
      <c r="E50" s="1034" t="s">
        <v>1588</v>
      </c>
      <c r="F50" s="1035" t="s">
        <v>1589</v>
      </c>
      <c r="G50" s="3447" t="s">
        <v>1590</v>
      </c>
      <c r="H50" s="3512"/>
      <c r="I50" s="1105" t="s">
        <v>1616</v>
      </c>
      <c r="J50" s="1105">
        <f>项目基本情况!F35</f>
        <v>0</v>
      </c>
      <c r="K50" s="1106" t="s">
        <v>1592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1593</v>
      </c>
      <c r="B51" s="1037" t="e">
        <f>C43</f>
        <v>#DIV/0!</v>
      </c>
      <c r="C51" s="1038">
        <v>1</v>
      </c>
      <c r="D51" s="1039">
        <v>1</v>
      </c>
      <c r="E51" s="1038">
        <f>'数据-汇总表'!E8+'数据-汇总表'!E9</f>
        <v>10004.18</v>
      </c>
      <c r="F51" s="1040" t="e">
        <f t="shared" ref="F51:F60" si="15">ROUND(B51*E51/10000,0)</f>
        <v>#DIV/0!</v>
      </c>
      <c r="G51" s="3467"/>
      <c r="H51" s="346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1594</v>
      </c>
      <c r="B52" s="167" t="e">
        <f>ROUND($C$43*C52*D52,0)</f>
        <v>#DIV/0!</v>
      </c>
      <c r="C52" s="626">
        <f t="shared" ref="C52:C60" si="16">IF($C$50="北京市系数",I52,J52)</f>
        <v>0</v>
      </c>
      <c r="D52" s="1042">
        <v>0.25</v>
      </c>
      <c r="E52" s="1043"/>
      <c r="F52" s="1040" t="e">
        <f t="shared" si="15"/>
        <v>#DIV/0!</v>
      </c>
      <c r="G52" s="1044" t="s">
        <v>1595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1596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1597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1598</v>
      </c>
      <c r="B56" s="167" t="e">
        <f t="shared" si="17"/>
        <v>#DIV/0!</v>
      </c>
      <c r="C56" s="626">
        <f t="shared" si="16"/>
        <v>0</v>
      </c>
      <c r="D56" s="1042">
        <v>0.25</v>
      </c>
      <c r="E56" s="166">
        <f>'数据-汇总表'!E11</f>
        <v>0</v>
      </c>
      <c r="F56" s="1040" t="e">
        <f t="shared" si="15"/>
        <v>#DIV/0!</v>
      </c>
      <c r="G56" s="1048" t="s">
        <v>1599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1600</v>
      </c>
      <c r="B57" s="167" t="e">
        <f t="shared" si="17"/>
        <v>#DIV/0!</v>
      </c>
      <c r="C57" s="626">
        <f t="shared" si="16"/>
        <v>0</v>
      </c>
      <c r="D57" s="1042">
        <v>0.25</v>
      </c>
      <c r="E57" s="166">
        <f>'数据-汇总表'!E12</f>
        <v>1394.4</v>
      </c>
      <c r="F57" s="1040" t="e">
        <f t="shared" si="15"/>
        <v>#DIV/0!</v>
      </c>
      <c r="G57" s="1049" t="s">
        <v>1601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1602</v>
      </c>
      <c r="B58" s="167" t="e">
        <f t="shared" si="17"/>
        <v>#DIV/0!</v>
      </c>
      <c r="C58" s="626">
        <f t="shared" si="16"/>
        <v>0</v>
      </c>
      <c r="D58" s="1042">
        <v>0.25</v>
      </c>
      <c r="E58" s="166">
        <f>'数据-汇总表'!E13</f>
        <v>0</v>
      </c>
      <c r="F58" s="1040" t="e">
        <f t="shared" si="15"/>
        <v>#DIV/0!</v>
      </c>
      <c r="G58" s="1049" t="s">
        <v>1603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1604</v>
      </c>
      <c r="B59" s="167" t="e">
        <f t="shared" si="17"/>
        <v>#DIV/0!</v>
      </c>
      <c r="C59" s="626">
        <f t="shared" si="16"/>
        <v>0</v>
      </c>
      <c r="D59" s="1042">
        <v>0.25</v>
      </c>
      <c r="E59" s="166">
        <f>'数据-汇总表'!E14</f>
        <v>0</v>
      </c>
      <c r="F59" s="1040" t="e">
        <f t="shared" si="15"/>
        <v>#DIV/0!</v>
      </c>
      <c r="G59" s="1048" t="s">
        <v>1595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1605</v>
      </c>
      <c r="B60" s="167" t="e">
        <f t="shared" si="17"/>
        <v>#DIV/0!</v>
      </c>
      <c r="C60" s="626">
        <f t="shared" si="16"/>
        <v>0</v>
      </c>
      <c r="D60" s="1042">
        <v>0.25</v>
      </c>
      <c r="E60" s="166">
        <f>'数据-汇总表'!E15</f>
        <v>0</v>
      </c>
      <c r="F60" s="1040" t="e">
        <f t="shared" si="15"/>
        <v>#DIV/0!</v>
      </c>
      <c r="G60" s="1050" t="s">
        <v>1599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1606</v>
      </c>
      <c r="B61" s="1053" t="s">
        <v>1542</v>
      </c>
      <c r="C61" s="1053" t="s">
        <v>1542</v>
      </c>
      <c r="D61" s="1053" t="s">
        <v>1542</v>
      </c>
      <c r="E61" s="1053">
        <f>IF(B41="楼面地价",SUM(E51:E60),'数据-汇总表'!D3)</f>
        <v>3431.42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2022-11-1</v>
      </c>
      <c r="D63" s="1059">
        <f>EDATE(C63,-3)</f>
        <v>44774</v>
      </c>
      <c r="E63" s="1059">
        <f>EDATE(D63,-3)</f>
        <v>44682</v>
      </c>
      <c r="F63" s="1059">
        <f t="shared" ref="F63:O63" si="18">EDATE(E63,-3)</f>
        <v>44593</v>
      </c>
      <c r="G63" s="1059">
        <f t="shared" si="18"/>
        <v>44501</v>
      </c>
      <c r="H63" s="1059">
        <f t="shared" si="18"/>
        <v>44409</v>
      </c>
      <c r="I63" s="1059">
        <f t="shared" si="18"/>
        <v>44317</v>
      </c>
      <c r="J63" s="1059">
        <f t="shared" si="18"/>
        <v>44228</v>
      </c>
      <c r="K63" s="1059">
        <f t="shared" si="18"/>
        <v>44136</v>
      </c>
      <c r="L63" s="1059">
        <f t="shared" si="18"/>
        <v>44044</v>
      </c>
      <c r="M63" s="1059">
        <f t="shared" si="18"/>
        <v>43952</v>
      </c>
      <c r="N63" s="1059">
        <f t="shared" si="18"/>
        <v>43862</v>
      </c>
      <c r="O63" s="1059">
        <f t="shared" si="18"/>
        <v>43770</v>
      </c>
      <c r="P63" s="1021"/>
      <c r="Q63" s="1021"/>
      <c r="R63" s="1021"/>
      <c r="S63" s="1021"/>
      <c r="T63" s="1021"/>
      <c r="U63" s="1021"/>
      <c r="V63" s="1021"/>
      <c r="W63" s="1021"/>
      <c r="X63" s="1021"/>
      <c r="Y63" s="1021"/>
      <c r="Z63" s="1021"/>
      <c r="AA63" s="1021"/>
      <c r="AB63" s="1021"/>
      <c r="AC63" s="1021"/>
      <c r="AD63" s="1021"/>
      <c r="AE63" s="1021"/>
    </row>
    <row r="64" spans="1:31" ht="21">
      <c r="A64" s="1060" t="s">
        <v>1491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1607</v>
      </c>
      <c r="B65" s="1136"/>
      <c r="C65" s="1137" t="str">
        <f>YEAR(C63)&amp;"-"&amp;ROUNDUP(MONTH(C63)/3,0)</f>
        <v>2022-4</v>
      </c>
      <c r="D65" s="1137" t="str">
        <f t="shared" ref="D65:O65" si="19">YEAR(D63)&amp;"-"&amp;ROUNDUP(MONTH(D63)/3,0)</f>
        <v>2022-3</v>
      </c>
      <c r="E65" s="1137" t="str">
        <f t="shared" si="19"/>
        <v>2022-2</v>
      </c>
      <c r="F65" s="1137" t="str">
        <f t="shared" si="19"/>
        <v>2022-1</v>
      </c>
      <c r="G65" s="1137" t="str">
        <f t="shared" si="19"/>
        <v>2021-4</v>
      </c>
      <c r="H65" s="1137" t="str">
        <f t="shared" si="19"/>
        <v>2021-3</v>
      </c>
      <c r="I65" s="1137" t="str">
        <f t="shared" si="19"/>
        <v>2021-2</v>
      </c>
      <c r="J65" s="1137" t="str">
        <f t="shared" si="19"/>
        <v>2021-1</v>
      </c>
      <c r="K65" s="1137" t="str">
        <f t="shared" si="19"/>
        <v>2020-4</v>
      </c>
      <c r="L65" s="1137" t="str">
        <f t="shared" si="19"/>
        <v>2020-3</v>
      </c>
      <c r="M65" s="1137" t="str">
        <f t="shared" si="19"/>
        <v>2020-2</v>
      </c>
      <c r="N65" s="1137" t="str">
        <f t="shared" si="19"/>
        <v>2020-1</v>
      </c>
      <c r="O65" s="1137" t="str">
        <f t="shared" si="19"/>
        <v>2019-4</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1617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1492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1453</v>
      </c>
      <c r="B68" s="1146"/>
      <c r="C68" s="1147" t="s">
        <v>1454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1493</v>
      </c>
      <c r="B70" s="1152" t="s">
        <v>1457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1460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1461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1462</v>
      </c>
      <c r="B83" s="1152" t="s">
        <v>1552</v>
      </c>
      <c r="C83" s="1173" t="s">
        <v>1501</v>
      </c>
      <c r="D83" s="1173" t="s">
        <v>1502</v>
      </c>
      <c r="E83" s="1173" t="s">
        <v>1503</v>
      </c>
      <c r="F83" s="1173" t="s">
        <v>1504</v>
      </c>
      <c r="G83" s="1173" t="s">
        <v>1505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1465</v>
      </c>
      <c r="C85" s="1175" t="s">
        <v>1501</v>
      </c>
      <c r="D85" s="1175" t="s">
        <v>1502</v>
      </c>
      <c r="E85" s="1175" t="s">
        <v>1503</v>
      </c>
      <c r="F85" s="1175" t="s">
        <v>1504</v>
      </c>
      <c r="G85" s="1175" t="s">
        <v>1505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1574</v>
      </c>
      <c r="C87" s="1173" t="s">
        <v>1501</v>
      </c>
      <c r="D87" s="1173" t="s">
        <v>1502</v>
      </c>
      <c r="E87" s="1173" t="s">
        <v>1503</v>
      </c>
      <c r="F87" s="1173" t="s">
        <v>1504</v>
      </c>
      <c r="G87" s="1173" t="s">
        <v>1505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1575</v>
      </c>
      <c r="C89" s="1173" t="s">
        <v>1501</v>
      </c>
      <c r="D89" s="1173" t="s">
        <v>1502</v>
      </c>
      <c r="E89" s="1173" t="s">
        <v>1503</v>
      </c>
      <c r="F89" s="1173" t="s">
        <v>1504</v>
      </c>
      <c r="G89" s="1173" t="s">
        <v>1505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1466</v>
      </c>
      <c r="C91" s="1173" t="s">
        <v>1501</v>
      </c>
      <c r="D91" s="1173" t="s">
        <v>1502</v>
      </c>
      <c r="E91" s="1173" t="s">
        <v>1503</v>
      </c>
      <c r="F91" s="1173" t="s">
        <v>1504</v>
      </c>
      <c r="G91" s="1173" t="s">
        <v>1505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1467</v>
      </c>
      <c r="C93" s="1180" t="s">
        <v>1506</v>
      </c>
      <c r="D93" s="1180" t="s">
        <v>1507</v>
      </c>
      <c r="E93" s="1180" t="s">
        <v>1508</v>
      </c>
      <c r="F93" s="1180" t="s">
        <v>1509</v>
      </c>
      <c r="G93" s="1180" t="s">
        <v>1510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1609</v>
      </c>
      <c r="D95" s="1157" t="s">
        <v>1610</v>
      </c>
      <c r="E95" s="1157" t="s">
        <v>1611</v>
      </c>
      <c r="F95" s="1157" t="s">
        <v>1612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1576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1471</v>
      </c>
      <c r="B107" s="1152" t="s">
        <v>1577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1578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1580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1581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1618</v>
      </c>
      <c r="B1" s="147"/>
      <c r="C1" s="150" t="s">
        <v>1436</v>
      </c>
      <c r="D1" s="592">
        <f>SUM(D29:D30,D33:D39)</f>
        <v>0</v>
      </c>
      <c r="E1" s="593"/>
      <c r="F1" s="593"/>
      <c r="G1" s="593"/>
      <c r="H1" s="593"/>
      <c r="I1" s="593"/>
      <c r="J1" s="593"/>
      <c r="K1" s="585"/>
      <c r="L1" s="763" t="s">
        <v>1619</v>
      </c>
      <c r="M1" s="764">
        <f>SUMPRODUCT((区片价!B5:B9=I2)*(区片价!C3:F3=E2)*(区片价!C5:F9))</f>
        <v>0</v>
      </c>
      <c r="N1" s="765">
        <f>SUMPRODUCT((因素修正幅度!B5:B9=I2)*(因素修正幅度!C3:F3=E2)*(因素修正幅度!C5:F9))</f>
        <v>0</v>
      </c>
      <c r="O1" s="586"/>
      <c r="P1" s="586"/>
      <c r="Q1" s="585"/>
      <c r="R1" s="844" t="s">
        <v>1620</v>
      </c>
      <c r="S1" s="844" t="s">
        <v>1621</v>
      </c>
      <c r="T1" s="844" t="s">
        <v>1622</v>
      </c>
      <c r="U1" s="844" t="s">
        <v>1623</v>
      </c>
      <c r="V1" s="844" t="s">
        <v>1624</v>
      </c>
      <c r="W1" s="845"/>
      <c r="X1" s="845"/>
      <c r="Y1" s="845"/>
      <c r="Z1" s="845"/>
      <c r="AA1" s="845"/>
      <c r="AB1" s="845"/>
      <c r="AC1" s="853"/>
      <c r="AD1" s="854"/>
      <c r="AE1" s="854"/>
      <c r="AF1" s="854"/>
      <c r="AG1" s="854"/>
      <c r="AH1" s="854"/>
      <c r="AI1" s="854"/>
      <c r="AJ1" s="864"/>
    </row>
    <row r="2" spans="1:36" ht="15.75">
      <c r="A2" s="150" t="s">
        <v>945</v>
      </c>
      <c r="B2" s="154" t="e">
        <f>C26</f>
        <v>#DIV/0!</v>
      </c>
      <c r="C2" s="594" t="s">
        <v>946</v>
      </c>
      <c r="D2" s="595" t="s">
        <v>1625</v>
      </c>
      <c r="E2" s="596"/>
      <c r="F2" s="595" t="s">
        <v>1626</v>
      </c>
      <c r="G2" s="597">
        <f>IF(E2="商业",项目基本情况!B37,IF(E2="办公",项目基本情况!C37,IF(E2="住宅",项目基本情况!D37,项目基本情况!E37)))</f>
        <v>0</v>
      </c>
      <c r="H2" s="595" t="s">
        <v>1627</v>
      </c>
      <c r="I2" s="597">
        <f>IF(E2="商业",项目基本情况!B38,IF(E2="办公",项目基本情况!C38,IF(E2="住宅",项目基本情况!D38,项目基本情况!E38)))</f>
        <v>0</v>
      </c>
      <c r="J2" s="766"/>
      <c r="K2" s="585"/>
      <c r="L2" s="767" t="s">
        <v>1628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947</v>
      </c>
      <c r="B3" s="154" t="e">
        <f>ROUND(B2*10000/D1,0)</f>
        <v>#DIV/0!</v>
      </c>
      <c r="C3" s="594" t="s">
        <v>948</v>
      </c>
      <c r="D3" s="595" t="s">
        <v>1629</v>
      </c>
      <c r="E3" s="598"/>
      <c r="F3" s="599" t="s">
        <v>1630</v>
      </c>
      <c r="G3" s="600">
        <f>IF(F3="宗地容积率",'数据-汇总表'!I4,IF(F3="估价对象容积率",'数据-汇总表'!I6,'数据-汇总表'!I7))</f>
        <v>2.92</v>
      </c>
      <c r="H3" s="601" t="s">
        <v>1631</v>
      </c>
      <c r="I3" s="769"/>
      <c r="J3" s="766" t="s">
        <v>1632</v>
      </c>
      <c r="K3" s="585"/>
      <c r="L3" s="767" t="s">
        <v>1633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7"/>
      <c r="B4" s="3518"/>
      <c r="C4" s="3518"/>
      <c r="D4" s="3519"/>
      <c r="E4" s="3519"/>
      <c r="F4" s="3519"/>
      <c r="G4" s="3519"/>
      <c r="H4" s="3519"/>
      <c r="I4" s="3519"/>
      <c r="J4" s="3520"/>
      <c r="K4" s="585"/>
      <c r="L4" s="767" t="s">
        <v>1634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851</v>
      </c>
      <c r="B5" s="603" t="s">
        <v>1635</v>
      </c>
      <c r="C5" s="604" t="e">
        <f>ROUND(IF(E2="商业",C6*C7+C16,(IF(E2="住宅",C6*C12+C16,C6+C16))),0)</f>
        <v>#DIV/0!</v>
      </c>
      <c r="D5" s="605" t="e">
        <f>ROUND(C6+C16,0)</f>
        <v>#DIV/0!</v>
      </c>
      <c r="E5" s="605"/>
      <c r="F5" s="606"/>
      <c r="G5" s="607"/>
      <c r="H5" s="607"/>
      <c r="I5" s="607"/>
      <c r="J5" s="770"/>
      <c r="K5" s="771"/>
      <c r="L5" s="767" t="s">
        <v>1636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950</v>
      </c>
      <c r="B6" s="609" t="s">
        <v>1637</v>
      </c>
      <c r="C6" s="610">
        <f>SUMIF(L1:L12,G2,M1:M12)</f>
        <v>0</v>
      </c>
      <c r="D6" s="611" t="s">
        <v>1638</v>
      </c>
      <c r="E6" s="612"/>
      <c r="F6" s="612"/>
      <c r="G6" s="613"/>
      <c r="H6" s="613"/>
      <c r="I6" s="613"/>
      <c r="J6" s="772"/>
      <c r="K6" s="773"/>
      <c r="L6" s="767" t="s">
        <v>1639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7" t="str">
        <f>IF(E2="商业",IF(C8="不临58条商业街","",2),"")</f>
        <v/>
      </c>
      <c r="B7" s="614" t="s">
        <v>1640</v>
      </c>
      <c r="C7" s="615" t="e">
        <f>IF(C8="不临58条商业街",1,ROUND(1+(1.6*E8+1.2*E9+0.8*E10+0.4*E11)*C9,4))</f>
        <v>#DIV/0!</v>
      </c>
      <c r="D7" s="616" t="s">
        <v>1641</v>
      </c>
      <c r="E7" s="617"/>
      <c r="F7" s="618"/>
      <c r="G7" s="619"/>
      <c r="H7" s="619"/>
      <c r="I7" s="619"/>
      <c r="J7" s="774"/>
      <c r="K7" s="773"/>
      <c r="L7" s="767" t="s">
        <v>1642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1643</v>
      </c>
      <c r="X7" s="848">
        <f>G2</f>
        <v>0</v>
      </c>
      <c r="Y7" s="848" t="s">
        <v>1644</v>
      </c>
      <c r="Z7" s="857">
        <f>G3</f>
        <v>2.92</v>
      </c>
      <c r="AA7" s="845"/>
      <c r="AB7" s="845"/>
      <c r="AC7" s="853"/>
      <c r="AD7" s="854"/>
      <c r="AE7" s="854"/>
      <c r="AF7" s="854"/>
      <c r="AG7" s="854"/>
      <c r="AH7" s="854"/>
      <c r="AI7" s="854"/>
      <c r="AJ7" s="864"/>
    </row>
    <row r="8" spans="1:36" ht="15">
      <c r="A8" s="3528"/>
      <c r="B8" s="601" t="s">
        <v>1645</v>
      </c>
      <c r="C8" s="620"/>
      <c r="D8" s="621" t="s">
        <v>1646</v>
      </c>
      <c r="E8" s="622" t="e">
        <f>ROUND(C11/E7,4)</f>
        <v>#DIV/0!</v>
      </c>
      <c r="F8" s="623" t="s">
        <v>1647</v>
      </c>
      <c r="G8" s="624"/>
      <c r="H8" s="624"/>
      <c r="I8" s="624"/>
      <c r="J8" s="775"/>
      <c r="K8" s="585"/>
      <c r="L8" s="767" t="s">
        <v>1648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21" t="s">
        <v>1649</v>
      </c>
      <c r="X8" s="3522"/>
      <c r="Y8" s="858" t="s">
        <v>1650</v>
      </c>
      <c r="Z8" s="858" t="s">
        <v>1651</v>
      </c>
      <c r="AA8" s="858" t="s">
        <v>1652</v>
      </c>
      <c r="AB8" s="858" t="s">
        <v>1653</v>
      </c>
      <c r="AC8" s="858" t="s">
        <v>1654</v>
      </c>
      <c r="AD8" s="858" t="s">
        <v>1655</v>
      </c>
      <c r="AE8" s="858" t="s">
        <v>1656</v>
      </c>
      <c r="AF8" s="858" t="s">
        <v>1657</v>
      </c>
      <c r="AG8" s="858" t="s">
        <v>1658</v>
      </c>
      <c r="AH8" s="858" t="s">
        <v>1659</v>
      </c>
      <c r="AI8" s="858" t="s">
        <v>1660</v>
      </c>
      <c r="AJ8" s="858" t="s">
        <v>1661</v>
      </c>
    </row>
    <row r="9" spans="1:36" ht="15">
      <c r="A9" s="3528"/>
      <c r="B9" s="601" t="s">
        <v>1662</v>
      </c>
      <c r="C9" s="625">
        <f>SUMIF(修正!C71:C138,C8,修正!E71:E138)</f>
        <v>0</v>
      </c>
      <c r="D9" s="626" t="s">
        <v>1663</v>
      </c>
      <c r="E9" s="626" t="e">
        <f>ROUND(C11/E7,4)</f>
        <v>#DIV/0!</v>
      </c>
      <c r="F9" s="623" t="s">
        <v>1664</v>
      </c>
      <c r="G9" s="624"/>
      <c r="H9" s="624"/>
      <c r="I9" s="624"/>
      <c r="J9" s="775"/>
      <c r="K9" s="585"/>
      <c r="L9" s="767" t="s">
        <v>1665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2" t="s">
        <v>1666</v>
      </c>
      <c r="X9" s="849" t="s">
        <v>1667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8"/>
      <c r="B10" s="601" t="s">
        <v>1668</v>
      </c>
      <c r="C10" s="626">
        <f>SUMIF(修正!C71:C138,C8,修正!F71:F138)</f>
        <v>0</v>
      </c>
      <c r="D10" s="626" t="s">
        <v>1669</v>
      </c>
      <c r="E10" s="626" t="e">
        <f>ROUND(C11/E7,4)</f>
        <v>#DIV/0!</v>
      </c>
      <c r="F10" s="623" t="s">
        <v>1670</v>
      </c>
      <c r="G10" s="624"/>
      <c r="H10" s="624"/>
      <c r="I10" s="624"/>
      <c r="J10" s="775"/>
      <c r="K10" s="585"/>
      <c r="L10" s="767" t="s">
        <v>1671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2"/>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8"/>
      <c r="B11" s="627" t="s">
        <v>1672</v>
      </c>
      <c r="C11" s="628">
        <f>C10/4</f>
        <v>0</v>
      </c>
      <c r="D11" s="628" t="s">
        <v>1673</v>
      </c>
      <c r="E11" s="628" t="e">
        <f>ROUND(C11/E7,4)</f>
        <v>#DIV/0!</v>
      </c>
      <c r="F11" s="629" t="s">
        <v>1674</v>
      </c>
      <c r="G11" s="630"/>
      <c r="H11" s="630"/>
      <c r="I11" s="630"/>
      <c r="J11" s="776"/>
      <c r="K11" s="585"/>
      <c r="L11" s="767" t="s">
        <v>1675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2" t="s">
        <v>1676</v>
      </c>
      <c r="X11" s="850" t="s">
        <v>1644</v>
      </c>
      <c r="Y11" s="862">
        <f>$G$3</f>
        <v>2.92</v>
      </c>
      <c r="Z11" s="862">
        <f t="shared" ref="Z11:AJ11" si="3">$G$3</f>
        <v>2.92</v>
      </c>
      <c r="AA11" s="862">
        <f t="shared" si="3"/>
        <v>2.92</v>
      </c>
      <c r="AB11" s="862">
        <f t="shared" si="3"/>
        <v>2.92</v>
      </c>
      <c r="AC11" s="862">
        <f t="shared" si="3"/>
        <v>2.92</v>
      </c>
      <c r="AD11" s="862">
        <f t="shared" si="3"/>
        <v>2.92</v>
      </c>
      <c r="AE11" s="862">
        <f t="shared" si="3"/>
        <v>2.92</v>
      </c>
      <c r="AF11" s="862">
        <f t="shared" si="3"/>
        <v>2.92</v>
      </c>
      <c r="AG11" s="862">
        <f t="shared" si="3"/>
        <v>2.92</v>
      </c>
      <c r="AH11" s="862">
        <f t="shared" si="3"/>
        <v>2.92</v>
      </c>
      <c r="AI11" s="862">
        <f t="shared" si="3"/>
        <v>2.92</v>
      </c>
      <c r="AJ11" s="862">
        <f t="shared" si="3"/>
        <v>2.92</v>
      </c>
    </row>
    <row r="12" spans="1:36" ht="24.75">
      <c r="A12" s="3527" t="s">
        <v>1360</v>
      </c>
      <c r="B12" s="631" t="s">
        <v>1677</v>
      </c>
      <c r="C12" s="615">
        <f>ROUND(C15*D15*E15*F15*G15*H15*I15*J15,4)</f>
        <v>1</v>
      </c>
      <c r="D12" s="632" t="s">
        <v>1678</v>
      </c>
      <c r="E12" s="633"/>
      <c r="F12" s="633"/>
      <c r="G12" s="634"/>
      <c r="H12" s="634"/>
      <c r="I12" s="634"/>
      <c r="J12" s="777"/>
      <c r="K12" s="585"/>
      <c r="L12" s="778" t="s">
        <v>1679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2"/>
      <c r="X12" s="851" t="s">
        <v>1680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9"/>
      <c r="B13" s="635" t="s">
        <v>1681</v>
      </c>
      <c r="C13" s="636" t="s">
        <v>1682</v>
      </c>
      <c r="D13" s="637" t="s">
        <v>1683</v>
      </c>
      <c r="E13" s="637" t="s">
        <v>1684</v>
      </c>
      <c r="F13" s="638" t="s">
        <v>1685</v>
      </c>
      <c r="G13" s="639" t="s">
        <v>1686</v>
      </c>
      <c r="H13" s="639" t="s">
        <v>1686</v>
      </c>
      <c r="I13" s="639" t="s">
        <v>1686</v>
      </c>
      <c r="J13" s="780" t="s">
        <v>1686</v>
      </c>
      <c r="K13" s="585"/>
      <c r="L13" s="585"/>
      <c r="M13" s="585"/>
      <c r="N13" s="585"/>
      <c r="O13" s="585"/>
      <c r="P13" s="585"/>
      <c r="Q13" s="585"/>
      <c r="R13" s="844">
        <v>12</v>
      </c>
      <c r="S13" s="846"/>
      <c r="T13" s="844" t="e">
        <f t="shared" si="0"/>
        <v>#DIV/0!</v>
      </c>
      <c r="U13" s="846"/>
      <c r="V13" s="844" t="e">
        <f t="shared" si="1"/>
        <v>#DIV/0!</v>
      </c>
      <c r="W13" s="3542"/>
      <c r="X13" s="851"/>
      <c r="Y13" s="861">
        <f>(-0.163*(Y12^2)-0.59*Y12+7617)*(10^(-4))/Y11</f>
        <v>0.26085616438356202</v>
      </c>
      <c r="Z13" s="861">
        <f t="shared" ref="Z13:AJ13" si="5">(-0.163*(Z12^2)-0.59*Z12+7617)*(10^(-4))/Z11</f>
        <v>0.26085616438356202</v>
      </c>
      <c r="AA13" s="861">
        <f t="shared" si="5"/>
        <v>0.26085616438356202</v>
      </c>
      <c r="AB13" s="861">
        <f t="shared" si="5"/>
        <v>0.26085616438356202</v>
      </c>
      <c r="AC13" s="861">
        <f t="shared" si="5"/>
        <v>0.26085616438356202</v>
      </c>
      <c r="AD13" s="861">
        <f t="shared" si="5"/>
        <v>0.26085616438356202</v>
      </c>
      <c r="AE13" s="861">
        <f t="shared" si="5"/>
        <v>0.26085616438356202</v>
      </c>
      <c r="AF13" s="861">
        <f t="shared" si="5"/>
        <v>0.26085616438356202</v>
      </c>
      <c r="AG13" s="861">
        <f t="shared" si="5"/>
        <v>0.26085616438356202</v>
      </c>
      <c r="AH13" s="861">
        <f t="shared" si="5"/>
        <v>0.26085616438356202</v>
      </c>
      <c r="AI13" s="861">
        <f t="shared" si="5"/>
        <v>0.26085616438356202</v>
      </c>
      <c r="AJ13" s="861">
        <f t="shared" si="5"/>
        <v>0.26085616438356202</v>
      </c>
    </row>
    <row r="14" spans="1:36" ht="15">
      <c r="A14" s="3529"/>
      <c r="B14" s="640"/>
      <c r="C14" s="641"/>
      <c r="D14" s="642"/>
      <c r="E14" s="642"/>
      <c r="F14" s="643"/>
      <c r="G14" s="644" t="s">
        <v>1687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30"/>
      <c r="B15" s="646" t="s">
        <v>1688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7" t="s">
        <v>1364</v>
      </c>
      <c r="B16" s="614" t="s">
        <v>1689</v>
      </c>
      <c r="C16" s="649" t="e">
        <f>ROUND(IF(F17="与级别开发程度一致",0,(G17-E17)/C17),0)</f>
        <v>#DIV/0!</v>
      </c>
      <c r="D16" s="3523" t="s">
        <v>1690</v>
      </c>
      <c r="E16" s="3524"/>
      <c r="F16" s="3523" t="s">
        <v>1691</v>
      </c>
      <c r="G16" s="3524"/>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31"/>
      <c r="B17" s="652" t="s">
        <v>1692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862</v>
      </c>
      <c r="B18" s="658" t="s">
        <v>1693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867</v>
      </c>
      <c r="B19" s="663" t="s">
        <v>1694</v>
      </c>
      <c r="C19" s="664" t="e">
        <f>ROUND(IF(H19="按公示增长率计算",SUMPRODUCT((地价!A3:A37=YEAR(G19)&amp;"-"&amp;ROUNDUP(MONTH(G19)/3,0))*(地价!X2:AB2=E2)*(地价!X3:AB37)),IF(H19="地价指数",M20/M19,(1+I19)^O19)),4)</f>
        <v>#VALUE!</v>
      </c>
      <c r="D19" s="665" t="s">
        <v>1695</v>
      </c>
      <c r="E19" s="666">
        <v>41640</v>
      </c>
      <c r="F19" s="665" t="s">
        <v>1696</v>
      </c>
      <c r="G19" s="667">
        <f>'数据-取费表'!B2</f>
        <v>44889</v>
      </c>
      <c r="H19" s="668"/>
      <c r="I19" s="792" t="str">
        <f>IF(H19="季度增幅（自定义）",SUMIF(N21:N24,E2,O21:O24),"")</f>
        <v/>
      </c>
      <c r="J19" s="793"/>
      <c r="K19" s="789"/>
      <c r="L19" s="794" t="s">
        <v>1697</v>
      </c>
      <c r="M19" s="795">
        <f>ROUND(SUMIF(地价!B2:F2,E2,地价!B37:F37),0)</f>
        <v>0</v>
      </c>
      <c r="N19" s="796" t="s">
        <v>1698</v>
      </c>
      <c r="O19" s="797">
        <f>ROUNDDOWN(DATEDIF(E19,G19,"M")/3,0)</f>
        <v>35</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870</v>
      </c>
      <c r="B20" s="670" t="s">
        <v>1699</v>
      </c>
      <c r="C20" s="671" t="e">
        <f>ROUND(POWER(1+G20,J20-I20)*(POWER(1+G20,I20)-1)/(POWER(1+G20,J20)-1),4)</f>
        <v>#DIV/0!</v>
      </c>
      <c r="D20" s="672" t="s">
        <v>1700</v>
      </c>
      <c r="E20" s="673">
        <f>存贷款利率!E22/100</f>
        <v>4.3499999999999997E-2</v>
      </c>
      <c r="F20" s="672" t="s">
        <v>1701</v>
      </c>
      <c r="G20" s="674">
        <f>SUMIF(M26:P26,E2,M28:P28)</f>
        <v>0</v>
      </c>
      <c r="H20" s="672" t="s">
        <v>1702</v>
      </c>
      <c r="I20" s="650" t="e">
        <f>SUMIF('数据-取费表'!C6:C15,E2,'数据-取费表'!F6:F15)/COUNTIF('数据-取费表'!C6:C15,E2)</f>
        <v>#DIV/0!</v>
      </c>
      <c r="J20" s="799">
        <f>IF(E2="住宅",70,IF(E2="商业",40,50))</f>
        <v>50</v>
      </c>
      <c r="K20" s="789"/>
      <c r="L20" s="800" t="s">
        <v>1703</v>
      </c>
      <c r="M20" s="801">
        <f>ROUND(SUMPRODUCT((地价!A4:A37=YEAR(G19)&amp;"-"&amp;ROUNDUP(MONTH(G19)/3,0))*(地价!B2:F2=E2)*(地价!B4:F37)),0)</f>
        <v>0</v>
      </c>
      <c r="N20" s="802" t="s">
        <v>1704</v>
      </c>
      <c r="O20" s="803" t="s">
        <v>1705</v>
      </c>
      <c r="P20" s="804" t="s">
        <v>1706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892</v>
      </c>
      <c r="B21" s="676" t="s">
        <v>1707</v>
      </c>
      <c r="C21" s="677">
        <f>IF(B21="容积率修正",IF(G3&lt;=10,D22,J22),C23)</f>
        <v>0</v>
      </c>
      <c r="D21" s="678"/>
      <c r="E21" s="678"/>
      <c r="F21" s="678"/>
      <c r="G21" s="678"/>
      <c r="H21" s="678"/>
      <c r="I21" s="678"/>
      <c r="J21" s="805"/>
      <c r="K21" s="789"/>
      <c r="L21" s="790"/>
      <c r="M21" s="790"/>
      <c r="N21" s="806" t="s">
        <v>1708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1709</v>
      </c>
      <c r="B22" s="680" t="s">
        <v>1710</v>
      </c>
      <c r="C22" s="681" t="s">
        <v>1711</v>
      </c>
      <c r="D22" s="681">
        <f>IF(E22=G22,F22,IF(G3&lt;=10,ROUND(F22+(H22-F22)*(G3-E22)/(G22-E22),4),"——"))</f>
        <v>0</v>
      </c>
      <c r="E22" s="600">
        <f>ROUNDDOWN(G3,1)</f>
        <v>2.9</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1712</v>
      </c>
      <c r="J22" s="809" t="str">
        <f>IF(G3&gt;10,D113,"——")</f>
        <v>——</v>
      </c>
      <c r="K22" s="789"/>
      <c r="L22" s="790"/>
      <c r="M22" s="790"/>
      <c r="N22" s="806" t="s">
        <v>1713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1714</v>
      </c>
      <c r="B23" s="682" t="s">
        <v>1715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1716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1717</v>
      </c>
      <c r="B24" s="663" t="s">
        <v>1718</v>
      </c>
      <c r="C24" s="664">
        <f>SUMIF(A45:A88,E2,B45:B88)</f>
        <v>0</v>
      </c>
      <c r="D24" s="687"/>
      <c r="E24" s="688"/>
      <c r="F24" s="688"/>
      <c r="G24" s="688"/>
      <c r="H24" s="688"/>
      <c r="I24" s="688"/>
      <c r="J24" s="812"/>
      <c r="K24" s="789"/>
      <c r="L24" s="790"/>
      <c r="M24" s="790"/>
      <c r="N24" s="813" t="s">
        <v>1719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1720</v>
      </c>
      <c r="B25" s="689" t="s">
        <v>1721</v>
      </c>
      <c r="C25" s="690"/>
      <c r="D25" s="619"/>
      <c r="E25" s="619"/>
      <c r="F25" s="691"/>
      <c r="G25" s="619"/>
      <c r="H25" s="619"/>
      <c r="I25" s="619"/>
      <c r="J25" s="774"/>
      <c r="K25" s="585"/>
      <c r="L25" s="586"/>
      <c r="M25" s="586"/>
      <c r="N25" s="816" t="s">
        <v>1722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1723</v>
      </c>
      <c r="C26" s="693" t="e">
        <f>IF(B21="容积率修正",E29+SUM(E33:E39),SUM(V2:V16)+SUM(E33:E39))</f>
        <v>#DIV/0!</v>
      </c>
      <c r="D26" s="694"/>
      <c r="E26" s="645"/>
      <c r="F26" s="695"/>
      <c r="G26" s="645"/>
      <c r="H26" s="645"/>
      <c r="I26" s="645"/>
      <c r="J26" s="819"/>
      <c r="K26" s="585"/>
      <c r="L26" s="820" t="s">
        <v>1625</v>
      </c>
      <c r="M26" s="616" t="s">
        <v>1724</v>
      </c>
      <c r="N26" s="616" t="s">
        <v>1725</v>
      </c>
      <c r="O26" s="616" t="s">
        <v>1726</v>
      </c>
      <c r="P26" s="821" t="s">
        <v>1727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1728</v>
      </c>
      <c r="C27" s="697" t="e">
        <f>E30+SUM(I33:I39)</f>
        <v>#DIV/0!</v>
      </c>
      <c r="D27" s="698"/>
      <c r="E27" s="699"/>
      <c r="F27" s="700"/>
      <c r="G27" s="699"/>
      <c r="H27" s="699"/>
      <c r="I27" s="699"/>
      <c r="J27" s="822"/>
      <c r="K27" s="585"/>
      <c r="L27" s="823" t="s">
        <v>1729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1730</v>
      </c>
      <c r="C28" s="703" t="s">
        <v>1731</v>
      </c>
      <c r="D28" s="703" t="s">
        <v>489</v>
      </c>
      <c r="E28" s="704" t="s">
        <v>1732</v>
      </c>
      <c r="F28" s="705"/>
      <c r="G28" s="634"/>
      <c r="H28" s="634"/>
      <c r="I28" s="634"/>
      <c r="J28" s="777"/>
      <c r="K28" s="585"/>
      <c r="L28" s="825" t="s">
        <v>1701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1733</v>
      </c>
      <c r="C29" s="708" t="e">
        <f>ROUND(C5*C18*C19*C20*C21*C24,0)</f>
        <v>#DIV/0!</v>
      </c>
      <c r="D29" s="709"/>
      <c r="E29" s="710" t="e">
        <f>ROUND(C29*D29/10000,0)</f>
        <v>#DIV/0!</v>
      </c>
      <c r="F29" s="711" t="s">
        <v>1734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1735</v>
      </c>
      <c r="C30" s="647" t="e">
        <f>ROUND(IF(E2="工业",C29*M39,C29*M38),0)</f>
        <v>#DIV/0!</v>
      </c>
      <c r="D30" s="715"/>
      <c r="E30" s="710" t="e">
        <f>ROUND(C30*D30/10000,0)</f>
        <v>#DIV/0!</v>
      </c>
      <c r="F30" s="716" t="s">
        <v>1736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1737</v>
      </c>
      <c r="C31" s="720" t="s">
        <v>1738</v>
      </c>
      <c r="D31" s="634"/>
      <c r="E31" s="720"/>
      <c r="F31" s="720"/>
      <c r="G31" s="632" t="s">
        <v>1736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1731</v>
      </c>
      <c r="D32" s="723" t="s">
        <v>489</v>
      </c>
      <c r="E32" s="723" t="s">
        <v>1732</v>
      </c>
      <c r="F32" s="592" t="s">
        <v>1739</v>
      </c>
      <c r="G32" s="724" t="s">
        <v>1731</v>
      </c>
      <c r="H32" s="724" t="s">
        <v>489</v>
      </c>
      <c r="I32" s="724" t="s">
        <v>1732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32"/>
      <c r="B33" s="725" t="s">
        <v>1740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41" t="s">
        <v>1741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33"/>
      <c r="B34" s="636" t="s">
        <v>1742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3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33"/>
      <c r="B35" s="636" t="s">
        <v>1743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3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4"/>
      <c r="B36" s="636" t="s">
        <v>1744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1746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1747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1748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1727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1750</v>
      </c>
      <c r="C41" s="592" t="e">
        <f>ROUND(POWER(1+E41,H41-G41)*(POWER(1+E41,G41)-1)/(POWER(1+E41,H41)-1),4)</f>
        <v>#DIV/0!</v>
      </c>
      <c r="D41" s="626" t="s">
        <v>1701</v>
      </c>
      <c r="E41" s="731">
        <f>G20</f>
        <v>0</v>
      </c>
      <c r="F41" s="626" t="s">
        <v>1702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1751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1752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1753</v>
      </c>
      <c r="B47" s="745" t="s">
        <v>1754</v>
      </c>
      <c r="C47" s="745" t="s">
        <v>1755</v>
      </c>
      <c r="D47" s="745" t="s">
        <v>1756</v>
      </c>
      <c r="E47" s="746" t="s">
        <v>1757</v>
      </c>
      <c r="F47" s="747" t="s">
        <v>1758</v>
      </c>
      <c r="G47" s="745" t="s">
        <v>1688</v>
      </c>
      <c r="H47" s="748" t="s">
        <v>1759</v>
      </c>
      <c r="I47" s="745" t="s">
        <v>1760</v>
      </c>
      <c r="J47" s="840" t="s">
        <v>1501</v>
      </c>
      <c r="K47" s="840" t="s">
        <v>1502</v>
      </c>
      <c r="L47" s="840" t="s">
        <v>1503</v>
      </c>
      <c r="M47" s="840" t="s">
        <v>1504</v>
      </c>
      <c r="N47" s="840" t="s">
        <v>1505</v>
      </c>
      <c r="AA47" s="729"/>
      <c r="AB47" s="729"/>
      <c r="AC47" s="729"/>
      <c r="AD47" s="729"/>
      <c r="AE47" s="729"/>
      <c r="AF47" s="729"/>
      <c r="AG47" s="729"/>
      <c r="AH47" s="729"/>
      <c r="AI47" s="729"/>
      <c r="AJ47" s="729"/>
      <c r="AK47" s="729"/>
    </row>
    <row r="48" spans="1:37" s="585" customFormat="1" ht="38.25">
      <c r="A48" s="744" t="s">
        <v>1761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1762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1764</v>
      </c>
      <c r="B51" s="757" t="s">
        <v>1765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1766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1767</v>
      </c>
      <c r="B53" s="758" t="s">
        <v>1768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1769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1770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1771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1772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1753</v>
      </c>
      <c r="B58" s="745"/>
      <c r="C58" s="745" t="s">
        <v>1755</v>
      </c>
      <c r="D58" s="745" t="s">
        <v>1756</v>
      </c>
      <c r="E58" s="746" t="s">
        <v>1757</v>
      </c>
      <c r="F58" s="747" t="s">
        <v>1773</v>
      </c>
      <c r="G58" s="745" t="s">
        <v>1688</v>
      </c>
      <c r="H58" s="748" t="s">
        <v>1759</v>
      </c>
      <c r="I58" s="745" t="s">
        <v>1760</v>
      </c>
      <c r="J58" s="840" t="s">
        <v>1501</v>
      </c>
      <c r="K58" s="840" t="s">
        <v>1502</v>
      </c>
      <c r="L58" s="840" t="s">
        <v>1503</v>
      </c>
      <c r="M58" s="840" t="s">
        <v>1504</v>
      </c>
      <c r="N58" s="840" t="s">
        <v>1505</v>
      </c>
      <c r="AA58" s="729"/>
      <c r="AB58" s="729"/>
      <c r="AC58" s="729"/>
      <c r="AD58" s="729"/>
      <c r="AE58" s="729"/>
      <c r="AF58" s="729"/>
      <c r="AG58" s="729"/>
      <c r="AH58" s="729"/>
      <c r="AI58" s="729"/>
      <c r="AJ58" s="729"/>
      <c r="AK58" s="729"/>
    </row>
    <row r="59" spans="1:37" s="585" customFormat="1" ht="38.25">
      <c r="A59" s="744" t="s">
        <v>1774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1762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1764</v>
      </c>
      <c r="B62" s="757" t="s">
        <v>1765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1766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1767</v>
      </c>
      <c r="B64" s="758" t="s">
        <v>1768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1769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1770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1771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1775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1753</v>
      </c>
      <c r="B69" s="745"/>
      <c r="C69" s="745" t="s">
        <v>1755</v>
      </c>
      <c r="D69" s="745" t="s">
        <v>1756</v>
      </c>
      <c r="E69" s="746" t="s">
        <v>1757</v>
      </c>
      <c r="F69" s="747" t="s">
        <v>1773</v>
      </c>
      <c r="G69" s="745" t="s">
        <v>1688</v>
      </c>
      <c r="H69" s="748" t="s">
        <v>1759</v>
      </c>
      <c r="I69" s="745" t="s">
        <v>1760</v>
      </c>
      <c r="J69" s="840" t="s">
        <v>1501</v>
      </c>
      <c r="K69" s="840" t="s">
        <v>1502</v>
      </c>
      <c r="L69" s="840" t="s">
        <v>1503</v>
      </c>
      <c r="M69" s="840" t="s">
        <v>1504</v>
      </c>
      <c r="N69" s="840" t="s">
        <v>1505</v>
      </c>
      <c r="AA69" s="729"/>
      <c r="AB69" s="729"/>
      <c r="AC69" s="729"/>
      <c r="AD69" s="729"/>
      <c r="AE69" s="729"/>
      <c r="AF69" s="729"/>
      <c r="AG69" s="729"/>
      <c r="AH69" s="729"/>
      <c r="AI69" s="729"/>
      <c r="AJ69" s="729"/>
      <c r="AK69" s="729"/>
    </row>
    <row r="70" spans="1:37" s="585" customFormat="1" ht="51">
      <c r="A70" s="744" t="s">
        <v>1776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1762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1777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1769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1770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1767</v>
      </c>
      <c r="B76" s="758" t="s">
        <v>1768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1771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1778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1779</v>
      </c>
      <c r="B79" s="739">
        <f>1+E81</f>
        <v>1</v>
      </c>
      <c r="C79" s="741"/>
      <c r="D79" s="741"/>
      <c r="E79" s="742"/>
      <c r="F79" s="743"/>
      <c r="G79" s="737"/>
      <c r="H79" s="737"/>
      <c r="I79" s="737"/>
      <c r="J79" s="736"/>
      <c r="K79" s="736"/>
      <c r="L79" s="736"/>
      <c r="M79" s="736"/>
      <c r="N79" s="736"/>
      <c r="Z79" s="589"/>
      <c r="AA79" s="587"/>
      <c r="AG79" s="591"/>
      <c r="AK79" s="587"/>
    </row>
    <row r="80" spans="1:37" ht="24.75">
      <c r="A80" s="744" t="s">
        <v>1753</v>
      </c>
      <c r="B80" s="745"/>
      <c r="C80" s="745" t="s">
        <v>1755</v>
      </c>
      <c r="D80" s="745" t="s">
        <v>1756</v>
      </c>
      <c r="E80" s="746" t="s">
        <v>1757</v>
      </c>
      <c r="F80" s="747" t="s">
        <v>1773</v>
      </c>
      <c r="G80" s="745" t="s">
        <v>1688</v>
      </c>
      <c r="H80" s="748" t="s">
        <v>1759</v>
      </c>
      <c r="I80" s="745" t="s">
        <v>1760</v>
      </c>
      <c r="J80" s="840" t="s">
        <v>1501</v>
      </c>
      <c r="K80" s="840" t="s">
        <v>1502</v>
      </c>
      <c r="L80" s="840" t="s">
        <v>1503</v>
      </c>
      <c r="M80" s="840" t="s">
        <v>1504</v>
      </c>
      <c r="N80" s="840" t="s">
        <v>1505</v>
      </c>
      <c r="Z80" s="589"/>
      <c r="AA80" s="587"/>
      <c r="AG80" s="591"/>
      <c r="AK80" s="587"/>
    </row>
    <row r="81" spans="1:37" ht="38.25">
      <c r="A81" s="744" t="s">
        <v>1780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1762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1777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1769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1770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1767</v>
      </c>
      <c r="B87" s="758" t="s">
        <v>1781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1782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25" t="s">
        <v>1783</v>
      </c>
      <c r="B90" s="3525"/>
      <c r="C90" s="3525"/>
      <c r="D90" s="3525"/>
      <c r="E90" s="3525"/>
      <c r="F90" s="3525"/>
      <c r="G90" s="3525"/>
      <c r="H90" s="3525"/>
      <c r="I90" s="3525"/>
      <c r="J90" s="3525"/>
      <c r="K90" s="876"/>
      <c r="L90" s="876"/>
      <c r="M90" s="876"/>
      <c r="N90" s="876"/>
    </row>
    <row r="91" spans="1:37">
      <c r="A91" s="3535" t="s">
        <v>1784</v>
      </c>
      <c r="B91" s="3535" t="s">
        <v>1785</v>
      </c>
      <c r="C91" s="711" t="s">
        <v>1786</v>
      </c>
      <c r="D91" s="712"/>
      <c r="E91" s="712"/>
      <c r="F91" s="712"/>
      <c r="G91" s="712"/>
      <c r="H91" s="712"/>
      <c r="I91" s="712"/>
      <c r="J91" s="897"/>
      <c r="K91" s="898"/>
      <c r="L91" s="898"/>
      <c r="M91" s="898"/>
      <c r="N91" s="898"/>
    </row>
    <row r="92" spans="1:37">
      <c r="A92" s="3535"/>
      <c r="B92" s="3535"/>
      <c r="C92" s="710" t="s">
        <v>1650</v>
      </c>
      <c r="D92" s="710" t="s">
        <v>1651</v>
      </c>
      <c r="E92" s="710" t="s">
        <v>1652</v>
      </c>
      <c r="F92" s="710" t="s">
        <v>1653</v>
      </c>
      <c r="G92" s="710" t="s">
        <v>1654</v>
      </c>
      <c r="H92" s="710" t="s">
        <v>1655</v>
      </c>
      <c r="I92" s="710" t="s">
        <v>1656</v>
      </c>
      <c r="J92" s="710" t="s">
        <v>1657</v>
      </c>
      <c r="K92" s="710" t="s">
        <v>1658</v>
      </c>
      <c r="L92" s="710" t="s">
        <v>1659</v>
      </c>
      <c r="M92" s="710" t="s">
        <v>1660</v>
      </c>
      <c r="N92" s="710" t="s">
        <v>1661</v>
      </c>
    </row>
    <row r="93" spans="1:37">
      <c r="A93" s="3536" t="s">
        <v>1787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7"/>
      <c r="B99" s="877" t="s">
        <v>1667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6" t="s">
        <v>1788</v>
      </c>
      <c r="B101" s="881" t="s">
        <v>1789</v>
      </c>
      <c r="C101" s="882">
        <f>$G$3</f>
        <v>2.92</v>
      </c>
      <c r="D101" s="882">
        <f t="shared" ref="D101:N101" si="31">$G$3</f>
        <v>2.92</v>
      </c>
      <c r="E101" s="882">
        <f t="shared" si="31"/>
        <v>2.92</v>
      </c>
      <c r="F101" s="882">
        <f t="shared" si="31"/>
        <v>2.92</v>
      </c>
      <c r="G101" s="882">
        <f t="shared" si="31"/>
        <v>2.92</v>
      </c>
      <c r="H101" s="882">
        <f t="shared" si="31"/>
        <v>2.92</v>
      </c>
      <c r="I101" s="882">
        <f t="shared" si="31"/>
        <v>2.92</v>
      </c>
      <c r="J101" s="882">
        <f t="shared" si="31"/>
        <v>2.92</v>
      </c>
      <c r="K101" s="882">
        <f t="shared" si="31"/>
        <v>2.92</v>
      </c>
      <c r="L101" s="882">
        <f t="shared" si="31"/>
        <v>2.92</v>
      </c>
      <c r="M101" s="882">
        <f t="shared" si="31"/>
        <v>2.92</v>
      </c>
      <c r="N101" s="882">
        <f t="shared" si="31"/>
        <v>2.92</v>
      </c>
    </row>
    <row r="102" spans="1:14">
      <c r="A102" s="3537"/>
      <c r="B102" s="877">
        <v>1</v>
      </c>
      <c r="C102" s="878">
        <f>1.9362/C101</f>
        <v>0.66308219178082195</v>
      </c>
      <c r="D102" s="878">
        <f>1.9362/D101</f>
        <v>0.66308219178082195</v>
      </c>
      <c r="E102" s="878">
        <f>1.8629/E101</f>
        <v>0.637979452054795</v>
      </c>
      <c r="F102" s="878">
        <f>1.8629/F101</f>
        <v>0.637979452054795</v>
      </c>
      <c r="G102" s="878">
        <f>1.8629/G101</f>
        <v>0.637979452054795</v>
      </c>
      <c r="H102" s="878">
        <f>1.8629/H101</f>
        <v>0.637979452054795</v>
      </c>
      <c r="I102" s="878">
        <f>1.8629/I101</f>
        <v>0.637979452054795</v>
      </c>
      <c r="J102" s="878">
        <f>1.942/J101</f>
        <v>0.66506849315068495</v>
      </c>
      <c r="K102" s="878">
        <f>1.942/K101</f>
        <v>0.66506849315068495</v>
      </c>
      <c r="L102" s="878">
        <f>1.942/L101</f>
        <v>0.66506849315068495</v>
      </c>
      <c r="M102" s="878">
        <f>1.942/M101</f>
        <v>0.66506849315068495</v>
      </c>
      <c r="N102" s="878">
        <f>1.942/N101</f>
        <v>0.66506849315068495</v>
      </c>
    </row>
    <row r="103" spans="1:14">
      <c r="A103" s="3537"/>
      <c r="B103" s="877">
        <v>2</v>
      </c>
      <c r="C103" s="878">
        <f>1.4198/C101</f>
        <v>0.48623287671232901</v>
      </c>
      <c r="D103" s="878">
        <f>1.4198/D101</f>
        <v>0.48623287671232901</v>
      </c>
      <c r="E103" s="878">
        <f>1.3372/E101</f>
        <v>0.457945205479452</v>
      </c>
      <c r="F103" s="878">
        <f>1.3372/F101</f>
        <v>0.457945205479452</v>
      </c>
      <c r="G103" s="878">
        <f>1.3372/G101</f>
        <v>0.457945205479452</v>
      </c>
      <c r="H103" s="878">
        <f>1.3372/H101</f>
        <v>0.457945205479452</v>
      </c>
      <c r="I103" s="878">
        <f>1.3372/I101</f>
        <v>0.457945205479452</v>
      </c>
      <c r="J103" s="878">
        <f>1.2799/J101</f>
        <v>0.438321917808219</v>
      </c>
      <c r="K103" s="878">
        <f>1.2799/K101</f>
        <v>0.438321917808219</v>
      </c>
      <c r="L103" s="878">
        <f>1.2799/L101</f>
        <v>0.438321917808219</v>
      </c>
      <c r="M103" s="878">
        <f>1.2799/M101</f>
        <v>0.438321917808219</v>
      </c>
      <c r="N103" s="878">
        <f>1.2799/N101</f>
        <v>0.438321917808219</v>
      </c>
    </row>
    <row r="104" spans="1:14">
      <c r="A104" s="3537"/>
      <c r="B104" s="877">
        <v>3</v>
      </c>
      <c r="C104" s="878">
        <f>1.1594/C101</f>
        <v>0.39705479452054798</v>
      </c>
      <c r="D104" s="878">
        <f>1.1594/D101</f>
        <v>0.39705479452054798</v>
      </c>
      <c r="E104" s="878">
        <f>1.0788/E101</f>
        <v>0.36945205479452098</v>
      </c>
      <c r="F104" s="878">
        <f>1.0788/F101</f>
        <v>0.36945205479452098</v>
      </c>
      <c r="G104" s="878">
        <f>1.0788/G101</f>
        <v>0.36945205479452098</v>
      </c>
      <c r="H104" s="878">
        <f>1.0788/H101</f>
        <v>0.36945205479452098</v>
      </c>
      <c r="I104" s="878">
        <f>1.0788/I101</f>
        <v>0.36945205479452098</v>
      </c>
      <c r="J104" s="878">
        <f>1.0072/J101</f>
        <v>0.34493150684931501</v>
      </c>
      <c r="K104" s="878">
        <f>1.0072/K101</f>
        <v>0.34493150684931501</v>
      </c>
      <c r="L104" s="878">
        <f>1.0072/L101</f>
        <v>0.34493150684931501</v>
      </c>
      <c r="M104" s="878">
        <f>1.0072/M101</f>
        <v>0.34493150684931501</v>
      </c>
      <c r="N104" s="878">
        <f>1.0072/N101</f>
        <v>0.34493150684931501</v>
      </c>
    </row>
    <row r="105" spans="1:14">
      <c r="A105" s="3537"/>
      <c r="B105" s="877">
        <v>4</v>
      </c>
      <c r="C105" s="878">
        <f>0.9622/C101</f>
        <v>0.32952054794520602</v>
      </c>
      <c r="D105" s="878">
        <f>0.9622/D101</f>
        <v>0.32952054794520602</v>
      </c>
      <c r="E105" s="878">
        <f>0.8656/E101</f>
        <v>0.29643835616438402</v>
      </c>
      <c r="F105" s="878">
        <f>0.8656/F101</f>
        <v>0.29643835616438402</v>
      </c>
      <c r="G105" s="878">
        <f>0.8656/G101</f>
        <v>0.29643835616438402</v>
      </c>
      <c r="H105" s="878">
        <f>0.8656/H101</f>
        <v>0.29643835616438402</v>
      </c>
      <c r="I105" s="878">
        <f>0.8656/I101</f>
        <v>0.29643835616438402</v>
      </c>
      <c r="J105" s="878">
        <f>0.7525/J101</f>
        <v>0.25770547945205502</v>
      </c>
      <c r="K105" s="878">
        <f>0.7525/K101</f>
        <v>0.25770547945205502</v>
      </c>
      <c r="L105" s="878">
        <f>0.7525/L101</f>
        <v>0.25770547945205502</v>
      </c>
      <c r="M105" s="878">
        <f>0.7525/M101</f>
        <v>0.25770547945205502</v>
      </c>
      <c r="N105" s="878">
        <f>0.7525/N101</f>
        <v>0.25770547945205502</v>
      </c>
    </row>
    <row r="106" spans="1:14">
      <c r="A106" s="3537"/>
      <c r="B106" s="877">
        <v>5</v>
      </c>
      <c r="C106" s="878">
        <f>0.8417/C101</f>
        <v>0.28825342465753401</v>
      </c>
      <c r="D106" s="878">
        <f>0.8417/D101</f>
        <v>0.28825342465753401</v>
      </c>
      <c r="E106" s="878">
        <f>0.7371/E101</f>
        <v>0.25243150684931498</v>
      </c>
      <c r="F106" s="878">
        <f>0.7371/F101</f>
        <v>0.25243150684931498</v>
      </c>
      <c r="G106" s="878">
        <f>0.7371/G101</f>
        <v>0.25243150684931498</v>
      </c>
      <c r="H106" s="878">
        <f>0.7371/H101</f>
        <v>0.25243150684931498</v>
      </c>
      <c r="I106" s="878">
        <f>0.7371/I101</f>
        <v>0.25243150684931498</v>
      </c>
      <c r="J106" s="878">
        <f>0.5659/J101</f>
        <v>0.19380136986301399</v>
      </c>
      <c r="K106" s="878">
        <f>0.5659/K101</f>
        <v>0.19380136986301399</v>
      </c>
      <c r="L106" s="878">
        <f>0.5659/L101</f>
        <v>0.19380136986301399</v>
      </c>
      <c r="M106" s="878">
        <f>0.5659/M101</f>
        <v>0.19380136986301399</v>
      </c>
      <c r="N106" s="878">
        <f>0.5659/N101</f>
        <v>0.19380136986301399</v>
      </c>
    </row>
    <row r="107" spans="1:14">
      <c r="A107" s="3537"/>
      <c r="B107" s="877">
        <v>6</v>
      </c>
      <c r="C107" s="878">
        <f>0.7608/C101</f>
        <v>0.26054794520547903</v>
      </c>
      <c r="D107" s="878">
        <f>0.7608/D101</f>
        <v>0.26054794520547903</v>
      </c>
      <c r="E107" s="878">
        <f>0.6482/E101</f>
        <v>0.221986301369863</v>
      </c>
      <c r="F107" s="878">
        <f>0.6482/F101</f>
        <v>0.221986301369863</v>
      </c>
      <c r="G107" s="878">
        <f>0.6482/G101</f>
        <v>0.221986301369863</v>
      </c>
      <c r="H107" s="878">
        <f>0.6482/H101</f>
        <v>0.221986301369863</v>
      </c>
      <c r="I107" s="878">
        <f>0.6482/I101</f>
        <v>0.221986301369863</v>
      </c>
      <c r="J107" s="878">
        <f>0.4525/J101</f>
        <v>0.15496575342465799</v>
      </c>
      <c r="K107" s="878">
        <f>0.4525/K101</f>
        <v>0.15496575342465799</v>
      </c>
      <c r="L107" s="878">
        <f>0.4525/L101</f>
        <v>0.15496575342465799</v>
      </c>
      <c r="M107" s="878">
        <f>0.4525/M101</f>
        <v>0.15496575342465799</v>
      </c>
      <c r="N107" s="878">
        <f>0.4525/N101</f>
        <v>0.15496575342465799</v>
      </c>
    </row>
    <row r="108" spans="1:14">
      <c r="A108" s="3537"/>
      <c r="B108" s="3539" t="s">
        <v>1680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8"/>
      <c r="B109" s="3540"/>
      <c r="C109" s="880">
        <f>(-0.163*(C108^2)-0.59*C108+7617)*(10^(-4))/C101</f>
        <v>0.26085616438356202</v>
      </c>
      <c r="D109" s="880">
        <f>(-0.163*(D108^2)-0.59*D108+7617)*(10^(-4))/D101</f>
        <v>0.26085616438356202</v>
      </c>
      <c r="E109" s="880">
        <f>(-0.161*(E108^2)-7.509*E108+6533)*(10^(-4))/E101</f>
        <v>0.223732876712329</v>
      </c>
      <c r="F109" s="880">
        <f>(-0.161*(F108^2)-7.509*F108+6533)*(10^(-4))/F101</f>
        <v>0.223732876712329</v>
      </c>
      <c r="G109" s="880">
        <f>(-0.161*(G108^2)-7.509*G108+6533)*(10^(-4))/G101</f>
        <v>0.223732876712329</v>
      </c>
      <c r="H109" s="880">
        <f>(-0.161*(H108^2)-7.509*H108+6533)*(10^(-4))/H101</f>
        <v>0.223732876712329</v>
      </c>
      <c r="I109" s="880">
        <f>(-0.161*(I108^2)-7.509*I108+6533)*(10^(-4))/I101</f>
        <v>0.223732876712329</v>
      </c>
      <c r="J109" s="880">
        <f>(-0.214*(J108^2)-21.991*J108+4665)*(10^(-4))/J101</f>
        <v>0.15976027397260301</v>
      </c>
      <c r="K109" s="880">
        <f>(-0.214*(K108^2)-21.991*K108+4665)*(10^(-4))/K101</f>
        <v>0.15976027397260301</v>
      </c>
      <c r="L109" s="880">
        <f>(-0.214*(L108^2)-21.991*L108+4665)*(10^(-4))/L101</f>
        <v>0.15976027397260301</v>
      </c>
      <c r="M109" s="880">
        <f>(-0.214*(M108^2)-21.991*M108+4665)*(10^(-4))/M101</f>
        <v>0.15976027397260301</v>
      </c>
      <c r="N109" s="880">
        <f>(-0.214*(N108^2)-21.991*N108+4665)*(10^(-4))/N101</f>
        <v>0.15976027397260301</v>
      </c>
    </row>
    <row r="110" spans="1:14">
      <c r="A110" s="3526" t="s">
        <v>1790</v>
      </c>
      <c r="B110" s="3526"/>
      <c r="C110" s="3526"/>
      <c r="D110" s="3526"/>
      <c r="E110" s="3526"/>
      <c r="F110" s="3526"/>
      <c r="G110" s="3526"/>
      <c r="H110" s="3526"/>
      <c r="I110" s="3526"/>
      <c r="J110" s="3526"/>
      <c r="K110" s="883"/>
      <c r="L110" s="883"/>
      <c r="M110" s="883"/>
      <c r="N110" s="883"/>
    </row>
    <row r="113" spans="1:13" ht="24.75">
      <c r="A113" s="884" t="s">
        <v>1791</v>
      </c>
      <c r="B113" s="885">
        <f>G3</f>
        <v>2.92</v>
      </c>
      <c r="C113" s="886" t="s">
        <v>1792</v>
      </c>
      <c r="D113" s="887">
        <f>SUMPRODUCT((A115:A118=F113)*(B114:M114=H113)*B115:M118)</f>
        <v>0</v>
      </c>
      <c r="E113" s="597" t="s">
        <v>1625</v>
      </c>
      <c r="F113" s="888">
        <f>E2</f>
        <v>0</v>
      </c>
      <c r="G113" s="597" t="s">
        <v>1626</v>
      </c>
      <c r="H113" s="888">
        <f>G2</f>
        <v>0</v>
      </c>
      <c r="I113" s="597"/>
      <c r="J113" s="899"/>
      <c r="K113" s="899"/>
      <c r="L113" s="899"/>
      <c r="M113" s="899"/>
    </row>
    <row r="114" spans="1:13">
      <c r="A114" s="889"/>
      <c r="B114" s="890" t="s">
        <v>1793</v>
      </c>
      <c r="C114" s="890" t="s">
        <v>1794</v>
      </c>
      <c r="D114" s="890" t="s">
        <v>1795</v>
      </c>
      <c r="E114" s="891" t="s">
        <v>1796</v>
      </c>
      <c r="F114" s="891" t="s">
        <v>1797</v>
      </c>
      <c r="G114" s="891" t="s">
        <v>1798</v>
      </c>
      <c r="H114" s="892" t="s">
        <v>1799</v>
      </c>
      <c r="I114" s="892" t="s">
        <v>1800</v>
      </c>
      <c r="J114" s="900" t="s">
        <v>1801</v>
      </c>
      <c r="K114" s="900" t="s">
        <v>1802</v>
      </c>
      <c r="L114" s="900" t="s">
        <v>1803</v>
      </c>
      <c r="M114" s="901" t="s">
        <v>1804</v>
      </c>
    </row>
    <row r="115" spans="1:13">
      <c r="A115" s="893" t="s">
        <v>1724</v>
      </c>
      <c r="B115" s="894">
        <f>ROUND(0.9335-0.0094*B113,4)</f>
        <v>0.90610000000000002</v>
      </c>
      <c r="C115" s="894">
        <f>B115</f>
        <v>0.90610000000000002</v>
      </c>
      <c r="D115" s="894">
        <f>ROUND(0.8331-0.0109*B113,4)</f>
        <v>0.80130000000000001</v>
      </c>
      <c r="E115" s="894">
        <f>D115</f>
        <v>0.80130000000000001</v>
      </c>
      <c r="F115" s="894">
        <f>E115</f>
        <v>0.80130000000000001</v>
      </c>
      <c r="G115" s="894">
        <f>F115</f>
        <v>0.80130000000000001</v>
      </c>
      <c r="H115" s="894">
        <f>G115</f>
        <v>0.80130000000000001</v>
      </c>
      <c r="I115" s="894">
        <f>ROUND(0.689-0.0155*B113,4)</f>
        <v>0.64370000000000005</v>
      </c>
      <c r="J115" s="894">
        <f t="shared" ref="J115:M118" si="33">I115</f>
        <v>0.64370000000000005</v>
      </c>
      <c r="K115" s="894">
        <f t="shared" si="33"/>
        <v>0.64370000000000005</v>
      </c>
      <c r="L115" s="894">
        <f t="shared" si="33"/>
        <v>0.64370000000000005</v>
      </c>
      <c r="M115" s="902">
        <f t="shared" si="33"/>
        <v>0.64370000000000005</v>
      </c>
    </row>
    <row r="116" spans="1:13">
      <c r="A116" s="893" t="s">
        <v>1725</v>
      </c>
      <c r="B116" s="894">
        <f>ROUND(0.949-0.012*B113,4)</f>
        <v>0.91400000000000003</v>
      </c>
      <c r="C116" s="894">
        <f>B116</f>
        <v>0.91400000000000003</v>
      </c>
      <c r="D116" s="894">
        <f>ROUND(0.8567-0.013*B113,4)</f>
        <v>0.81869999999999998</v>
      </c>
      <c r="E116" s="894">
        <f t="shared" ref="E116:H117" si="34">D116</f>
        <v>0.81869999999999998</v>
      </c>
      <c r="F116" s="894">
        <f t="shared" si="34"/>
        <v>0.81869999999999998</v>
      </c>
      <c r="G116" s="894">
        <f t="shared" si="34"/>
        <v>0.81869999999999998</v>
      </c>
      <c r="H116" s="894">
        <f t="shared" si="34"/>
        <v>0.81869999999999998</v>
      </c>
      <c r="I116" s="894">
        <f>ROUND(0.7694-0.014*B113,4)</f>
        <v>0.72850000000000004</v>
      </c>
      <c r="J116" s="894">
        <f t="shared" si="33"/>
        <v>0.72850000000000004</v>
      </c>
      <c r="K116" s="894">
        <f t="shared" si="33"/>
        <v>0.72850000000000004</v>
      </c>
      <c r="L116" s="894">
        <f t="shared" si="33"/>
        <v>0.72850000000000004</v>
      </c>
      <c r="M116" s="902">
        <f t="shared" si="33"/>
        <v>0.72850000000000004</v>
      </c>
    </row>
    <row r="117" spans="1:13">
      <c r="A117" s="893" t="s">
        <v>1726</v>
      </c>
      <c r="B117" s="894">
        <f>ROUND(0.8808-0.006*B113,4)</f>
        <v>0.86329999999999996</v>
      </c>
      <c r="C117" s="894">
        <f>B117</f>
        <v>0.86329999999999996</v>
      </c>
      <c r="D117" s="894">
        <f>ROUND(0.8748-0.008*B113,4)</f>
        <v>0.85140000000000005</v>
      </c>
      <c r="E117" s="894">
        <f t="shared" si="34"/>
        <v>0.85140000000000005</v>
      </c>
      <c r="F117" s="894">
        <f t="shared" si="34"/>
        <v>0.85140000000000005</v>
      </c>
      <c r="G117" s="894">
        <f t="shared" si="34"/>
        <v>0.85140000000000005</v>
      </c>
      <c r="H117" s="894">
        <f t="shared" si="34"/>
        <v>0.85140000000000005</v>
      </c>
      <c r="I117" s="894">
        <f>ROUND(0.7412-0.0095*B113,4)</f>
        <v>0.71350000000000002</v>
      </c>
      <c r="J117" s="894">
        <f t="shared" si="33"/>
        <v>0.71350000000000002</v>
      </c>
      <c r="K117" s="894">
        <f t="shared" si="33"/>
        <v>0.71350000000000002</v>
      </c>
      <c r="L117" s="894">
        <f t="shared" si="33"/>
        <v>0.71350000000000002</v>
      </c>
      <c r="M117" s="902">
        <f t="shared" si="33"/>
        <v>0.71350000000000002</v>
      </c>
    </row>
    <row r="118" spans="1:13">
      <c r="A118" s="895" t="s">
        <v>1727</v>
      </c>
      <c r="B118" s="896">
        <f>ROUND(0.7275-0.01*B113,4)</f>
        <v>0.69830000000000003</v>
      </c>
      <c r="C118" s="896">
        <f>B118</f>
        <v>0.69830000000000003</v>
      </c>
      <c r="D118" s="896">
        <f>ROUND(0.7043-0.012*B113,4)</f>
        <v>0.66930000000000001</v>
      </c>
      <c r="E118" s="896">
        <f>D118</f>
        <v>0.66930000000000001</v>
      </c>
      <c r="F118" s="896">
        <f>E118</f>
        <v>0.66930000000000001</v>
      </c>
      <c r="G118" s="896">
        <f>ROUND(0.6299-0.0122*B113,4)</f>
        <v>0.59430000000000005</v>
      </c>
      <c r="H118" s="896">
        <f>G118</f>
        <v>0.59430000000000005</v>
      </c>
      <c r="I118" s="896">
        <f>ROUND(0.5667-0.0136*B113,4)</f>
        <v>0.52700000000000002</v>
      </c>
      <c r="J118" s="896">
        <f t="shared" si="33"/>
        <v>0.52700000000000002</v>
      </c>
      <c r="K118" s="896">
        <f t="shared" si="33"/>
        <v>0.52700000000000002</v>
      </c>
      <c r="L118" s="896">
        <f t="shared" si="33"/>
        <v>0.52700000000000002</v>
      </c>
      <c r="M118" s="903">
        <f t="shared" si="33"/>
        <v>0.52700000000000002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1805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1806</v>
      </c>
      <c r="B4" s="526">
        <v>2.5</v>
      </c>
      <c r="C4" s="526">
        <v>2.5</v>
      </c>
      <c r="D4" s="526">
        <v>2.5</v>
      </c>
      <c r="E4" s="526">
        <v>2.5</v>
      </c>
      <c r="F4" s="526">
        <v>2.5</v>
      </c>
      <c r="G4" s="526">
        <v>2.5</v>
      </c>
      <c r="H4" s="526">
        <v>2.5</v>
      </c>
      <c r="I4" s="525">
        <v>1.5</v>
      </c>
      <c r="J4" s="525">
        <v>1.5</v>
      </c>
      <c r="K4" s="525">
        <v>1.5</v>
      </c>
      <c r="L4" s="525">
        <v>1.5</v>
      </c>
      <c r="M4" s="572">
        <v>1.5</v>
      </c>
    </row>
    <row r="5" spans="1:13" ht="19.5" customHeight="1">
      <c r="A5" s="527" t="s">
        <v>1807</v>
      </c>
      <c r="B5" s="525">
        <v>1.5</v>
      </c>
      <c r="C5" s="525">
        <v>1.5</v>
      </c>
      <c r="D5" s="525">
        <v>1.5</v>
      </c>
      <c r="E5" s="525">
        <v>1.5</v>
      </c>
      <c r="F5" s="525">
        <v>1.5</v>
      </c>
      <c r="G5" s="525">
        <v>1.2</v>
      </c>
      <c r="H5" s="525">
        <v>1.2</v>
      </c>
      <c r="I5" s="525">
        <v>1</v>
      </c>
      <c r="J5" s="525">
        <v>1</v>
      </c>
      <c r="K5" s="525">
        <v>1</v>
      </c>
      <c r="L5" s="525">
        <v>1</v>
      </c>
      <c r="M5" s="572">
        <v>1</v>
      </c>
    </row>
    <row r="6" spans="1:13" ht="19.5" customHeight="1">
      <c r="A6" s="528" t="s">
        <v>1808</v>
      </c>
      <c r="B6" s="529">
        <v>2.5</v>
      </c>
      <c r="C6" s="529">
        <v>2.5</v>
      </c>
      <c r="D6" s="529">
        <v>2</v>
      </c>
      <c r="E6" s="529">
        <v>2</v>
      </c>
      <c r="F6" s="529">
        <v>2</v>
      </c>
      <c r="G6" s="529">
        <v>2</v>
      </c>
      <c r="H6" s="529">
        <v>2</v>
      </c>
      <c r="I6" s="573">
        <v>1.5</v>
      </c>
      <c r="J6" s="573">
        <v>1.5</v>
      </c>
      <c r="K6" s="573">
        <v>1.5</v>
      </c>
      <c r="L6" s="573">
        <v>1.5</v>
      </c>
      <c r="M6" s="574">
        <v>1.5</v>
      </c>
    </row>
    <row r="7" spans="1:13" ht="19.5" customHeight="1">
      <c r="A7" s="530" t="s">
        <v>1809</v>
      </c>
      <c r="B7" s="531">
        <v>2.5</v>
      </c>
      <c r="C7" s="531">
        <v>2.5</v>
      </c>
      <c r="D7" s="531">
        <v>2</v>
      </c>
      <c r="E7" s="531">
        <v>2</v>
      </c>
      <c r="F7" s="531">
        <v>2</v>
      </c>
      <c r="G7" s="531">
        <v>2</v>
      </c>
      <c r="H7" s="531">
        <v>2</v>
      </c>
      <c r="I7" s="575">
        <v>1.5</v>
      </c>
      <c r="J7" s="575">
        <v>1.5</v>
      </c>
      <c r="K7" s="575">
        <v>1.5</v>
      </c>
      <c r="L7" s="575">
        <v>1.5</v>
      </c>
      <c r="M7" s="576">
        <v>1.5</v>
      </c>
    </row>
    <row r="8" spans="1:13" ht="19.5" customHeight="1">
      <c r="A8" s="532" t="s">
        <v>1810</v>
      </c>
      <c r="B8" s="533">
        <v>80</v>
      </c>
      <c r="C8" s="533">
        <v>80</v>
      </c>
      <c r="D8" s="533">
        <v>70</v>
      </c>
      <c r="E8" s="533">
        <v>70</v>
      </c>
      <c r="F8" s="533">
        <v>70</v>
      </c>
      <c r="G8" s="533">
        <v>70</v>
      </c>
      <c r="H8" s="533">
        <v>70</v>
      </c>
      <c r="I8" s="533">
        <v>60</v>
      </c>
      <c r="J8" s="533">
        <v>60</v>
      </c>
      <c r="K8" s="533">
        <v>60</v>
      </c>
      <c r="L8" s="533">
        <v>60</v>
      </c>
      <c r="M8" s="577">
        <v>60</v>
      </c>
    </row>
    <row r="9" spans="1:13" ht="19.5" customHeight="1">
      <c r="A9" s="534" t="s">
        <v>1811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1812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1817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1818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1819</v>
      </c>
      <c r="B18" s="540"/>
      <c r="C18" s="541"/>
      <c r="D18" s="541"/>
      <c r="E18" s="540"/>
      <c r="F18" s="541"/>
      <c r="G18" s="541"/>
    </row>
    <row r="19" spans="1:13" ht="19.5" customHeight="1">
      <c r="A19" s="537" t="s">
        <v>1820</v>
      </c>
      <c r="B19" s="542" t="s">
        <v>1821</v>
      </c>
      <c r="C19" s="543" t="s">
        <v>1822</v>
      </c>
      <c r="D19" s="544"/>
      <c r="E19" s="535" t="s">
        <v>1823</v>
      </c>
      <c r="F19" s="545"/>
      <c r="G19" s="545"/>
    </row>
    <row r="20" spans="1:13" s="517" customFormat="1" ht="19.5" customHeight="1">
      <c r="A20" s="3543" t="s">
        <v>1805</v>
      </c>
      <c r="B20" s="3549" t="s">
        <v>1824</v>
      </c>
      <c r="C20" s="546" t="s">
        <v>1825</v>
      </c>
      <c r="D20" s="547"/>
      <c r="E20" s="548">
        <v>1</v>
      </c>
      <c r="F20" s="549" t="s">
        <v>1826</v>
      </c>
      <c r="G20" s="550"/>
      <c r="H20" s="518"/>
      <c r="I20" s="518"/>
    </row>
    <row r="21" spans="1:13" s="517" customFormat="1" ht="19.5" customHeight="1">
      <c r="A21" s="3544"/>
      <c r="B21" s="3550"/>
      <c r="C21" s="551" t="s">
        <v>1827</v>
      </c>
      <c r="D21" s="552"/>
      <c r="E21" s="553">
        <v>1</v>
      </c>
      <c r="F21" s="549" t="s">
        <v>1828</v>
      </c>
      <c r="G21" s="550"/>
      <c r="H21" s="518"/>
      <c r="I21" s="518"/>
    </row>
    <row r="22" spans="1:13" s="517" customFormat="1" ht="19.5" customHeight="1">
      <c r="A22" s="3544"/>
      <c r="B22" s="3550"/>
      <c r="C22" s="551" t="s">
        <v>1829</v>
      </c>
      <c r="D22" s="552"/>
      <c r="E22" s="553">
        <v>0.9</v>
      </c>
      <c r="F22" s="549" t="s">
        <v>1830</v>
      </c>
      <c r="G22" s="550"/>
      <c r="H22" s="518"/>
      <c r="I22" s="518"/>
    </row>
    <row r="23" spans="1:13" s="517" customFormat="1" ht="19.5" customHeight="1">
      <c r="A23" s="3544"/>
      <c r="B23" s="3550"/>
      <c r="C23" s="551" t="s">
        <v>1831</v>
      </c>
      <c r="D23" s="552"/>
      <c r="E23" s="553">
        <v>0.9</v>
      </c>
      <c r="F23" s="549" t="s">
        <v>1832</v>
      </c>
      <c r="G23" s="550"/>
      <c r="H23" s="518"/>
      <c r="I23" s="518"/>
    </row>
    <row r="24" spans="1:13" s="517" customFormat="1" ht="19.5" customHeight="1">
      <c r="A24" s="3544"/>
      <c r="B24" s="3550"/>
      <c r="C24" s="551" t="s">
        <v>1833</v>
      </c>
      <c r="D24" s="552"/>
      <c r="E24" s="553">
        <v>0.8</v>
      </c>
      <c r="F24" s="549" t="s">
        <v>1834</v>
      </c>
      <c r="G24" s="550"/>
      <c r="H24" s="518"/>
      <c r="I24" s="518"/>
    </row>
    <row r="25" spans="1:13" s="517" customFormat="1" ht="19.5" customHeight="1">
      <c r="A25" s="3545"/>
      <c r="B25" s="3551"/>
      <c r="C25" s="554" t="s">
        <v>1835</v>
      </c>
      <c r="D25" s="555"/>
      <c r="E25" s="556">
        <v>0.8</v>
      </c>
      <c r="F25" s="549" t="s">
        <v>1836</v>
      </c>
      <c r="G25" s="550"/>
      <c r="H25" s="518"/>
      <c r="I25" s="518"/>
    </row>
    <row r="26" spans="1:13" s="517" customFormat="1" ht="19.5" customHeight="1">
      <c r="A26" s="557" t="s">
        <v>452</v>
      </c>
      <c r="B26" s="558" t="s">
        <v>1824</v>
      </c>
      <c r="C26" s="559" t="s">
        <v>1837</v>
      </c>
      <c r="D26" s="560"/>
      <c r="E26" s="561">
        <v>1</v>
      </c>
      <c r="F26" s="549" t="s">
        <v>1838</v>
      </c>
      <c r="G26" s="550"/>
      <c r="H26" s="518"/>
      <c r="I26" s="518"/>
    </row>
    <row r="27" spans="1:13" s="517" customFormat="1" ht="19.5" customHeight="1">
      <c r="A27" s="3546" t="s">
        <v>1809</v>
      </c>
      <c r="B27" s="3549" t="s">
        <v>1809</v>
      </c>
      <c r="C27" s="546" t="s">
        <v>1839</v>
      </c>
      <c r="D27" s="547"/>
      <c r="E27" s="548">
        <v>1</v>
      </c>
      <c r="F27" s="549" t="s">
        <v>1840</v>
      </c>
      <c r="G27" s="550"/>
      <c r="H27" s="518"/>
      <c r="I27" s="518"/>
    </row>
    <row r="28" spans="1:13" s="517" customFormat="1" ht="19.5" customHeight="1">
      <c r="A28" s="3547"/>
      <c r="B28" s="3550"/>
      <c r="C28" s="551" t="s">
        <v>1841</v>
      </c>
      <c r="D28" s="552"/>
      <c r="E28" s="553">
        <v>1</v>
      </c>
      <c r="F28" s="549" t="s">
        <v>1842</v>
      </c>
      <c r="G28" s="550"/>
      <c r="H28" s="518"/>
      <c r="I28" s="518"/>
    </row>
    <row r="29" spans="1:13" s="517" customFormat="1" ht="19.5" customHeight="1">
      <c r="A29" s="3547"/>
      <c r="B29" s="3550"/>
      <c r="C29" s="551" t="s">
        <v>1843</v>
      </c>
      <c r="D29" s="552"/>
      <c r="E29" s="553">
        <v>0.8</v>
      </c>
      <c r="F29" s="549" t="s">
        <v>1844</v>
      </c>
      <c r="G29" s="550"/>
      <c r="H29" s="518"/>
      <c r="I29" s="518"/>
    </row>
    <row r="30" spans="1:13" s="517" customFormat="1" ht="19.5" customHeight="1">
      <c r="A30" s="3547"/>
      <c r="B30" s="3550"/>
      <c r="C30" s="551" t="s">
        <v>1845</v>
      </c>
      <c r="D30" s="552"/>
      <c r="E30" s="553">
        <v>0.8</v>
      </c>
      <c r="F30" s="549" t="s">
        <v>1846</v>
      </c>
      <c r="G30" s="550"/>
      <c r="H30" s="518"/>
      <c r="I30" s="518"/>
    </row>
    <row r="31" spans="1:13" s="517" customFormat="1" ht="19.5" customHeight="1">
      <c r="A31" s="3547"/>
      <c r="B31" s="3550"/>
      <c r="C31" s="551" t="s">
        <v>1847</v>
      </c>
      <c r="D31" s="552"/>
      <c r="E31" s="553">
        <v>0.8</v>
      </c>
      <c r="F31" s="549" t="s">
        <v>1848</v>
      </c>
      <c r="G31" s="550"/>
      <c r="H31" s="518"/>
      <c r="I31" s="518"/>
    </row>
    <row r="32" spans="1:13" s="517" customFormat="1" ht="19.5" customHeight="1">
      <c r="A32" s="3547"/>
      <c r="B32" s="3550"/>
      <c r="C32" s="551" t="s">
        <v>1849</v>
      </c>
      <c r="D32" s="552"/>
      <c r="E32" s="553">
        <v>0.7</v>
      </c>
      <c r="F32" s="549" t="s">
        <v>1850</v>
      </c>
      <c r="G32" s="550"/>
      <c r="H32" s="518"/>
      <c r="I32" s="518"/>
    </row>
    <row r="33" spans="1:9" s="517" customFormat="1" ht="19.5" customHeight="1">
      <c r="A33" s="3547"/>
      <c r="B33" s="3550"/>
      <c r="C33" s="551" t="s">
        <v>1851</v>
      </c>
      <c r="D33" s="552"/>
      <c r="E33" s="553">
        <v>0.8</v>
      </c>
      <c r="F33" s="549" t="s">
        <v>1852</v>
      </c>
      <c r="G33" s="550"/>
      <c r="H33" s="518"/>
      <c r="I33" s="518"/>
    </row>
    <row r="34" spans="1:9" s="517" customFormat="1" ht="19.5" customHeight="1">
      <c r="A34" s="3547"/>
      <c r="B34" s="3550"/>
      <c r="C34" s="551" t="s">
        <v>1853</v>
      </c>
      <c r="D34" s="552"/>
      <c r="E34" s="553">
        <v>0.6</v>
      </c>
      <c r="F34" s="549" t="s">
        <v>1854</v>
      </c>
      <c r="G34" s="550"/>
      <c r="H34" s="518"/>
      <c r="I34" s="518"/>
    </row>
    <row r="35" spans="1:9" s="517" customFormat="1" ht="19.5" customHeight="1">
      <c r="A35" s="3547"/>
      <c r="B35" s="3550"/>
      <c r="C35" s="551" t="s">
        <v>1855</v>
      </c>
      <c r="D35" s="552"/>
      <c r="E35" s="553">
        <v>0.2</v>
      </c>
      <c r="F35" s="549" t="s">
        <v>1856</v>
      </c>
      <c r="G35" s="550"/>
      <c r="H35" s="518"/>
      <c r="I35" s="518"/>
    </row>
    <row r="36" spans="1:9" s="517" customFormat="1" ht="19.5" customHeight="1">
      <c r="A36" s="3547"/>
      <c r="B36" s="3550"/>
      <c r="C36" s="551" t="s">
        <v>1857</v>
      </c>
      <c r="D36" s="552"/>
      <c r="E36" s="553">
        <v>0.2</v>
      </c>
      <c r="F36" s="549" t="s">
        <v>1858</v>
      </c>
      <c r="G36" s="550"/>
      <c r="H36" s="518"/>
      <c r="I36" s="518"/>
    </row>
    <row r="37" spans="1:9" s="517" customFormat="1" ht="19.5" customHeight="1">
      <c r="A37" s="3547"/>
      <c r="B37" s="3552" t="s">
        <v>1859</v>
      </c>
      <c r="C37" s="551" t="s">
        <v>1860</v>
      </c>
      <c r="D37" s="552"/>
      <c r="E37" s="553">
        <v>0.6</v>
      </c>
      <c r="F37" s="549" t="s">
        <v>1861</v>
      </c>
      <c r="G37" s="550"/>
      <c r="H37" s="518"/>
      <c r="I37" s="518"/>
    </row>
    <row r="38" spans="1:9" s="517" customFormat="1" ht="19.5" customHeight="1">
      <c r="A38" s="3547"/>
      <c r="B38" s="3550"/>
      <c r="C38" s="551" t="s">
        <v>1862</v>
      </c>
      <c r="D38" s="552"/>
      <c r="E38" s="553">
        <v>0.6</v>
      </c>
      <c r="F38" s="549" t="s">
        <v>1863</v>
      </c>
      <c r="G38" s="550"/>
      <c r="H38" s="518"/>
      <c r="I38" s="518"/>
    </row>
    <row r="39" spans="1:9" s="517" customFormat="1" ht="19.5" customHeight="1">
      <c r="A39" s="3548"/>
      <c r="B39" s="3551"/>
      <c r="C39" s="554" t="s">
        <v>1864</v>
      </c>
      <c r="D39" s="555"/>
      <c r="E39" s="556">
        <v>0.6</v>
      </c>
      <c r="F39" s="549" t="s">
        <v>1865</v>
      </c>
      <c r="G39" s="550"/>
      <c r="H39" s="518"/>
      <c r="I39" s="518"/>
    </row>
    <row r="40" spans="1:9" s="517" customFormat="1" ht="19.5" customHeight="1">
      <c r="A40" s="557" t="s">
        <v>1806</v>
      </c>
      <c r="B40" s="558" t="s">
        <v>1806</v>
      </c>
      <c r="C40" s="559" t="s">
        <v>1866</v>
      </c>
      <c r="D40" s="560"/>
      <c r="E40" s="561">
        <v>1</v>
      </c>
      <c r="F40" s="549" t="s">
        <v>1867</v>
      </c>
      <c r="G40" s="550"/>
      <c r="H40" s="518"/>
      <c r="I40" s="518"/>
    </row>
    <row r="41" spans="1:9" s="517" customFormat="1" ht="19.5" customHeight="1">
      <c r="A41" s="3543" t="s">
        <v>1807</v>
      </c>
      <c r="B41" s="3549" t="s">
        <v>1868</v>
      </c>
      <c r="C41" s="546" t="s">
        <v>1869</v>
      </c>
      <c r="D41" s="547"/>
      <c r="E41" s="548">
        <v>1</v>
      </c>
      <c r="F41" s="549" t="s">
        <v>1870</v>
      </c>
      <c r="G41" s="550"/>
      <c r="H41" s="518"/>
      <c r="I41" s="518"/>
    </row>
    <row r="42" spans="1:9" s="517" customFormat="1" ht="19.5" customHeight="1">
      <c r="A42" s="3544"/>
      <c r="B42" s="3550"/>
      <c r="C42" s="551" t="s">
        <v>1871</v>
      </c>
      <c r="D42" s="552"/>
      <c r="E42" s="553">
        <v>1</v>
      </c>
      <c r="F42" s="549" t="s">
        <v>1872</v>
      </c>
      <c r="G42" s="550"/>
      <c r="H42" s="518"/>
      <c r="I42" s="518"/>
    </row>
    <row r="43" spans="1:9" s="517" customFormat="1" ht="19.5" customHeight="1">
      <c r="A43" s="3544"/>
      <c r="B43" s="3553"/>
      <c r="C43" s="551" t="s">
        <v>1873</v>
      </c>
      <c r="D43" s="552"/>
      <c r="E43" s="553">
        <v>1.5</v>
      </c>
      <c r="F43" s="549" t="s">
        <v>1874</v>
      </c>
      <c r="G43" s="550"/>
      <c r="H43" s="518"/>
      <c r="I43" s="518"/>
    </row>
    <row r="44" spans="1:9" s="517" customFormat="1" ht="19.5" customHeight="1">
      <c r="A44" s="3544"/>
      <c r="B44" s="562" t="s">
        <v>1809</v>
      </c>
      <c r="C44" s="551" t="s">
        <v>1808</v>
      </c>
      <c r="D44" s="552"/>
      <c r="E44" s="553">
        <v>2</v>
      </c>
      <c r="F44" s="549" t="s">
        <v>1875</v>
      </c>
      <c r="G44" s="550"/>
      <c r="H44" s="518"/>
      <c r="I44" s="518"/>
    </row>
    <row r="45" spans="1:9" s="517" customFormat="1" ht="19.5" customHeight="1">
      <c r="A45" s="3544"/>
      <c r="B45" s="3552" t="s">
        <v>1876</v>
      </c>
      <c r="C45" s="551" t="s">
        <v>1877</v>
      </c>
      <c r="D45" s="552"/>
      <c r="E45" s="553">
        <v>1</v>
      </c>
      <c r="F45" s="549" t="s">
        <v>1878</v>
      </c>
      <c r="G45" s="550"/>
      <c r="H45" s="518"/>
      <c r="I45" s="518"/>
    </row>
    <row r="46" spans="1:9" s="517" customFormat="1" ht="19.5" customHeight="1">
      <c r="A46" s="3544"/>
      <c r="B46" s="3550"/>
      <c r="C46" s="551" t="s">
        <v>1879</v>
      </c>
      <c r="D46" s="552"/>
      <c r="E46" s="553">
        <v>1</v>
      </c>
      <c r="F46" s="549" t="s">
        <v>1880</v>
      </c>
      <c r="G46" s="550"/>
      <c r="H46" s="518"/>
      <c r="I46" s="518"/>
    </row>
    <row r="47" spans="1:9" s="517" customFormat="1" ht="19.5" customHeight="1">
      <c r="A47" s="3544"/>
      <c r="B47" s="3550"/>
      <c r="C47" s="551" t="s">
        <v>1881</v>
      </c>
      <c r="D47" s="552"/>
      <c r="E47" s="553">
        <v>1</v>
      </c>
      <c r="F47" s="549" t="s">
        <v>1882</v>
      </c>
      <c r="G47" s="550"/>
      <c r="H47" s="518"/>
      <c r="I47" s="518"/>
    </row>
    <row r="48" spans="1:9" s="517" customFormat="1" ht="19.5" customHeight="1">
      <c r="A48" s="3544"/>
      <c r="B48" s="3550"/>
      <c r="C48" s="551" t="s">
        <v>1883</v>
      </c>
      <c r="D48" s="552"/>
      <c r="E48" s="553">
        <v>1</v>
      </c>
      <c r="F48" s="549" t="s">
        <v>1884</v>
      </c>
      <c r="G48" s="550"/>
      <c r="H48" s="518"/>
      <c r="I48" s="518"/>
    </row>
    <row r="49" spans="1:9" s="517" customFormat="1" ht="19.5" customHeight="1">
      <c r="A49" s="3544"/>
      <c r="B49" s="3550"/>
      <c r="C49" s="551" t="s">
        <v>1885</v>
      </c>
      <c r="D49" s="552"/>
      <c r="E49" s="553">
        <v>1</v>
      </c>
      <c r="F49" s="549" t="s">
        <v>1886</v>
      </c>
      <c r="G49" s="550"/>
      <c r="H49" s="518"/>
      <c r="I49" s="518"/>
    </row>
    <row r="50" spans="1:9" s="517" customFormat="1" ht="19.5" customHeight="1">
      <c r="A50" s="3544"/>
      <c r="B50" s="3550"/>
      <c r="C50" s="551" t="s">
        <v>1887</v>
      </c>
      <c r="D50" s="552"/>
      <c r="E50" s="553">
        <v>1</v>
      </c>
      <c r="F50" s="549" t="s">
        <v>1888</v>
      </c>
      <c r="G50" s="550"/>
      <c r="H50" s="518"/>
      <c r="I50" s="518"/>
    </row>
    <row r="51" spans="1:9" s="517" customFormat="1" ht="19.5" customHeight="1">
      <c r="A51" s="3545"/>
      <c r="B51" s="3551"/>
      <c r="C51" s="554" t="s">
        <v>1889</v>
      </c>
      <c r="D51" s="555"/>
      <c r="E51" s="556">
        <v>1</v>
      </c>
      <c r="F51" s="549" t="s">
        <v>1890</v>
      </c>
      <c r="G51" s="550"/>
      <c r="H51" s="518"/>
      <c r="I51" s="518"/>
    </row>
    <row r="52" spans="1:9" s="517" customFormat="1" ht="19.5" customHeight="1">
      <c r="A52" s="563"/>
      <c r="B52" s="563"/>
      <c r="C52" s="563"/>
      <c r="D52" s="563"/>
      <c r="E52" s="563"/>
      <c r="F52" s="564"/>
      <c r="G52" s="564"/>
      <c r="H52" s="518"/>
      <c r="I52" s="518"/>
    </row>
    <row r="54" spans="1:9" ht="19.5" customHeight="1">
      <c r="A54" s="565"/>
      <c r="B54" s="538" t="s">
        <v>446</v>
      </c>
      <c r="C54" s="538" t="s">
        <v>446</v>
      </c>
      <c r="D54" s="538" t="s">
        <v>446</v>
      </c>
      <c r="E54" s="566" t="s">
        <v>446</v>
      </c>
      <c r="F54" s="566" t="s">
        <v>1891</v>
      </c>
      <c r="G54" s="566" t="s">
        <v>446</v>
      </c>
      <c r="I54" s="519"/>
    </row>
    <row r="55" spans="1:9" ht="19.5" customHeight="1">
      <c r="A55" s="567"/>
      <c r="B55" s="566" t="s">
        <v>1805</v>
      </c>
      <c r="C55" s="566" t="s">
        <v>1805</v>
      </c>
      <c r="D55" s="566" t="s">
        <v>1805</v>
      </c>
      <c r="E55" s="538" t="s">
        <v>452</v>
      </c>
      <c r="F55" s="538" t="s">
        <v>1807</v>
      </c>
      <c r="G55" s="538" t="s">
        <v>1892</v>
      </c>
      <c r="I55" s="519"/>
    </row>
    <row r="56" spans="1:9" ht="19.5" customHeight="1">
      <c r="A56" s="568"/>
      <c r="B56" s="538">
        <v>1</v>
      </c>
      <c r="C56" s="538">
        <v>2</v>
      </c>
      <c r="D56" s="538">
        <v>3</v>
      </c>
      <c r="E56" s="569" t="s">
        <v>1893</v>
      </c>
      <c r="F56" s="569" t="s">
        <v>1893</v>
      </c>
      <c r="G56" s="569" t="s">
        <v>1893</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1894</v>
      </c>
      <c r="E70" s="540"/>
      <c r="F70" s="540"/>
    </row>
    <row r="71" spans="1:7" s="518" customFormat="1" ht="19.5" customHeight="1">
      <c r="A71" s="581" t="s">
        <v>1895</v>
      </c>
      <c r="B71" s="581" t="s">
        <v>1896</v>
      </c>
      <c r="C71" s="581" t="s">
        <v>1897</v>
      </c>
      <c r="D71" s="581" t="s">
        <v>1898</v>
      </c>
      <c r="E71" s="581" t="s">
        <v>1899</v>
      </c>
      <c r="F71" s="581" t="s">
        <v>1900</v>
      </c>
    </row>
    <row r="72" spans="1:7" ht="13.5">
      <c r="A72" s="581"/>
      <c r="B72" s="581"/>
      <c r="C72" s="581" t="s">
        <v>1901</v>
      </c>
      <c r="D72" s="581"/>
      <c r="E72" s="582" t="s">
        <v>124</v>
      </c>
      <c r="F72" s="581" t="s">
        <v>124</v>
      </c>
    </row>
    <row r="73" spans="1:7" s="518" customFormat="1" ht="13.5">
      <c r="A73" s="562">
        <v>1</v>
      </c>
      <c r="B73" s="3552" t="s">
        <v>1902</v>
      </c>
      <c r="C73" s="535" t="s">
        <v>1903</v>
      </c>
      <c r="D73" s="535" t="s">
        <v>1904</v>
      </c>
      <c r="E73" s="583">
        <v>0.2</v>
      </c>
      <c r="F73" s="562">
        <v>25</v>
      </c>
    </row>
    <row r="74" spans="1:7" s="518" customFormat="1" ht="24">
      <c r="A74" s="562">
        <v>2</v>
      </c>
      <c r="B74" s="3550"/>
      <c r="C74" s="535" t="s">
        <v>1905</v>
      </c>
      <c r="D74" s="535" t="s">
        <v>1906</v>
      </c>
      <c r="E74" s="583">
        <v>0.2</v>
      </c>
      <c r="F74" s="562">
        <v>25</v>
      </c>
    </row>
    <row r="75" spans="1:7" s="518" customFormat="1" ht="24">
      <c r="A75" s="562">
        <v>3</v>
      </c>
      <c r="B75" s="3550"/>
      <c r="C75" s="535" t="s">
        <v>1907</v>
      </c>
      <c r="D75" s="535" t="s">
        <v>1908</v>
      </c>
      <c r="E75" s="583">
        <v>0.2</v>
      </c>
      <c r="F75" s="562">
        <v>25</v>
      </c>
    </row>
    <row r="76" spans="1:7" s="518" customFormat="1" ht="13.5">
      <c r="A76" s="562">
        <v>4</v>
      </c>
      <c r="B76" s="3550"/>
      <c r="C76" s="535" t="s">
        <v>1909</v>
      </c>
      <c r="D76" s="535" t="s">
        <v>1910</v>
      </c>
      <c r="E76" s="583">
        <v>0.15</v>
      </c>
      <c r="F76" s="562">
        <v>20</v>
      </c>
    </row>
    <row r="77" spans="1:7" s="518" customFormat="1" ht="24">
      <c r="A77" s="562">
        <v>5</v>
      </c>
      <c r="B77" s="3550"/>
      <c r="C77" s="535" t="s">
        <v>1911</v>
      </c>
      <c r="D77" s="535" t="s">
        <v>1912</v>
      </c>
      <c r="E77" s="583">
        <v>0.15</v>
      </c>
      <c r="F77" s="562">
        <v>20</v>
      </c>
    </row>
    <row r="78" spans="1:7" s="518" customFormat="1" ht="24">
      <c r="A78" s="562">
        <v>6</v>
      </c>
      <c r="B78" s="3550"/>
      <c r="C78" s="535" t="s">
        <v>1913</v>
      </c>
      <c r="D78" s="535" t="s">
        <v>1914</v>
      </c>
      <c r="E78" s="583">
        <v>0.15</v>
      </c>
      <c r="F78" s="562">
        <v>20</v>
      </c>
    </row>
    <row r="79" spans="1:7" s="518" customFormat="1" ht="24">
      <c r="A79" s="562">
        <v>7</v>
      </c>
      <c r="B79" s="3550"/>
      <c r="C79" s="535" t="s">
        <v>1915</v>
      </c>
      <c r="D79" s="535" t="s">
        <v>1916</v>
      </c>
      <c r="E79" s="583">
        <v>0.15</v>
      </c>
      <c r="F79" s="562">
        <v>20</v>
      </c>
    </row>
    <row r="80" spans="1:7" s="518" customFormat="1" ht="24">
      <c r="A80" s="562">
        <v>8</v>
      </c>
      <c r="B80" s="3550"/>
      <c r="C80" s="535" t="s">
        <v>1917</v>
      </c>
      <c r="D80" s="535" t="s">
        <v>1918</v>
      </c>
      <c r="E80" s="583">
        <v>0.1</v>
      </c>
      <c r="F80" s="562">
        <v>15</v>
      </c>
    </row>
    <row r="81" spans="1:6" s="518" customFormat="1" ht="24">
      <c r="A81" s="562">
        <v>9</v>
      </c>
      <c r="B81" s="3550"/>
      <c r="C81" s="535" t="s">
        <v>1919</v>
      </c>
      <c r="D81" s="535" t="s">
        <v>1920</v>
      </c>
      <c r="E81" s="583">
        <v>0.1</v>
      </c>
      <c r="F81" s="562">
        <v>15</v>
      </c>
    </row>
    <row r="82" spans="1:6" s="518" customFormat="1" ht="24">
      <c r="A82" s="562">
        <v>10</v>
      </c>
      <c r="B82" s="3550"/>
      <c r="C82" s="535" t="s">
        <v>1921</v>
      </c>
      <c r="D82" s="535" t="s">
        <v>1922</v>
      </c>
      <c r="E82" s="583">
        <v>0.1</v>
      </c>
      <c r="F82" s="562">
        <v>15</v>
      </c>
    </row>
    <row r="83" spans="1:6" s="518" customFormat="1" ht="24">
      <c r="A83" s="562">
        <v>11</v>
      </c>
      <c r="B83" s="3550"/>
      <c r="C83" s="535" t="s">
        <v>1923</v>
      </c>
      <c r="D83" s="535" t="s">
        <v>1924</v>
      </c>
      <c r="E83" s="583">
        <v>0.1</v>
      </c>
      <c r="F83" s="562">
        <v>15</v>
      </c>
    </row>
    <row r="84" spans="1:6" s="518" customFormat="1" ht="24">
      <c r="A84" s="562">
        <v>12</v>
      </c>
      <c r="B84" s="3550"/>
      <c r="C84" s="535" t="s">
        <v>1925</v>
      </c>
      <c r="D84" s="535" t="s">
        <v>1926</v>
      </c>
      <c r="E84" s="583">
        <v>0.1</v>
      </c>
      <c r="F84" s="562">
        <v>15</v>
      </c>
    </row>
    <row r="85" spans="1:6" s="518" customFormat="1" ht="13.5">
      <c r="A85" s="562">
        <v>13</v>
      </c>
      <c r="B85" s="3550"/>
      <c r="C85" s="535" t="s">
        <v>1927</v>
      </c>
      <c r="D85" s="535" t="s">
        <v>1928</v>
      </c>
      <c r="E85" s="583">
        <v>0.1</v>
      </c>
      <c r="F85" s="562">
        <v>15</v>
      </c>
    </row>
    <row r="86" spans="1:6" s="518" customFormat="1" ht="13.5">
      <c r="A86" s="562">
        <v>14</v>
      </c>
      <c r="B86" s="3550"/>
      <c r="C86" s="535" t="s">
        <v>1929</v>
      </c>
      <c r="D86" s="535" t="s">
        <v>1930</v>
      </c>
      <c r="E86" s="583">
        <v>0.1</v>
      </c>
      <c r="F86" s="562">
        <v>15</v>
      </c>
    </row>
    <row r="87" spans="1:6" s="518" customFormat="1" ht="13.5">
      <c r="A87" s="562">
        <v>15</v>
      </c>
      <c r="B87" s="3550"/>
      <c r="C87" s="535" t="s">
        <v>1931</v>
      </c>
      <c r="D87" s="535" t="s">
        <v>1932</v>
      </c>
      <c r="E87" s="583">
        <v>0.1</v>
      </c>
      <c r="F87" s="562">
        <v>15</v>
      </c>
    </row>
    <row r="88" spans="1:6" s="518" customFormat="1" ht="24">
      <c r="A88" s="562">
        <v>16</v>
      </c>
      <c r="B88" s="3550"/>
      <c r="C88" s="535" t="s">
        <v>1933</v>
      </c>
      <c r="D88" s="535" t="s">
        <v>1934</v>
      </c>
      <c r="E88" s="583">
        <v>0.1</v>
      </c>
      <c r="F88" s="562">
        <v>15</v>
      </c>
    </row>
    <row r="89" spans="1:6" s="518" customFormat="1" ht="24">
      <c r="A89" s="562">
        <v>17</v>
      </c>
      <c r="B89" s="3553"/>
      <c r="C89" s="535" t="s">
        <v>1935</v>
      </c>
      <c r="D89" s="535" t="s">
        <v>1936</v>
      </c>
      <c r="E89" s="583">
        <v>0.1</v>
      </c>
      <c r="F89" s="562">
        <v>15</v>
      </c>
    </row>
    <row r="90" spans="1:6" s="518" customFormat="1" ht="13.5">
      <c r="A90" s="562">
        <v>18</v>
      </c>
      <c r="B90" s="3552" t="s">
        <v>1937</v>
      </c>
      <c r="C90" s="535" t="s">
        <v>1938</v>
      </c>
      <c r="D90" s="535" t="s">
        <v>1939</v>
      </c>
      <c r="E90" s="583">
        <v>0.2</v>
      </c>
      <c r="F90" s="562">
        <v>25</v>
      </c>
    </row>
    <row r="91" spans="1:6" s="518" customFormat="1" ht="24">
      <c r="A91" s="562">
        <v>19</v>
      </c>
      <c r="B91" s="3550"/>
      <c r="C91" s="535" t="s">
        <v>1940</v>
      </c>
      <c r="D91" s="535" t="s">
        <v>1941</v>
      </c>
      <c r="E91" s="583">
        <v>0.2</v>
      </c>
      <c r="F91" s="562">
        <v>25</v>
      </c>
    </row>
    <row r="92" spans="1:6" s="518" customFormat="1" ht="13.5">
      <c r="A92" s="562">
        <v>20</v>
      </c>
      <c r="B92" s="3550"/>
      <c r="C92" s="535" t="s">
        <v>1942</v>
      </c>
      <c r="D92" s="535" t="s">
        <v>1943</v>
      </c>
      <c r="E92" s="583">
        <v>0.15</v>
      </c>
      <c r="F92" s="562">
        <v>20</v>
      </c>
    </row>
    <row r="93" spans="1:6" s="518" customFormat="1" ht="24">
      <c r="A93" s="562">
        <v>21</v>
      </c>
      <c r="B93" s="3550"/>
      <c r="C93" s="535" t="s">
        <v>1944</v>
      </c>
      <c r="D93" s="535" t="s">
        <v>1945</v>
      </c>
      <c r="E93" s="583">
        <v>0.15</v>
      </c>
      <c r="F93" s="562">
        <v>20</v>
      </c>
    </row>
    <row r="94" spans="1:6" s="518" customFormat="1" ht="24">
      <c r="A94" s="562">
        <v>22</v>
      </c>
      <c r="B94" s="3550"/>
      <c r="C94" s="535" t="s">
        <v>1946</v>
      </c>
      <c r="D94" s="535" t="s">
        <v>1947</v>
      </c>
      <c r="E94" s="583">
        <v>0.15</v>
      </c>
      <c r="F94" s="562">
        <v>20</v>
      </c>
    </row>
    <row r="95" spans="1:6" s="518" customFormat="1" ht="36">
      <c r="A95" s="562">
        <v>23</v>
      </c>
      <c r="B95" s="3550"/>
      <c r="C95" s="535" t="s">
        <v>1948</v>
      </c>
      <c r="D95" s="535" t="s">
        <v>1949</v>
      </c>
      <c r="E95" s="583">
        <v>0.15</v>
      </c>
      <c r="F95" s="562">
        <v>20</v>
      </c>
    </row>
    <row r="96" spans="1:6" s="518" customFormat="1" ht="13.5">
      <c r="A96" s="562">
        <v>24</v>
      </c>
      <c r="B96" s="3550"/>
      <c r="C96" s="535" t="s">
        <v>1950</v>
      </c>
      <c r="D96" s="535" t="s">
        <v>1951</v>
      </c>
      <c r="E96" s="583">
        <v>0.1</v>
      </c>
      <c r="F96" s="562">
        <v>15</v>
      </c>
    </row>
    <row r="97" spans="1:6" s="518" customFormat="1" ht="24">
      <c r="A97" s="562">
        <v>25</v>
      </c>
      <c r="B97" s="3550"/>
      <c r="C97" s="535" t="s">
        <v>1952</v>
      </c>
      <c r="D97" s="535" t="s">
        <v>1953</v>
      </c>
      <c r="E97" s="583">
        <v>0.1</v>
      </c>
      <c r="F97" s="562">
        <v>15</v>
      </c>
    </row>
    <row r="98" spans="1:6" s="518" customFormat="1" ht="24">
      <c r="A98" s="562">
        <v>26</v>
      </c>
      <c r="B98" s="3550"/>
      <c r="C98" s="535" t="s">
        <v>1954</v>
      </c>
      <c r="D98" s="535" t="s">
        <v>1955</v>
      </c>
      <c r="E98" s="583">
        <v>0.1</v>
      </c>
      <c r="F98" s="562">
        <v>15</v>
      </c>
    </row>
    <row r="99" spans="1:6" s="518" customFormat="1" ht="24">
      <c r="A99" s="562">
        <v>27</v>
      </c>
      <c r="B99" s="3550"/>
      <c r="C99" s="535" t="s">
        <v>1956</v>
      </c>
      <c r="D99" s="535" t="s">
        <v>1957</v>
      </c>
      <c r="E99" s="583">
        <v>0.1</v>
      </c>
      <c r="F99" s="562">
        <v>15</v>
      </c>
    </row>
    <row r="100" spans="1:6" s="518" customFormat="1" ht="24">
      <c r="A100" s="562">
        <v>28</v>
      </c>
      <c r="B100" s="3550"/>
      <c r="C100" s="535" t="s">
        <v>1958</v>
      </c>
      <c r="D100" s="535" t="s">
        <v>1959</v>
      </c>
      <c r="E100" s="583">
        <v>0.1</v>
      </c>
      <c r="F100" s="562">
        <v>15</v>
      </c>
    </row>
    <row r="101" spans="1:6" s="518" customFormat="1" ht="24">
      <c r="A101" s="562">
        <v>29</v>
      </c>
      <c r="B101" s="3550"/>
      <c r="C101" s="535" t="s">
        <v>1960</v>
      </c>
      <c r="D101" s="535" t="s">
        <v>1961</v>
      </c>
      <c r="E101" s="583">
        <v>0.1</v>
      </c>
      <c r="F101" s="562">
        <v>15</v>
      </c>
    </row>
    <row r="102" spans="1:6" s="518" customFormat="1" ht="24">
      <c r="A102" s="562">
        <v>30</v>
      </c>
      <c r="B102" s="3550"/>
      <c r="C102" s="535" t="s">
        <v>1962</v>
      </c>
      <c r="D102" s="535" t="s">
        <v>1963</v>
      </c>
      <c r="E102" s="583">
        <v>0.1</v>
      </c>
      <c r="F102" s="562">
        <v>15</v>
      </c>
    </row>
    <row r="103" spans="1:6" s="518" customFormat="1" ht="24">
      <c r="A103" s="562">
        <v>31</v>
      </c>
      <c r="B103" s="3550"/>
      <c r="C103" s="535" t="s">
        <v>1964</v>
      </c>
      <c r="D103" s="535" t="s">
        <v>1965</v>
      </c>
      <c r="E103" s="583">
        <v>0.1</v>
      </c>
      <c r="F103" s="562">
        <v>15</v>
      </c>
    </row>
    <row r="104" spans="1:6" s="518" customFormat="1" ht="24">
      <c r="A104" s="562">
        <v>32</v>
      </c>
      <c r="B104" s="3550"/>
      <c r="C104" s="535" t="s">
        <v>1966</v>
      </c>
      <c r="D104" s="535" t="s">
        <v>1967</v>
      </c>
      <c r="E104" s="583">
        <v>0.1</v>
      </c>
      <c r="F104" s="562">
        <v>15</v>
      </c>
    </row>
    <row r="105" spans="1:6" s="518" customFormat="1" ht="24">
      <c r="A105" s="562">
        <v>33</v>
      </c>
      <c r="B105" s="3550"/>
      <c r="C105" s="535" t="s">
        <v>1968</v>
      </c>
      <c r="D105" s="535" t="s">
        <v>1969</v>
      </c>
      <c r="E105" s="583">
        <v>0.1</v>
      </c>
      <c r="F105" s="562">
        <v>15</v>
      </c>
    </row>
    <row r="106" spans="1:6" s="518" customFormat="1" ht="24">
      <c r="A106" s="562">
        <v>34</v>
      </c>
      <c r="B106" s="3553"/>
      <c r="C106" s="535" t="s">
        <v>1970</v>
      </c>
      <c r="D106" s="535" t="s">
        <v>1971</v>
      </c>
      <c r="E106" s="583">
        <v>0.1</v>
      </c>
      <c r="F106" s="562">
        <v>15</v>
      </c>
    </row>
    <row r="107" spans="1:6" s="518" customFormat="1" ht="24">
      <c r="A107" s="562">
        <v>35</v>
      </c>
      <c r="B107" s="3552" t="s">
        <v>1972</v>
      </c>
      <c r="C107" s="562" t="s">
        <v>1973</v>
      </c>
      <c r="D107" s="535" t="s">
        <v>1974</v>
      </c>
      <c r="E107" s="583">
        <v>0.15</v>
      </c>
      <c r="F107" s="562">
        <v>20</v>
      </c>
    </row>
    <row r="108" spans="1:6" s="518" customFormat="1" ht="24">
      <c r="A108" s="562">
        <v>36</v>
      </c>
      <c r="B108" s="3550"/>
      <c r="C108" s="562" t="s">
        <v>1975</v>
      </c>
      <c r="D108" s="535" t="s">
        <v>1976</v>
      </c>
      <c r="E108" s="583">
        <v>0.15</v>
      </c>
      <c r="F108" s="562">
        <v>20</v>
      </c>
    </row>
    <row r="109" spans="1:6" s="518" customFormat="1" ht="24">
      <c r="A109" s="562">
        <v>37</v>
      </c>
      <c r="B109" s="3550"/>
      <c r="C109" s="562" t="s">
        <v>1977</v>
      </c>
      <c r="D109" s="535" t="s">
        <v>1978</v>
      </c>
      <c r="E109" s="583">
        <v>0.15</v>
      </c>
      <c r="F109" s="562">
        <v>20</v>
      </c>
    </row>
    <row r="110" spans="1:6" s="518" customFormat="1" ht="13.5">
      <c r="A110" s="562">
        <v>38</v>
      </c>
      <c r="B110" s="3550"/>
      <c r="C110" s="562" t="s">
        <v>1979</v>
      </c>
      <c r="D110" s="535" t="s">
        <v>1980</v>
      </c>
      <c r="E110" s="583">
        <v>0.1</v>
      </c>
      <c r="F110" s="562">
        <v>15</v>
      </c>
    </row>
    <row r="111" spans="1:6" s="518" customFormat="1" ht="24">
      <c r="A111" s="562">
        <v>39</v>
      </c>
      <c r="B111" s="3550"/>
      <c r="C111" s="562" t="s">
        <v>1981</v>
      </c>
      <c r="D111" s="535" t="s">
        <v>1982</v>
      </c>
      <c r="E111" s="583">
        <v>0.1</v>
      </c>
      <c r="F111" s="562">
        <v>15</v>
      </c>
    </row>
    <row r="112" spans="1:6" s="518" customFormat="1" ht="24">
      <c r="A112" s="562">
        <v>40</v>
      </c>
      <c r="B112" s="3553"/>
      <c r="C112" s="562" t="s">
        <v>1983</v>
      </c>
      <c r="D112" s="535" t="s">
        <v>1984</v>
      </c>
      <c r="E112" s="583">
        <v>0.1</v>
      </c>
      <c r="F112" s="562">
        <v>15</v>
      </c>
    </row>
    <row r="113" spans="1:6" s="518" customFormat="1" ht="24">
      <c r="A113" s="562">
        <v>41</v>
      </c>
      <c r="B113" s="3554" t="s">
        <v>1985</v>
      </c>
      <c r="C113" s="562" t="s">
        <v>1986</v>
      </c>
      <c r="D113" s="535" t="s">
        <v>1987</v>
      </c>
      <c r="E113" s="583">
        <v>0.1</v>
      </c>
      <c r="F113" s="562">
        <v>15</v>
      </c>
    </row>
    <row r="114" spans="1:6" s="518" customFormat="1" ht="13.5">
      <c r="A114" s="562">
        <v>42</v>
      </c>
      <c r="B114" s="3554"/>
      <c r="C114" s="562" t="s">
        <v>1988</v>
      </c>
      <c r="D114" s="535" t="s">
        <v>1989</v>
      </c>
      <c r="E114" s="583">
        <v>0.1</v>
      </c>
      <c r="F114" s="562">
        <v>15</v>
      </c>
    </row>
    <row r="115" spans="1:6" s="518" customFormat="1" ht="24">
      <c r="A115" s="562">
        <v>43</v>
      </c>
      <c r="B115" s="3554"/>
      <c r="C115" s="562" t="s">
        <v>1990</v>
      </c>
      <c r="D115" s="535" t="s">
        <v>1991</v>
      </c>
      <c r="E115" s="583">
        <v>0.1</v>
      </c>
      <c r="F115" s="562">
        <v>15</v>
      </c>
    </row>
    <row r="116" spans="1:6" s="518" customFormat="1" ht="24">
      <c r="A116" s="562">
        <v>44</v>
      </c>
      <c r="B116" s="3552" t="s">
        <v>1992</v>
      </c>
      <c r="C116" s="562" t="s">
        <v>1993</v>
      </c>
      <c r="D116" s="535" t="s">
        <v>1994</v>
      </c>
      <c r="E116" s="583">
        <v>0.1</v>
      </c>
      <c r="F116" s="562">
        <v>15</v>
      </c>
    </row>
    <row r="117" spans="1:6" s="518" customFormat="1" ht="24">
      <c r="A117" s="562">
        <v>45</v>
      </c>
      <c r="B117" s="3553"/>
      <c r="C117" s="535" t="s">
        <v>1995</v>
      </c>
      <c r="D117" s="535" t="s">
        <v>1996</v>
      </c>
      <c r="E117" s="583">
        <v>0.1</v>
      </c>
      <c r="F117" s="562">
        <v>15</v>
      </c>
    </row>
    <row r="118" spans="1:6" s="518" customFormat="1" ht="24">
      <c r="A118" s="562">
        <v>46</v>
      </c>
      <c r="B118" s="3552" t="s">
        <v>1997</v>
      </c>
      <c r="C118" s="562" t="s">
        <v>1998</v>
      </c>
      <c r="D118" s="535" t="s">
        <v>1999</v>
      </c>
      <c r="E118" s="583">
        <v>0.1</v>
      </c>
      <c r="F118" s="562">
        <v>15</v>
      </c>
    </row>
    <row r="119" spans="1:6" s="518" customFormat="1" ht="24">
      <c r="A119" s="562">
        <v>47</v>
      </c>
      <c r="B119" s="3553"/>
      <c r="C119" s="562" t="s">
        <v>2000</v>
      </c>
      <c r="D119" s="535" t="s">
        <v>2001</v>
      </c>
      <c r="E119" s="583">
        <v>0.1</v>
      </c>
      <c r="F119" s="562">
        <v>15</v>
      </c>
    </row>
    <row r="120" spans="1:6" s="518" customFormat="1" ht="24">
      <c r="A120" s="562">
        <v>48</v>
      </c>
      <c r="B120" s="3552" t="s">
        <v>2002</v>
      </c>
      <c r="C120" s="562" t="s">
        <v>2003</v>
      </c>
      <c r="D120" s="535" t="s">
        <v>2004</v>
      </c>
      <c r="E120" s="583">
        <v>0.1</v>
      </c>
      <c r="F120" s="562">
        <v>15</v>
      </c>
    </row>
    <row r="121" spans="1:6" s="518" customFormat="1" ht="13.5">
      <c r="A121" s="562">
        <v>49</v>
      </c>
      <c r="B121" s="3553"/>
      <c r="C121" s="562" t="s">
        <v>2005</v>
      </c>
      <c r="D121" s="535" t="s">
        <v>2006</v>
      </c>
      <c r="E121" s="583">
        <v>0.1</v>
      </c>
      <c r="F121" s="562">
        <v>15</v>
      </c>
    </row>
    <row r="122" spans="1:6" s="518" customFormat="1" ht="24">
      <c r="A122" s="562">
        <v>50</v>
      </c>
      <c r="B122" s="3554" t="s">
        <v>2007</v>
      </c>
      <c r="C122" s="562" t="s">
        <v>2008</v>
      </c>
      <c r="D122" s="535" t="s">
        <v>2009</v>
      </c>
      <c r="E122" s="583">
        <v>0.1</v>
      </c>
      <c r="F122" s="562">
        <v>15</v>
      </c>
    </row>
    <row r="123" spans="1:6" s="518" customFormat="1" ht="24">
      <c r="A123" s="562">
        <v>51</v>
      </c>
      <c r="B123" s="3554"/>
      <c r="C123" s="562" t="s">
        <v>2010</v>
      </c>
      <c r="D123" s="535" t="s">
        <v>2011</v>
      </c>
      <c r="E123" s="583">
        <v>0.1</v>
      </c>
      <c r="F123" s="562">
        <v>15</v>
      </c>
    </row>
    <row r="124" spans="1:6" s="518" customFormat="1" ht="24">
      <c r="A124" s="562">
        <v>52</v>
      </c>
      <c r="B124" s="3554" t="s">
        <v>2012</v>
      </c>
      <c r="C124" s="562" t="s">
        <v>2013</v>
      </c>
      <c r="D124" s="535" t="s">
        <v>2014</v>
      </c>
      <c r="E124" s="583">
        <v>0.1</v>
      </c>
      <c r="F124" s="562">
        <v>15</v>
      </c>
    </row>
    <row r="125" spans="1:6" s="518" customFormat="1" ht="24">
      <c r="A125" s="562">
        <v>53</v>
      </c>
      <c r="B125" s="3554"/>
      <c r="C125" s="562" t="s">
        <v>2015</v>
      </c>
      <c r="D125" s="535" t="s">
        <v>2016</v>
      </c>
      <c r="E125" s="583">
        <v>0.1</v>
      </c>
      <c r="F125" s="562">
        <v>15</v>
      </c>
    </row>
    <row r="126" spans="1:6" ht="24">
      <c r="A126" s="562">
        <v>54</v>
      </c>
      <c r="B126" s="562" t="s">
        <v>2017</v>
      </c>
      <c r="C126" s="562" t="s">
        <v>2018</v>
      </c>
      <c r="D126" s="535" t="s">
        <v>2019</v>
      </c>
      <c r="E126" s="583">
        <v>0.1</v>
      </c>
      <c r="F126" s="562">
        <v>15</v>
      </c>
    </row>
    <row r="127" spans="1:6" ht="13.5">
      <c r="A127" s="562">
        <v>55</v>
      </c>
      <c r="B127" s="3554" t="s">
        <v>2020</v>
      </c>
      <c r="C127" s="562" t="s">
        <v>2021</v>
      </c>
      <c r="D127" s="535" t="s">
        <v>2022</v>
      </c>
      <c r="E127" s="583">
        <v>0.1</v>
      </c>
      <c r="F127" s="562">
        <v>15</v>
      </c>
    </row>
    <row r="128" spans="1:6" ht="13.5">
      <c r="A128" s="562">
        <v>56</v>
      </c>
      <c r="B128" s="3554"/>
      <c r="C128" s="562" t="s">
        <v>2023</v>
      </c>
      <c r="D128" s="535" t="s">
        <v>2024</v>
      </c>
      <c r="E128" s="583">
        <v>0.1</v>
      </c>
      <c r="F128" s="562">
        <v>15</v>
      </c>
    </row>
    <row r="129" spans="1:6" ht="24">
      <c r="A129" s="562">
        <v>57</v>
      </c>
      <c r="B129" s="3554"/>
      <c r="C129" s="562" t="s">
        <v>2025</v>
      </c>
      <c r="D129" s="535" t="s">
        <v>2026</v>
      </c>
      <c r="E129" s="583">
        <v>0.1</v>
      </c>
      <c r="F129" s="562">
        <v>15</v>
      </c>
    </row>
    <row r="130" spans="1:6" ht="24">
      <c r="A130" s="562">
        <v>58</v>
      </c>
      <c r="B130" s="3554" t="s">
        <v>2027</v>
      </c>
      <c r="C130" s="562" t="s">
        <v>2028</v>
      </c>
      <c r="D130" s="535" t="s">
        <v>2029</v>
      </c>
      <c r="E130" s="583">
        <v>0.1</v>
      </c>
      <c r="F130" s="562">
        <v>15</v>
      </c>
    </row>
    <row r="131" spans="1:6" ht="24">
      <c r="A131" s="562">
        <v>59</v>
      </c>
      <c r="B131" s="3554"/>
      <c r="C131" s="562" t="s">
        <v>2030</v>
      </c>
      <c r="D131" s="535" t="s">
        <v>2031</v>
      </c>
      <c r="E131" s="583">
        <v>0.1</v>
      </c>
      <c r="F131" s="562">
        <v>15</v>
      </c>
    </row>
    <row r="132" spans="1:6" ht="24">
      <c r="A132" s="562">
        <v>60</v>
      </c>
      <c r="B132" s="3552" t="s">
        <v>2032</v>
      </c>
      <c r="C132" s="562" t="s">
        <v>2033</v>
      </c>
      <c r="D132" s="535" t="s">
        <v>2034</v>
      </c>
      <c r="E132" s="583">
        <v>0.1</v>
      </c>
      <c r="F132" s="562">
        <v>15</v>
      </c>
    </row>
    <row r="133" spans="1:6" ht="24">
      <c r="A133" s="562">
        <v>61</v>
      </c>
      <c r="B133" s="3553"/>
      <c r="C133" s="562" t="s">
        <v>2035</v>
      </c>
      <c r="D133" s="535" t="s">
        <v>2036</v>
      </c>
      <c r="E133" s="583">
        <v>0.1</v>
      </c>
      <c r="F133" s="562">
        <v>15</v>
      </c>
    </row>
    <row r="134" spans="1:6" ht="24">
      <c r="A134" s="562">
        <v>62</v>
      </c>
      <c r="B134" s="562" t="s">
        <v>2037</v>
      </c>
      <c r="C134" s="562" t="s">
        <v>2038</v>
      </c>
      <c r="D134" s="535" t="s">
        <v>2039</v>
      </c>
      <c r="E134" s="583">
        <v>0.1</v>
      </c>
      <c r="F134" s="562">
        <v>15</v>
      </c>
    </row>
    <row r="135" spans="1:6" ht="24">
      <c r="A135" s="562">
        <v>63</v>
      </c>
      <c r="B135" s="3554" t="s">
        <v>2040</v>
      </c>
      <c r="C135" s="562" t="s">
        <v>2041</v>
      </c>
      <c r="D135" s="535" t="s">
        <v>2042</v>
      </c>
      <c r="E135" s="583">
        <v>0.1</v>
      </c>
      <c r="F135" s="562">
        <v>15</v>
      </c>
    </row>
    <row r="136" spans="1:6" ht="13.5">
      <c r="A136" s="562">
        <v>64</v>
      </c>
      <c r="B136" s="3554"/>
      <c r="C136" s="562" t="s">
        <v>2043</v>
      </c>
      <c r="D136" s="535" t="s">
        <v>2044</v>
      </c>
      <c r="E136" s="583">
        <v>0.1</v>
      </c>
      <c r="F136" s="562">
        <v>15</v>
      </c>
    </row>
    <row r="137" spans="1:6" ht="24">
      <c r="A137" s="562">
        <v>65</v>
      </c>
      <c r="B137" s="562" t="s">
        <v>2045</v>
      </c>
      <c r="C137" s="562" t="s">
        <v>2046</v>
      </c>
      <c r="D137" s="535" t="s">
        <v>2047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2048</v>
      </c>
      <c r="B1" s="509"/>
      <c r="C1" s="509"/>
      <c r="D1" s="509"/>
      <c r="E1" s="509"/>
      <c r="F1" s="509"/>
      <c r="G1" s="509"/>
      <c r="H1" s="509"/>
      <c r="I1" s="509"/>
      <c r="J1" s="509"/>
      <c r="K1" s="509"/>
      <c r="L1" s="509"/>
      <c r="M1" s="509"/>
      <c r="N1" s="509"/>
    </row>
    <row r="2" spans="1:14">
      <c r="A2" s="510" t="s">
        <v>2049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2050</v>
      </c>
      <c r="B103" s="509"/>
      <c r="C103" s="509"/>
      <c r="D103" s="509"/>
      <c r="E103" s="509"/>
      <c r="F103" s="509"/>
      <c r="G103" s="509"/>
      <c r="H103" s="509"/>
      <c r="I103" s="509"/>
      <c r="J103" s="509"/>
      <c r="K103" s="509"/>
      <c r="L103" s="509"/>
      <c r="M103" s="509"/>
      <c r="N103" s="509"/>
    </row>
    <row r="104" spans="1:14" ht="14.25">
      <c r="A104" s="510" t="s">
        <v>2049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2051</v>
      </c>
      <c r="B205" s="509"/>
      <c r="C205" s="509"/>
      <c r="D205" s="509"/>
      <c r="E205" s="509"/>
      <c r="F205" s="509"/>
      <c r="G205" s="509"/>
      <c r="H205" s="509"/>
      <c r="I205" s="509"/>
      <c r="J205" s="509"/>
      <c r="K205" s="509"/>
      <c r="L205" s="509"/>
      <c r="M205" s="509"/>
    </row>
    <row r="206" spans="1:13">
      <c r="A206" s="510" t="s">
        <v>2049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2052</v>
      </c>
      <c r="B307" s="509"/>
      <c r="C307" s="509"/>
      <c r="D307" s="509"/>
      <c r="E307" s="509"/>
      <c r="F307" s="509"/>
      <c r="G307" s="509"/>
      <c r="H307" s="509"/>
      <c r="I307" s="509"/>
      <c r="J307" s="509"/>
      <c r="K307" s="509"/>
      <c r="L307" s="509"/>
      <c r="M307" s="509"/>
    </row>
    <row r="308" spans="1:13">
      <c r="A308" s="510" t="s">
        <v>2049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2053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2054</v>
      </c>
      <c r="D2" s="497" t="s">
        <v>2055</v>
      </c>
      <c r="E2" s="499">
        <f ca="1">SUMIF(E6:E13,"&lt;&gt;#ref!",E6:E13)</f>
        <v>0</v>
      </c>
      <c r="F2" s="496"/>
      <c r="G2" s="496"/>
      <c r="H2" s="496"/>
      <c r="I2" s="496"/>
      <c r="J2" s="496"/>
      <c r="K2" s="496"/>
      <c r="L2" s="496"/>
      <c r="M2" s="496"/>
      <c r="N2" s="496"/>
      <c r="O2" s="496"/>
      <c r="P2" s="496"/>
    </row>
    <row r="3" spans="1:16" ht="15.75">
      <c r="A3" s="497" t="s">
        <v>2056</v>
      </c>
      <c r="B3" s="498" t="e">
        <f ca="1">ROUND(B2*10000/E2,0)</f>
        <v>#DIV/0!</v>
      </c>
      <c r="C3" s="497" t="s">
        <v>2057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2058</v>
      </c>
      <c r="B5" s="502" t="s">
        <v>2059</v>
      </c>
      <c r="C5" s="503"/>
      <c r="D5" s="496"/>
      <c r="E5" s="504" t="s">
        <v>2060</v>
      </c>
      <c r="F5" s="496"/>
      <c r="G5" s="496"/>
      <c r="H5" s="496"/>
      <c r="I5" s="496"/>
      <c r="J5" s="496"/>
      <c r="K5" s="496"/>
      <c r="L5" s="496"/>
      <c r="M5" s="496"/>
      <c r="N5" s="496"/>
      <c r="O5" s="496"/>
      <c r="P5" s="496"/>
    </row>
    <row r="6" spans="1:16" ht="15.75">
      <c r="A6" s="505" t="s">
        <v>2061</v>
      </c>
      <c r="B6" s="498" t="e">
        <f ca="1">SUMIF(INDIRECT("'"&amp;A6&amp;"'"&amp;"!A:A"),"总价",INDIRECT("'"&amp;A6&amp;"'"&amp;"!B:B"))</f>
        <v>#DIV/0!</v>
      </c>
      <c r="C6" s="497" t="s">
        <v>2054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2054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2054</v>
      </c>
      <c r="D8" s="496"/>
      <c r="E8" s="499" t="e">
        <f t="shared" ca="1" si="0"/>
        <v>#REF!</v>
      </c>
      <c r="F8" s="496"/>
      <c r="G8" s="496"/>
      <c r="H8" s="496"/>
      <c r="I8" s="496"/>
      <c r="J8" s="496"/>
      <c r="K8" s="496"/>
      <c r="L8" s="496"/>
      <c r="M8" s="496"/>
      <c r="N8" s="496"/>
      <c r="O8" s="496"/>
      <c r="P8" s="496"/>
    </row>
    <row r="9" spans="1:16" ht="15.75">
      <c r="A9" s="505"/>
      <c r="B9" s="498" t="e">
        <f t="shared" ca="1" si="1"/>
        <v>#REF!</v>
      </c>
      <c r="C9" s="497" t="s">
        <v>2054</v>
      </c>
      <c r="D9" s="496"/>
      <c r="E9" s="499" t="e">
        <f t="shared" ca="1" si="0"/>
        <v>#REF!</v>
      </c>
      <c r="F9" s="496"/>
      <c r="G9" s="496"/>
      <c r="H9" s="496"/>
      <c r="I9" s="496"/>
      <c r="J9" s="496"/>
      <c r="K9" s="496"/>
      <c r="L9" s="496"/>
      <c r="M9" s="496"/>
      <c r="N9" s="496"/>
      <c r="O9" s="496"/>
      <c r="P9" s="496"/>
    </row>
    <row r="10" spans="1:16" ht="15.75">
      <c r="A10" s="505"/>
      <c r="B10" s="498" t="e">
        <f t="shared" ca="1" si="1"/>
        <v>#REF!</v>
      </c>
      <c r="C10" s="497" t="s">
        <v>2054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2054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2054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2054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5" t="s">
        <v>2062</v>
      </c>
      <c r="C1" s="3555"/>
      <c r="D1" s="3555"/>
      <c r="E1" s="3555"/>
      <c r="F1" s="3555"/>
      <c r="G1" s="3556" t="s">
        <v>2063</v>
      </c>
      <c r="H1" s="3556"/>
      <c r="I1" s="3556"/>
      <c r="J1" s="3556"/>
      <c r="K1" s="3556"/>
      <c r="L1" s="3556"/>
      <c r="N1" s="3556" t="s">
        <v>2064</v>
      </c>
      <c r="O1" s="3556"/>
      <c r="P1" s="3556"/>
      <c r="Q1" s="3556"/>
      <c r="S1" s="3556" t="s">
        <v>2065</v>
      </c>
      <c r="T1" s="3556"/>
      <c r="U1" s="3556"/>
      <c r="V1" s="3556"/>
      <c r="X1" s="3557" t="s">
        <v>2066</v>
      </c>
      <c r="Y1" s="3556"/>
      <c r="Z1" s="3556"/>
      <c r="AA1" s="3556"/>
      <c r="AB1" s="3556"/>
      <c r="AD1" s="3557" t="s">
        <v>2067</v>
      </c>
      <c r="AE1" s="3556"/>
      <c r="AF1" s="3556"/>
      <c r="AG1" s="3556"/>
      <c r="AH1" s="3556"/>
    </row>
    <row r="2" spans="1:34" s="360" customFormat="1" ht="13.5">
      <c r="B2" s="370" t="s">
        <v>2068</v>
      </c>
      <c r="C2" s="370" t="s">
        <v>2069</v>
      </c>
      <c r="D2" s="371" t="s">
        <v>452</v>
      </c>
      <c r="E2" s="371" t="s">
        <v>1806</v>
      </c>
      <c r="F2" s="370" t="s">
        <v>2070</v>
      </c>
      <c r="G2" s="372"/>
      <c r="I2" s="370" t="s">
        <v>2068</v>
      </c>
      <c r="J2" s="371" t="s">
        <v>1824</v>
      </c>
      <c r="K2" s="371" t="s">
        <v>1806</v>
      </c>
      <c r="L2" s="370" t="s">
        <v>2070</v>
      </c>
      <c r="N2" s="370" t="s">
        <v>2068</v>
      </c>
      <c r="O2" s="371" t="s">
        <v>1824</v>
      </c>
      <c r="P2" s="371" t="s">
        <v>1806</v>
      </c>
      <c r="Q2" s="370" t="s">
        <v>2070</v>
      </c>
      <c r="S2" s="370" t="s">
        <v>2068</v>
      </c>
      <c r="T2" s="371" t="s">
        <v>1824</v>
      </c>
      <c r="U2" s="371" t="s">
        <v>1806</v>
      </c>
      <c r="V2" s="370" t="s">
        <v>2070</v>
      </c>
      <c r="X2" s="370" t="s">
        <v>2068</v>
      </c>
      <c r="Y2" s="370" t="s">
        <v>2069</v>
      </c>
      <c r="Z2" s="371" t="s">
        <v>452</v>
      </c>
      <c r="AA2" s="371" t="s">
        <v>1806</v>
      </c>
      <c r="AB2" s="370" t="s">
        <v>2070</v>
      </c>
      <c r="AD2" s="370" t="s">
        <v>2068</v>
      </c>
      <c r="AE2" s="370" t="s">
        <v>2069</v>
      </c>
      <c r="AF2" s="371" t="s">
        <v>452</v>
      </c>
      <c r="AG2" s="371" t="s">
        <v>1806</v>
      </c>
      <c r="AH2" s="370" t="s">
        <v>2070</v>
      </c>
    </row>
    <row r="3" spans="1:34" s="361" customFormat="1" ht="14.25">
      <c r="A3" s="373" t="s">
        <v>2071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2072</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2074</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2075</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2076</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2077</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2078</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2079</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2080</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2081</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2082</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2083</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2084</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2085</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2086</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8">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2087</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8"/>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2088</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8"/>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2089</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59"/>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2090</v>
      </c>
      <c r="B22" s="393">
        <v>439</v>
      </c>
      <c r="C22" s="393">
        <v>327</v>
      </c>
      <c r="D22" s="393">
        <f t="shared" si="184"/>
        <v>327</v>
      </c>
      <c r="E22" s="393">
        <v>627</v>
      </c>
      <c r="F22" s="394">
        <v>283</v>
      </c>
      <c r="G22" s="3560">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2091</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8"/>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2092</v>
      </c>
      <c r="B24" s="387">
        <f t="shared" si="199"/>
        <v>419.31181600000002</v>
      </c>
      <c r="C24" s="387">
        <f t="shared" si="200"/>
        <v>313.95436799999999</v>
      </c>
      <c r="D24" s="387">
        <f t="shared" si="201"/>
        <v>313.95436799999999</v>
      </c>
      <c r="E24" s="387">
        <f t="shared" si="202"/>
        <v>596.63028431999999</v>
      </c>
      <c r="F24" s="387">
        <f t="shared" si="203"/>
        <v>274.74220703999998</v>
      </c>
      <c r="G24" s="3558"/>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2093</v>
      </c>
      <c r="B25" s="387">
        <f t="shared" si="199"/>
        <v>405.524</v>
      </c>
      <c r="C25" s="387">
        <f t="shared" si="200"/>
        <v>307.79840000000002</v>
      </c>
      <c r="D25" s="387">
        <f t="shared" si="201"/>
        <v>307.79840000000002</v>
      </c>
      <c r="E25" s="387">
        <f t="shared" si="202"/>
        <v>574.67759999999998</v>
      </c>
      <c r="F25" s="387">
        <f t="shared" si="203"/>
        <v>270.20280000000002</v>
      </c>
      <c r="G25" s="3559"/>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2094</v>
      </c>
      <c r="B26" s="393">
        <v>392</v>
      </c>
      <c r="C26" s="393">
        <v>302</v>
      </c>
      <c r="D26" s="393">
        <f t="shared" si="201"/>
        <v>302</v>
      </c>
      <c r="E26" s="393">
        <v>553</v>
      </c>
      <c r="F26" s="394">
        <v>266</v>
      </c>
      <c r="G26" s="3560">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2095</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8"/>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2096</v>
      </c>
      <c r="B28" s="387">
        <f t="shared" si="212"/>
        <v>360.06949782209398</v>
      </c>
      <c r="C28" s="387">
        <f t="shared" si="212"/>
        <v>289.84672674747799</v>
      </c>
      <c r="D28" s="387">
        <f t="shared" si="213"/>
        <v>289.84672674747799</v>
      </c>
      <c r="E28" s="387">
        <f t="shared" si="214"/>
        <v>501.06543001181501</v>
      </c>
      <c r="F28" s="387">
        <f t="shared" si="214"/>
        <v>256.82882500745001</v>
      </c>
      <c r="G28" s="3558"/>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2097</v>
      </c>
      <c r="B29" s="387">
        <f t="shared" si="212"/>
        <v>346.720748986128</v>
      </c>
      <c r="C29" s="387">
        <f t="shared" si="212"/>
        <v>284.30282172386302</v>
      </c>
      <c r="D29" s="387">
        <f t="shared" si="213"/>
        <v>284.30282172386302</v>
      </c>
      <c r="E29" s="387">
        <f t="shared" si="214"/>
        <v>479.58023546306902</v>
      </c>
      <c r="F29" s="387">
        <f t="shared" si="214"/>
        <v>253.25788877571199</v>
      </c>
      <c r="G29" s="3561"/>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2098</v>
      </c>
      <c r="B30" s="393">
        <v>333</v>
      </c>
      <c r="C30" s="393">
        <v>277</v>
      </c>
      <c r="D30" s="393">
        <f t="shared" si="213"/>
        <v>277</v>
      </c>
      <c r="E30" s="393">
        <v>459</v>
      </c>
      <c r="F30" s="394">
        <v>249</v>
      </c>
      <c r="G30" s="3562">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2099</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8"/>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2100</v>
      </c>
      <c r="B32" s="387">
        <f t="shared" si="216"/>
        <v>322.34053690220799</v>
      </c>
      <c r="C32" s="387">
        <f t="shared" si="216"/>
        <v>271.461607704225</v>
      </c>
      <c r="D32" s="387">
        <f t="shared" si="213"/>
        <v>271.461607704225</v>
      </c>
      <c r="E32" s="387">
        <f t="shared" si="217"/>
        <v>442.69434542172502</v>
      </c>
      <c r="F32" s="387">
        <f t="shared" si="217"/>
        <v>241.34030753190899</v>
      </c>
      <c r="G32" s="3558"/>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2101</v>
      </c>
      <c r="B33" s="387">
        <f t="shared" si="216"/>
        <v>319.87748030386803</v>
      </c>
      <c r="C33" s="387">
        <f t="shared" si="216"/>
        <v>269.60135833173598</v>
      </c>
      <c r="D33" s="387">
        <f t="shared" si="213"/>
        <v>269.60135833173598</v>
      </c>
      <c r="E33" s="387">
        <f t="shared" si="217"/>
        <v>439.18089823583801</v>
      </c>
      <c r="F33" s="387">
        <f t="shared" si="217"/>
        <v>239.23503918706299</v>
      </c>
      <c r="G33" s="3561"/>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2102</v>
      </c>
      <c r="B34" s="397">
        <v>318</v>
      </c>
      <c r="C34" s="397">
        <v>268</v>
      </c>
      <c r="D34" s="397">
        <f t="shared" si="213"/>
        <v>268</v>
      </c>
      <c r="E34" s="397">
        <v>437</v>
      </c>
      <c r="F34" s="398">
        <v>237</v>
      </c>
      <c r="G34" s="3562">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2103</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8"/>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2104</v>
      </c>
      <c r="B36" s="387">
        <f t="shared" si="218"/>
        <v>314.721411723865</v>
      </c>
      <c r="C36" s="387">
        <f t="shared" si="218"/>
        <v>263.03901319069001</v>
      </c>
      <c r="D36" s="387">
        <f t="shared" si="213"/>
        <v>263.03901319069001</v>
      </c>
      <c r="E36" s="387">
        <f t="shared" si="219"/>
        <v>433.65745506782798</v>
      </c>
      <c r="F36" s="387">
        <f t="shared" si="219"/>
        <v>233.23005080045701</v>
      </c>
      <c r="G36" s="3558"/>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2105</v>
      </c>
      <c r="B37" s="401">
        <f t="shared" si="218"/>
        <v>307.34512863658699</v>
      </c>
      <c r="C37" s="401">
        <f t="shared" si="218"/>
        <v>257.80556031626998</v>
      </c>
      <c r="D37" s="401">
        <f t="shared" si="213"/>
        <v>257.80556031626998</v>
      </c>
      <c r="E37" s="401">
        <f t="shared" si="219"/>
        <v>422.70928459677202</v>
      </c>
      <c r="F37" s="401">
        <f t="shared" si="219"/>
        <v>229.738032703366</v>
      </c>
      <c r="G37" s="3561"/>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2106</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2107</v>
      </c>
      <c r="B38" s="393">
        <v>299</v>
      </c>
      <c r="C38" s="393">
        <v>252</v>
      </c>
      <c r="D38" s="393">
        <f t="shared" si="213"/>
        <v>252</v>
      </c>
      <c r="E38" s="393">
        <v>409</v>
      </c>
      <c r="F38" s="394">
        <v>227</v>
      </c>
      <c r="G38" s="3563">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2108</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4"/>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2109</v>
      </c>
      <c r="B40" s="387">
        <f t="shared" si="222"/>
        <v>288.264905382878</v>
      </c>
      <c r="C40" s="387">
        <f t="shared" si="222"/>
        <v>243.64564425013299</v>
      </c>
      <c r="D40" s="387">
        <f t="shared" si="213"/>
        <v>243.64564425013299</v>
      </c>
      <c r="E40" s="387">
        <f t="shared" si="223"/>
        <v>393.31080825986498</v>
      </c>
      <c r="F40" s="387">
        <f t="shared" si="223"/>
        <v>223.079037905512</v>
      </c>
      <c r="G40" s="3564"/>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2110</v>
      </c>
      <c r="B41" s="387">
        <f t="shared" si="222"/>
        <v>282.50186729015797</v>
      </c>
      <c r="C41" s="387">
        <f t="shared" si="222"/>
        <v>238.097961741555</v>
      </c>
      <c r="D41" s="387">
        <f t="shared" si="213"/>
        <v>238.097961741555</v>
      </c>
      <c r="E41" s="387">
        <f t="shared" si="223"/>
        <v>385.33438646014099</v>
      </c>
      <c r="F41" s="387">
        <f t="shared" si="223"/>
        <v>221.550340555677</v>
      </c>
      <c r="G41" s="3565"/>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2111</v>
      </c>
      <c r="B42" s="404">
        <v>278</v>
      </c>
      <c r="C42" s="404">
        <v>234</v>
      </c>
      <c r="D42" s="404">
        <f t="shared" si="213"/>
        <v>234</v>
      </c>
      <c r="E42" s="404">
        <v>379</v>
      </c>
      <c r="F42" s="405">
        <v>220</v>
      </c>
      <c r="G42" s="3562">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2112</v>
      </c>
      <c r="B43" s="387">
        <f>B42/(1+N42)</f>
        <v>275.49301357645402</v>
      </c>
      <c r="C43" s="387">
        <f>C42/(1+O42)</f>
        <v>232.41954707985701</v>
      </c>
      <c r="D43" s="387">
        <f t="shared" si="213"/>
        <v>232.41954707985701</v>
      </c>
      <c r="E43" s="387">
        <f t="shared" ref="E43:F45" si="224">E42/(1+P42)</f>
        <v>375.32184591008098</v>
      </c>
      <c r="F43" s="387">
        <f t="shared" si="224"/>
        <v>218.03766105054501</v>
      </c>
      <c r="G43" s="3558"/>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2113</v>
      </c>
      <c r="B44" s="387">
        <f>B43/(1+N43)</f>
        <v>275.24529281292303</v>
      </c>
      <c r="C44" s="387">
        <f>C43/(1+O43)</f>
        <v>231.74747938962699</v>
      </c>
      <c r="D44" s="387">
        <f t="shared" si="213"/>
        <v>231.74747938962699</v>
      </c>
      <c r="E44" s="387">
        <f t="shared" si="224"/>
        <v>375.35938184826603</v>
      </c>
      <c r="F44" s="387">
        <f t="shared" si="224"/>
        <v>216.78033510692501</v>
      </c>
      <c r="G44" s="3558"/>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2114</v>
      </c>
      <c r="B45" s="387">
        <f>B44/(1+N44)</f>
        <v>275.19025476196998</v>
      </c>
      <c r="C45" s="406">
        <v>232</v>
      </c>
      <c r="D45" s="406">
        <f t="shared" si="213"/>
        <v>232</v>
      </c>
      <c r="E45" s="387">
        <f t="shared" si="224"/>
        <v>375.65990977608698</v>
      </c>
      <c r="F45" s="387">
        <f t="shared" si="224"/>
        <v>214.12518283971301</v>
      </c>
      <c r="G45" s="3561"/>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2115</v>
      </c>
      <c r="B46" s="393">
        <v>275</v>
      </c>
      <c r="C46" s="393">
        <v>232</v>
      </c>
      <c r="D46" s="393">
        <f t="shared" si="213"/>
        <v>232</v>
      </c>
      <c r="E46" s="393">
        <v>376</v>
      </c>
      <c r="F46" s="394">
        <v>213</v>
      </c>
      <c r="G46" s="3562">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2116</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8">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2117</v>
      </c>
      <c r="B48" s="387">
        <f t="shared" si="225"/>
        <v>275.19335084830601</v>
      </c>
      <c r="C48" s="387">
        <f t="shared" si="225"/>
        <v>230.18088050139701</v>
      </c>
      <c r="D48" s="387">
        <f t="shared" si="213"/>
        <v>230.18088050139701</v>
      </c>
      <c r="E48" s="387">
        <f t="shared" si="226"/>
        <v>377.58482925212297</v>
      </c>
      <c r="F48" s="387">
        <f t="shared" si="226"/>
        <v>210.906879978479</v>
      </c>
      <c r="G48" s="3558">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2118</v>
      </c>
      <c r="B49" s="387">
        <f t="shared" si="225"/>
        <v>276.29854502841999</v>
      </c>
      <c r="C49" s="387">
        <f t="shared" si="225"/>
        <v>229.79023709833001</v>
      </c>
      <c r="D49" s="387">
        <f t="shared" si="213"/>
        <v>229.79023709833001</v>
      </c>
      <c r="E49" s="387">
        <f t="shared" si="226"/>
        <v>379.78759731655902</v>
      </c>
      <c r="F49" s="387">
        <f t="shared" si="226"/>
        <v>211.32953905659201</v>
      </c>
      <c r="G49" s="3561">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2119</v>
      </c>
      <c r="B50" s="393">
        <v>269</v>
      </c>
      <c r="C50" s="393">
        <v>221</v>
      </c>
      <c r="D50" s="393">
        <f t="shared" si="213"/>
        <v>221</v>
      </c>
      <c r="E50" s="393">
        <v>373</v>
      </c>
      <c r="F50" s="394">
        <v>196</v>
      </c>
      <c r="G50" s="3562">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2120</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8">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2121</v>
      </c>
      <c r="B52" s="387">
        <f t="shared" si="227"/>
        <v>242.95398227588399</v>
      </c>
      <c r="C52" s="387">
        <f t="shared" si="227"/>
        <v>199.591370536141</v>
      </c>
      <c r="D52" s="387">
        <f t="shared" si="213"/>
        <v>199.591370536141</v>
      </c>
      <c r="E52" s="387">
        <f t="shared" si="228"/>
        <v>335.92189522342102</v>
      </c>
      <c r="F52" s="387">
        <f t="shared" si="228"/>
        <v>183.101399911095</v>
      </c>
      <c r="G52" s="3558">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2122</v>
      </c>
      <c r="B53" s="387">
        <f t="shared" si="227"/>
        <v>232.06990378821601</v>
      </c>
      <c r="C53" s="387">
        <f t="shared" si="227"/>
        <v>192.74878854286899</v>
      </c>
      <c r="D53" s="387">
        <f t="shared" si="213"/>
        <v>192.74878854286899</v>
      </c>
      <c r="E53" s="387">
        <f t="shared" si="228"/>
        <v>319.71247284993001</v>
      </c>
      <c r="F53" s="387">
        <f t="shared" si="228"/>
        <v>175.670536228624</v>
      </c>
      <c r="G53" s="3561">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2123</v>
      </c>
      <c r="B54" s="393">
        <v>220</v>
      </c>
      <c r="C54" s="393">
        <v>187</v>
      </c>
      <c r="D54" s="393">
        <f t="shared" si="213"/>
        <v>187</v>
      </c>
      <c r="E54" s="393">
        <v>301</v>
      </c>
      <c r="F54" s="394">
        <v>168</v>
      </c>
      <c r="G54" s="3562">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2124</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8">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2125</v>
      </c>
      <c r="B56" s="387">
        <f t="shared" si="229"/>
        <v>210.630522469011</v>
      </c>
      <c r="C56" s="387">
        <f t="shared" si="229"/>
        <v>181.695678122472</v>
      </c>
      <c r="D56" s="387">
        <f t="shared" si="213"/>
        <v>181.695678122472</v>
      </c>
      <c r="E56" s="387">
        <f t="shared" si="230"/>
        <v>286.13517466736698</v>
      </c>
      <c r="F56" s="387">
        <f t="shared" si="230"/>
        <v>165.47535084591101</v>
      </c>
      <c r="G56" s="3558">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2126</v>
      </c>
      <c r="B57" s="387">
        <f t="shared" si="229"/>
        <v>208.834545378754</v>
      </c>
      <c r="C57" s="387">
        <f t="shared" si="229"/>
        <v>183.77230517090399</v>
      </c>
      <c r="D57" s="387">
        <f t="shared" si="213"/>
        <v>183.77230517090399</v>
      </c>
      <c r="E57" s="387">
        <f t="shared" si="230"/>
        <v>281.10342338870902</v>
      </c>
      <c r="F57" s="387">
        <f t="shared" si="230"/>
        <v>168.97309388942301</v>
      </c>
      <c r="G57" s="3561">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2127</v>
      </c>
      <c r="B58" s="404">
        <v>214</v>
      </c>
      <c r="C58" s="404">
        <v>188</v>
      </c>
      <c r="D58" s="404">
        <f t="shared" si="213"/>
        <v>188</v>
      </c>
      <c r="E58" s="404">
        <v>289</v>
      </c>
      <c r="F58" s="405">
        <v>166</v>
      </c>
      <c r="G58" s="3562">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2128</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8">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2129</v>
      </c>
      <c r="B60" s="387">
        <f t="shared" si="231"/>
        <v>206.31694671589099</v>
      </c>
      <c r="C60" s="387">
        <f t="shared" si="231"/>
        <v>183.61041121036101</v>
      </c>
      <c r="D60" s="387">
        <f t="shared" si="213"/>
        <v>183.61041121036101</v>
      </c>
      <c r="E60" s="387">
        <f t="shared" si="232"/>
        <v>276.66850301795603</v>
      </c>
      <c r="F60" s="387">
        <f t="shared" si="232"/>
        <v>165.136093827861</v>
      </c>
      <c r="G60" s="3558">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2130</v>
      </c>
      <c r="B61" s="407">
        <f t="shared" si="231"/>
        <v>196.62341248059801</v>
      </c>
      <c r="C61" s="407">
        <f t="shared" si="231"/>
        <v>170.99125648199001</v>
      </c>
      <c r="D61" s="407">
        <f t="shared" si="213"/>
        <v>170.99125648199001</v>
      </c>
      <c r="E61" s="407">
        <f t="shared" si="232"/>
        <v>266.07857570490103</v>
      </c>
      <c r="F61" s="407">
        <f t="shared" si="232"/>
        <v>154.53499328828499</v>
      </c>
      <c r="G61" s="3561">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2131</v>
      </c>
      <c r="B62" s="393">
        <v>188</v>
      </c>
      <c r="C62" s="393">
        <v>165</v>
      </c>
      <c r="D62" s="393">
        <f t="shared" si="213"/>
        <v>165</v>
      </c>
      <c r="E62" s="393">
        <v>254</v>
      </c>
      <c r="F62" s="394">
        <v>148</v>
      </c>
      <c r="G62" s="3562">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2132</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8">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2133</v>
      </c>
      <c r="B64" s="387">
        <f t="shared" si="235"/>
        <v>168.820177487156</v>
      </c>
      <c r="C64" s="387">
        <f t="shared" si="235"/>
        <v>148.06267029972801</v>
      </c>
      <c r="D64" s="387">
        <f t="shared" si="213"/>
        <v>148.06267029972801</v>
      </c>
      <c r="E64" s="387">
        <f t="shared" si="236"/>
        <v>216.46288379323701</v>
      </c>
      <c r="F64" s="387">
        <f t="shared" si="236"/>
        <v>134.23529411764699</v>
      </c>
      <c r="G64" s="3558">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2134</v>
      </c>
      <c r="B65" s="387">
        <f t="shared" si="235"/>
        <v>163.849135917795</v>
      </c>
      <c r="C65" s="387">
        <f t="shared" si="235"/>
        <v>145.028337874659</v>
      </c>
      <c r="D65" s="387">
        <f t="shared" si="213"/>
        <v>145.028337874659</v>
      </c>
      <c r="E65" s="387">
        <f t="shared" si="236"/>
        <v>204.95180722891601</v>
      </c>
      <c r="F65" s="387">
        <f t="shared" si="236"/>
        <v>125.959203036053</v>
      </c>
      <c r="G65" s="3561">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2135</v>
      </c>
      <c r="B66" s="397">
        <v>159</v>
      </c>
      <c r="C66" s="397">
        <v>141</v>
      </c>
      <c r="D66" s="397">
        <f t="shared" si="213"/>
        <v>141</v>
      </c>
      <c r="E66" s="397">
        <v>195</v>
      </c>
      <c r="F66" s="398">
        <v>122</v>
      </c>
      <c r="G66" s="3562">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2136</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8">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2137</v>
      </c>
      <c r="B68" s="387">
        <f t="shared" si="239"/>
        <v>146.57412060301499</v>
      </c>
      <c r="C68" s="387">
        <f t="shared" si="239"/>
        <v>136.468319559229</v>
      </c>
      <c r="D68" s="387">
        <f t="shared" si="213"/>
        <v>136.468319559229</v>
      </c>
      <c r="E68" s="387">
        <f t="shared" si="240"/>
        <v>166.73864894795099</v>
      </c>
      <c r="F68" s="387">
        <f t="shared" si="240"/>
        <v>115.058823529412</v>
      </c>
      <c r="G68" s="3558">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2138</v>
      </c>
      <c r="B69" s="387">
        <f t="shared" si="239"/>
        <v>144.04145728643201</v>
      </c>
      <c r="C69" s="387">
        <f t="shared" si="239"/>
        <v>136.123966942149</v>
      </c>
      <c r="D69" s="387">
        <f t="shared" si="213"/>
        <v>136.123966942149</v>
      </c>
      <c r="E69" s="387">
        <f t="shared" si="240"/>
        <v>158.32225913621301</v>
      </c>
      <c r="F69" s="387">
        <f t="shared" si="240"/>
        <v>114.04278074866301</v>
      </c>
      <c r="G69" s="3561">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2139</v>
      </c>
      <c r="B70" s="397">
        <v>138</v>
      </c>
      <c r="C70" s="397">
        <v>131</v>
      </c>
      <c r="D70" s="397">
        <f t="shared" si="213"/>
        <v>131</v>
      </c>
      <c r="E70" s="397">
        <v>155</v>
      </c>
      <c r="F70" s="398">
        <v>114</v>
      </c>
      <c r="G70" s="3562">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2140</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8">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2141</v>
      </c>
      <c r="B72" s="387">
        <f t="shared" si="243"/>
        <v>124.290322580645</v>
      </c>
      <c r="C72" s="387">
        <f t="shared" si="243"/>
        <v>123.896860986547</v>
      </c>
      <c r="D72" s="387">
        <f t="shared" si="213"/>
        <v>123.896860986547</v>
      </c>
      <c r="E72" s="387">
        <f t="shared" si="244"/>
        <v>138.005076142132</v>
      </c>
      <c r="F72" s="387">
        <f t="shared" si="244"/>
        <v>107.96106557377</v>
      </c>
      <c r="G72" s="3558">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2142</v>
      </c>
      <c r="B73" s="387">
        <f t="shared" si="243"/>
        <v>122.57204301075301</v>
      </c>
      <c r="C73" s="387">
        <f t="shared" si="243"/>
        <v>123.493273542601</v>
      </c>
      <c r="D73" s="387">
        <f t="shared" si="213"/>
        <v>123.493273542601</v>
      </c>
      <c r="E73" s="387">
        <f t="shared" si="244"/>
        <v>129.82233502538099</v>
      </c>
      <c r="F73" s="387">
        <f t="shared" si="244"/>
        <v>107.39446721311501</v>
      </c>
      <c r="G73" s="3561">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2143</v>
      </c>
      <c r="B74" s="404">
        <v>121</v>
      </c>
      <c r="C74" s="404">
        <v>122</v>
      </c>
      <c r="D74" s="404">
        <f t="shared" si="213"/>
        <v>122</v>
      </c>
      <c r="E74" s="404">
        <v>124</v>
      </c>
      <c r="F74" s="405">
        <v>107</v>
      </c>
      <c r="G74" s="3562">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2144</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8">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2145</v>
      </c>
      <c r="B76" s="387">
        <f t="shared" si="247"/>
        <v>116.99099099099099</v>
      </c>
      <c r="C76" s="387">
        <f t="shared" si="247"/>
        <v>118.848484848485</v>
      </c>
      <c r="D76" s="387">
        <f t="shared" si="213"/>
        <v>118.848484848485</v>
      </c>
      <c r="E76" s="387">
        <f t="shared" si="248"/>
        <v>117.60960960961</v>
      </c>
      <c r="F76" s="387">
        <f t="shared" si="248"/>
        <v>104</v>
      </c>
      <c r="G76" s="3558">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2146</v>
      </c>
      <c r="B77" s="407">
        <f t="shared" si="247"/>
        <v>112.486486486486</v>
      </c>
      <c r="C77" s="407">
        <f t="shared" si="247"/>
        <v>115.212121212121</v>
      </c>
      <c r="D77" s="407">
        <f t="shared" si="213"/>
        <v>115.212121212121</v>
      </c>
      <c r="E77" s="407">
        <f t="shared" si="248"/>
        <v>110.402402402402</v>
      </c>
      <c r="F77" s="407">
        <f t="shared" si="248"/>
        <v>104</v>
      </c>
      <c r="G77" s="3561">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2147</v>
      </c>
      <c r="B78" s="461">
        <v>111</v>
      </c>
      <c r="C78" s="461">
        <v>114</v>
      </c>
      <c r="D78" s="461">
        <f t="shared" si="213"/>
        <v>114</v>
      </c>
      <c r="E78" s="461">
        <v>108</v>
      </c>
      <c r="F78" s="462">
        <v>104</v>
      </c>
      <c r="G78" s="3562">
        <v>2003</v>
      </c>
      <c r="H78" s="409">
        <v>4</v>
      </c>
      <c r="I78" s="477"/>
      <c r="J78" s="477"/>
      <c r="K78" s="477"/>
      <c r="L78" s="477"/>
      <c r="N78" s="478"/>
      <c r="O78" s="477"/>
      <c r="P78" s="477"/>
      <c r="Q78" s="477"/>
      <c r="S78" s="478"/>
      <c r="T78" s="477"/>
      <c r="U78" s="477"/>
      <c r="V78" s="477"/>
      <c r="X78" s="456"/>
      <c r="Y78" s="456"/>
      <c r="Z78" s="456"/>
    </row>
    <row r="79" spans="1:26">
      <c r="A79" s="386" t="s">
        <v>2148</v>
      </c>
      <c r="B79" s="463">
        <f t="shared" ref="B79:C81" si="249">B80+(B$78-B$82)/4</f>
        <v>109.75</v>
      </c>
      <c r="C79" s="463">
        <f t="shared" si="249"/>
        <v>112.25</v>
      </c>
      <c r="D79" s="463">
        <f t="shared" si="213"/>
        <v>112.25</v>
      </c>
      <c r="E79" s="463">
        <f t="shared" ref="E79:F81" si="250">E80+(E$78-E$82)/4</f>
        <v>107.25</v>
      </c>
      <c r="F79" s="463">
        <f t="shared" si="250"/>
        <v>103.5</v>
      </c>
      <c r="G79" s="3558">
        <v>2003</v>
      </c>
      <c r="H79" s="396">
        <v>3</v>
      </c>
      <c r="I79" s="477"/>
      <c r="J79" s="477"/>
      <c r="K79" s="477"/>
      <c r="L79" s="477"/>
      <c r="X79" s="456"/>
      <c r="Y79" s="456"/>
      <c r="Z79" s="456"/>
    </row>
    <row r="80" spans="1:26">
      <c r="A80" s="386" t="s">
        <v>2149</v>
      </c>
      <c r="B80" s="463">
        <f t="shared" si="249"/>
        <v>108.5</v>
      </c>
      <c r="C80" s="463">
        <f t="shared" si="249"/>
        <v>110.5</v>
      </c>
      <c r="D80" s="463">
        <f t="shared" si="213"/>
        <v>110.5</v>
      </c>
      <c r="E80" s="463">
        <f t="shared" si="250"/>
        <v>106.5</v>
      </c>
      <c r="F80" s="463">
        <f t="shared" si="250"/>
        <v>103</v>
      </c>
      <c r="G80" s="3558">
        <v>2003</v>
      </c>
      <c r="H80" s="392">
        <v>2</v>
      </c>
      <c r="I80" s="477"/>
      <c r="J80" s="477"/>
      <c r="K80" s="477"/>
      <c r="L80" s="477"/>
      <c r="X80" s="456"/>
      <c r="Y80" s="456"/>
      <c r="Z80" s="456"/>
    </row>
    <row r="81" spans="1:26">
      <c r="A81" s="386" t="s">
        <v>2150</v>
      </c>
      <c r="B81" s="463">
        <f t="shared" si="249"/>
        <v>107.25</v>
      </c>
      <c r="C81" s="463">
        <f t="shared" si="249"/>
        <v>108.75</v>
      </c>
      <c r="D81" s="463">
        <f t="shared" si="213"/>
        <v>108.75</v>
      </c>
      <c r="E81" s="463">
        <f t="shared" si="250"/>
        <v>105.75</v>
      </c>
      <c r="F81" s="463">
        <f t="shared" si="250"/>
        <v>102.5</v>
      </c>
      <c r="G81" s="3561">
        <v>2003</v>
      </c>
      <c r="H81" s="464">
        <v>1</v>
      </c>
      <c r="I81" s="477"/>
      <c r="J81" s="477"/>
      <c r="K81" s="477"/>
      <c r="L81" s="477"/>
      <c r="S81" s="416"/>
      <c r="T81" s="417"/>
      <c r="U81" s="417"/>
      <c r="X81" s="456"/>
      <c r="Y81" s="456"/>
      <c r="Z81" s="456"/>
    </row>
    <row r="82" spans="1:26">
      <c r="A82" s="386" t="s">
        <v>2151</v>
      </c>
      <c r="B82" s="465">
        <v>106</v>
      </c>
      <c r="C82" s="465">
        <v>107</v>
      </c>
      <c r="D82" s="465">
        <f t="shared" si="213"/>
        <v>107</v>
      </c>
      <c r="E82" s="465">
        <v>105</v>
      </c>
      <c r="F82" s="466">
        <v>102</v>
      </c>
      <c r="G82" s="3562">
        <v>2002</v>
      </c>
      <c r="H82" s="395">
        <v>4</v>
      </c>
      <c r="I82" s="477"/>
      <c r="J82" s="477"/>
      <c r="K82" s="477"/>
      <c r="L82" s="477"/>
      <c r="N82" s="478"/>
      <c r="O82" s="477"/>
      <c r="P82" s="477"/>
      <c r="Q82" s="477"/>
      <c r="S82" s="478"/>
      <c r="T82" s="477"/>
      <c r="U82" s="477"/>
      <c r="V82" s="477"/>
      <c r="X82" s="456"/>
      <c r="Y82" s="456"/>
      <c r="Z82" s="456"/>
    </row>
    <row r="83" spans="1:26">
      <c r="A83" s="386" t="s">
        <v>2152</v>
      </c>
      <c r="B83" s="463">
        <f t="shared" ref="B83:C85" si="251">B84+(B$82-B$86)/4</f>
        <v>105</v>
      </c>
      <c r="C83" s="463">
        <f t="shared" si="251"/>
        <v>106</v>
      </c>
      <c r="D83" s="463">
        <f t="shared" si="213"/>
        <v>106</v>
      </c>
      <c r="E83" s="463">
        <f t="shared" ref="E83:F85" si="252">E84+(E$82-E$86)/4</f>
        <v>104.5</v>
      </c>
      <c r="F83" s="463">
        <f t="shared" si="252"/>
        <v>101.5</v>
      </c>
      <c r="G83" s="3558">
        <v>2002</v>
      </c>
      <c r="H83" s="396">
        <v>3</v>
      </c>
      <c r="I83" s="477"/>
      <c r="J83" s="477"/>
      <c r="K83" s="477"/>
      <c r="L83" s="477"/>
      <c r="X83" s="456"/>
      <c r="Y83" s="456"/>
      <c r="Z83" s="456"/>
    </row>
    <row r="84" spans="1:26">
      <c r="A84" s="386" t="s">
        <v>2153</v>
      </c>
      <c r="B84" s="463">
        <f t="shared" si="251"/>
        <v>104</v>
      </c>
      <c r="C84" s="463">
        <f t="shared" si="251"/>
        <v>105</v>
      </c>
      <c r="D84" s="463">
        <f t="shared" si="213"/>
        <v>105</v>
      </c>
      <c r="E84" s="463">
        <f t="shared" si="252"/>
        <v>104</v>
      </c>
      <c r="F84" s="463">
        <f t="shared" si="252"/>
        <v>101</v>
      </c>
      <c r="G84" s="3558">
        <v>2002</v>
      </c>
      <c r="H84" s="392">
        <v>2</v>
      </c>
      <c r="I84" s="477"/>
      <c r="J84" s="477"/>
      <c r="K84" s="477"/>
      <c r="L84" s="477"/>
      <c r="X84" s="456"/>
      <c r="Y84" s="456"/>
      <c r="Z84" s="456"/>
    </row>
    <row r="85" spans="1:26" s="365" customFormat="1">
      <c r="A85" s="400" t="s">
        <v>2154</v>
      </c>
      <c r="B85" s="448">
        <f t="shared" si="251"/>
        <v>103</v>
      </c>
      <c r="C85" s="448">
        <f t="shared" si="251"/>
        <v>104</v>
      </c>
      <c r="D85" s="448">
        <f t="shared" si="213"/>
        <v>104</v>
      </c>
      <c r="E85" s="448">
        <f t="shared" si="252"/>
        <v>103.5</v>
      </c>
      <c r="F85" s="448">
        <f t="shared" si="252"/>
        <v>100.5</v>
      </c>
      <c r="G85" s="3561">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2155</v>
      </c>
      <c r="G88" s="472"/>
      <c r="N88" s="472"/>
      <c r="S88" s="472"/>
    </row>
    <row r="89" spans="1:26" s="367" customFormat="1">
      <c r="A89" s="367" t="s">
        <v>2156</v>
      </c>
      <c r="G89" s="472"/>
      <c r="N89" s="472"/>
      <c r="S89" s="472"/>
    </row>
    <row r="90" spans="1:26" s="367" customFormat="1">
      <c r="A90" s="367" t="s">
        <v>2157</v>
      </c>
      <c r="G90" s="472"/>
      <c r="I90" s="481"/>
      <c r="J90" s="481"/>
      <c r="K90" s="481"/>
      <c r="L90" s="481"/>
      <c r="N90" s="482"/>
      <c r="O90" s="481"/>
      <c r="P90" s="481"/>
      <c r="Q90" s="481"/>
      <c r="S90" s="482"/>
      <c r="T90" s="481"/>
      <c r="U90" s="481"/>
      <c r="V90" s="481"/>
    </row>
    <row r="91" spans="1:26" s="367" customFormat="1">
      <c r="A91" s="367" t="s">
        <v>2158</v>
      </c>
      <c r="G91" s="472"/>
      <c r="N91" s="472"/>
      <c r="S91" s="472"/>
    </row>
    <row r="99" spans="7:22">
      <c r="G99" s="368"/>
      <c r="S99" s="485" t="s">
        <v>2159</v>
      </c>
      <c r="T99" s="486" t="s">
        <v>2160</v>
      </c>
      <c r="U99" s="486" t="s">
        <v>2161</v>
      </c>
      <c r="V99" s="486" t="s">
        <v>2162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c r="B1" s="3173"/>
      <c r="C1" s="3173"/>
      <c r="D1" s="3173"/>
      <c r="E1" s="3173"/>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8.75">
      <c r="A4" s="3174"/>
      <c r="B4" s="3228" t="s">
        <v>95</v>
      </c>
      <c r="C4" s="3228"/>
      <c r="D4" s="3228"/>
      <c r="E4" s="3174"/>
    </row>
    <row r="5" spans="1:5" ht="15.75">
      <c r="A5" s="3173"/>
      <c r="B5" s="3229" t="s">
        <v>96</v>
      </c>
      <c r="C5" s="3175" t="s">
        <v>97</v>
      </c>
      <c r="D5" s="3176">
        <f ca="1">结果表!H101</f>
        <v>30287</v>
      </c>
      <c r="E5" s="3173"/>
    </row>
    <row r="6" spans="1:5" ht="15.75">
      <c r="A6" s="3173"/>
      <c r="B6" s="3229"/>
      <c r="C6" s="3175" t="s">
        <v>98</v>
      </c>
      <c r="D6" s="3176" t="str">
        <f ca="1">NUMBERSTRING(INT(D5*10000),2)&amp;"元整"</f>
        <v>叁亿零贰佰捌拾柒万元整</v>
      </c>
      <c r="E6" s="3173"/>
    </row>
    <row r="7" spans="1:5" ht="15.75">
      <c r="A7" s="3173"/>
      <c r="B7" s="3230"/>
      <c r="C7" s="3177" t="s">
        <v>99</v>
      </c>
      <c r="D7" s="3178">
        <f ca="1">结果表!H102</f>
        <v>26571</v>
      </c>
      <c r="E7" s="3173"/>
    </row>
    <row r="8" spans="1:5" ht="15.75">
      <c r="A8" s="3173"/>
      <c r="B8" s="3231" t="str">
        <f>结果表!E103</f>
        <v>2.估价师知悉的法定优先受偿款</v>
      </c>
      <c r="C8" s="3179" t="s">
        <v>100</v>
      </c>
      <c r="D8" s="3178">
        <f>结果表!H103</f>
        <v>0</v>
      </c>
      <c r="E8" s="3173"/>
    </row>
    <row r="9" spans="1:5" ht="15.75">
      <c r="A9" s="3173"/>
      <c r="B9" s="3232"/>
      <c r="C9" s="3175" t="s">
        <v>98</v>
      </c>
      <c r="D9" s="3176" t="str">
        <f>NUMBERSTRING(INT(D8*10000),2)&amp;"元整"</f>
        <v>零元整</v>
      </c>
      <c r="E9" s="3173"/>
    </row>
    <row r="10" spans="1:5" ht="15">
      <c r="A10" s="3173"/>
      <c r="B10" s="3180" t="s">
        <v>101</v>
      </c>
      <c r="C10" s="3181" t="s">
        <v>102</v>
      </c>
      <c r="D10" s="3182">
        <f>结果表!H104</f>
        <v>0</v>
      </c>
      <c r="E10" s="3173"/>
    </row>
    <row r="11" spans="1:5" ht="15">
      <c r="A11" s="3173"/>
      <c r="B11" s="3180" t="s">
        <v>103</v>
      </c>
      <c r="C11" s="3181" t="s">
        <v>102</v>
      </c>
      <c r="D11" s="3182">
        <f>结果表!H105</f>
        <v>0</v>
      </c>
      <c r="E11" s="3173"/>
    </row>
    <row r="12" spans="1:5" ht="15">
      <c r="A12" s="3173"/>
      <c r="B12" s="3180" t="s">
        <v>104</v>
      </c>
      <c r="C12" s="3181" t="s">
        <v>102</v>
      </c>
      <c r="D12" s="3182">
        <f>结果表!H106</f>
        <v>0</v>
      </c>
      <c r="E12" s="3173"/>
    </row>
    <row r="13" spans="1:5" ht="15.75">
      <c r="A13" s="3173"/>
      <c r="B13" s="3233" t="str">
        <f>结果表!E107</f>
        <v>3.房地产抵押价值</v>
      </c>
      <c r="C13" s="3183" t="s">
        <v>97</v>
      </c>
      <c r="D13" s="3184">
        <f ca="1">结果表!H107</f>
        <v>30287</v>
      </c>
      <c r="E13" s="3173"/>
    </row>
    <row r="14" spans="1:5" ht="15.75">
      <c r="A14" s="3173"/>
      <c r="B14" s="3229"/>
      <c r="C14" s="3175" t="s">
        <v>98</v>
      </c>
      <c r="D14" s="3176" t="str">
        <f ca="1">NUMBERSTRING(INT(D13*10000),2)&amp;"元整"</f>
        <v>叁亿零贰佰捌拾柒万元整</v>
      </c>
      <c r="E14" s="3173"/>
    </row>
    <row r="15" spans="1:5" ht="15">
      <c r="A15" s="3173"/>
      <c r="B15" s="3230"/>
      <c r="C15" s="3177" t="s">
        <v>99</v>
      </c>
      <c r="D15" s="3185">
        <f ca="1">结果表!H108</f>
        <v>26571</v>
      </c>
      <c r="E15" s="3173"/>
    </row>
    <row r="16" spans="1:5" ht="15">
      <c r="A16" s="3173"/>
      <c r="B16" s="3231" t="str">
        <f>结果表!E109</f>
        <v>——</v>
      </c>
      <c r="C16" s="3183" t="s">
        <v>97</v>
      </c>
      <c r="D16" s="3186" t="str">
        <f>结果表!H109</f>
        <v>——</v>
      </c>
      <c r="E16" s="3173"/>
    </row>
    <row r="17" spans="1:5" ht="15.75">
      <c r="A17" s="3173"/>
      <c r="B17" s="3234"/>
      <c r="C17" s="3175" t="s">
        <v>98</v>
      </c>
      <c r="D17" s="3176" t="e">
        <f>NUMBERSTRING(INT(D16*10000),2)&amp;"元整"</f>
        <v>#VALUE!</v>
      </c>
      <c r="E17" s="3173"/>
    </row>
    <row r="18" spans="1:5" ht="15">
      <c r="A18" s="3173"/>
      <c r="B18" s="3232"/>
      <c r="C18" s="3177" t="s">
        <v>99</v>
      </c>
      <c r="D18" s="3185" t="str">
        <f>结果表!H110</f>
        <v>——</v>
      </c>
      <c r="E18" s="3173"/>
    </row>
    <row r="19" spans="1:5" ht="15.75">
      <c r="A19" s="3173"/>
      <c r="B19" s="3233" t="str">
        <f>结果表!E111</f>
        <v>——</v>
      </c>
      <c r="C19" s="3183" t="s">
        <v>97</v>
      </c>
      <c r="D19" s="3178" t="str">
        <f>结果表!H111</f>
        <v>——</v>
      </c>
      <c r="E19" s="3173"/>
    </row>
    <row r="20" spans="1:5" ht="15.75">
      <c r="A20" s="3173"/>
      <c r="B20" s="3229"/>
      <c r="C20" s="3175" t="s">
        <v>98</v>
      </c>
      <c r="D20" s="3176" t="e">
        <f>NUMBERSTRING(INT(D19*10000),2)&amp;"元整"</f>
        <v>#VALUE!</v>
      </c>
      <c r="E20" s="3173"/>
    </row>
    <row r="21" spans="1:5" ht="15">
      <c r="A21" s="3173"/>
      <c r="B21" s="3235"/>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2163</v>
      </c>
      <c r="C1" s="3566" t="s">
        <v>2164</v>
      </c>
      <c r="D1" s="3567"/>
      <c r="E1" s="3567"/>
      <c r="F1" s="3567"/>
      <c r="G1" s="3567"/>
      <c r="H1" s="3567"/>
      <c r="I1" s="3567"/>
      <c r="J1" s="3567"/>
      <c r="K1" s="3567"/>
      <c r="L1" s="3567"/>
      <c r="M1" s="3567"/>
      <c r="N1" s="3567"/>
      <c r="O1" s="3567"/>
      <c r="P1" s="3567"/>
      <c r="Q1" s="3567"/>
      <c r="R1" s="3567"/>
      <c r="S1" s="3568"/>
      <c r="T1" s="241" t="s">
        <v>1688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2168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2170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2171</v>
      </c>
      <c r="B17" s="275" t="s">
        <v>2172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2173</v>
      </c>
      <c r="E19" s="285"/>
      <c r="F19" s="285"/>
      <c r="G19" s="285"/>
      <c r="H19" s="286"/>
      <c r="I19" s="283"/>
      <c r="J19" s="283"/>
      <c r="K19" s="283"/>
      <c r="L19" s="283"/>
      <c r="M19" s="283"/>
      <c r="N19" s="283"/>
      <c r="O19" s="283"/>
      <c r="P19" s="283"/>
      <c r="Q19" s="283"/>
      <c r="R19" s="351"/>
      <c r="S19" s="282"/>
    </row>
    <row r="20" spans="1:45" ht="15.75">
      <c r="A20" s="287" t="s">
        <v>2174</v>
      </c>
      <c r="B20" s="288" t="e">
        <f ca="1">IF(D20="——",S22,S22-F20)</f>
        <v>#REF!</v>
      </c>
      <c r="C20" s="283"/>
      <c r="D20" s="289"/>
      <c r="E20" s="290"/>
      <c r="F20" s="241" t="e">
        <f ca="1">SUMIF(INDIRECT("'"&amp;H20&amp;"'"&amp;"!A:A"),"承租人权益价值",INDIRECT("'"&amp;H20&amp;"'"&amp;"!c:c"))</f>
        <v>#REF!</v>
      </c>
      <c r="G20" s="241" t="s">
        <v>761</v>
      </c>
      <c r="H20" s="291"/>
      <c r="I20" s="283"/>
      <c r="J20" s="283"/>
      <c r="K20" s="283"/>
      <c r="L20" s="283"/>
      <c r="M20" s="283"/>
      <c r="N20" s="283"/>
      <c r="O20" s="283"/>
      <c r="P20" s="283"/>
      <c r="Q20" s="283"/>
      <c r="R20" s="351"/>
      <c r="S20" s="282"/>
    </row>
    <row r="21" spans="1:45" ht="15.75">
      <c r="A21" s="287" t="s">
        <v>2175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2176</v>
      </c>
      <c r="B22" s="293">
        <f>SUM(B24:B10000)</f>
        <v>100</v>
      </c>
      <c r="C22" s="3569" t="s">
        <v>124</v>
      </c>
      <c r="D22" s="3570"/>
      <c r="E22" s="3570"/>
      <c r="F22" s="3570"/>
      <c r="G22" s="3570"/>
      <c r="H22" s="3570"/>
      <c r="I22" s="3570"/>
      <c r="J22" s="3570"/>
      <c r="K22" s="3570"/>
      <c r="L22" s="3570"/>
      <c r="M22" s="3570"/>
      <c r="N22" s="3570"/>
      <c r="O22" s="3570"/>
      <c r="P22" s="3570"/>
      <c r="Q22" s="3571"/>
      <c r="R22" s="353">
        <f>ROUND(S22*10000/B22,0)</f>
        <v>10000</v>
      </c>
      <c r="S22" s="293">
        <f>SUM(S24:S10000)</f>
        <v>100</v>
      </c>
    </row>
    <row r="23" spans="1:45" s="234" customFormat="1" ht="24">
      <c r="A23" s="296" t="s">
        <v>2177</v>
      </c>
      <c r="B23" s="296" t="s">
        <v>361</v>
      </c>
      <c r="C23" s="296" t="s">
        <v>1688</v>
      </c>
      <c r="D23" s="296" t="str">
        <f>B5</f>
        <v>修正项2</v>
      </c>
      <c r="E23" s="296" t="s">
        <v>1688</v>
      </c>
      <c r="F23" s="296" t="str">
        <f>B7</f>
        <v>修正项3</v>
      </c>
      <c r="G23" s="296" t="s">
        <v>1688</v>
      </c>
      <c r="H23" s="296" t="str">
        <f>B9</f>
        <v>修正项4</v>
      </c>
      <c r="I23" s="296" t="s">
        <v>1688</v>
      </c>
      <c r="J23" s="296" t="str">
        <f>B11</f>
        <v>修正项5</v>
      </c>
      <c r="K23" s="296" t="s">
        <v>1688</v>
      </c>
      <c r="L23" s="296" t="str">
        <f>B13</f>
        <v>修正项6</v>
      </c>
      <c r="M23" s="296" t="s">
        <v>1688</v>
      </c>
      <c r="N23" s="296" t="str">
        <f>B15</f>
        <v>修正项7</v>
      </c>
      <c r="O23" s="296" t="s">
        <v>1688</v>
      </c>
      <c r="P23" s="296" t="str">
        <f>B17</f>
        <v>楼层</v>
      </c>
      <c r="Q23" s="296" t="s">
        <v>1688</v>
      </c>
      <c r="R23" s="354" t="s">
        <v>2178</v>
      </c>
      <c r="S23" s="296" t="s">
        <v>2179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2180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2181</v>
      </c>
      <c r="B1" s="147"/>
      <c r="C1" s="148"/>
      <c r="D1" s="148"/>
      <c r="E1" s="148"/>
      <c r="F1" s="148"/>
      <c r="G1" s="149"/>
    </row>
    <row r="2" spans="1:7" s="138" customFormat="1" ht="18" customHeight="1">
      <c r="A2" s="150" t="s">
        <v>2182</v>
      </c>
      <c r="B2" s="151">
        <f ca="1">C52</f>
        <v>35258</v>
      </c>
      <c r="C2" s="152" t="s">
        <v>2183</v>
      </c>
      <c r="D2" s="149"/>
      <c r="E2" s="149"/>
      <c r="F2" s="149"/>
      <c r="G2" s="149"/>
    </row>
    <row r="3" spans="1:7" s="138" customFormat="1" ht="18" customHeight="1">
      <c r="A3" s="153" t="s">
        <v>2184</v>
      </c>
      <c r="B3" s="154">
        <f ca="1">ROUND(B2*10000/'数据-汇总表'!E3,0)</f>
        <v>30932</v>
      </c>
      <c r="C3" s="152" t="s">
        <v>2185</v>
      </c>
      <c r="D3" s="149"/>
      <c r="E3" s="149"/>
      <c r="F3" s="149"/>
      <c r="G3" s="149"/>
    </row>
    <row r="4" spans="1:7" s="139" customFormat="1" ht="15.75">
      <c r="A4" s="155" t="s">
        <v>2186</v>
      </c>
      <c r="B4" s="156"/>
      <c r="C4" s="156"/>
      <c r="D4" s="156"/>
      <c r="E4" s="156"/>
      <c r="F4" s="156"/>
      <c r="G4" s="157"/>
    </row>
    <row r="5" spans="1:7" s="140" customFormat="1" ht="13.5" customHeight="1">
      <c r="A5" s="158" t="s">
        <v>950</v>
      </c>
      <c r="B5" s="159" t="s">
        <v>2187</v>
      </c>
      <c r="C5" s="160">
        <f>C6+C7+C8</f>
        <v>20610</v>
      </c>
      <c r="D5" s="160" t="s">
        <v>2188</v>
      </c>
      <c r="E5" s="161" t="s">
        <v>2189</v>
      </c>
      <c r="F5" s="161" t="s">
        <v>2190</v>
      </c>
      <c r="G5" s="162"/>
    </row>
    <row r="6" spans="1:7" s="140" customFormat="1" ht="13.5" customHeight="1">
      <c r="A6" s="163" t="s">
        <v>954</v>
      </c>
      <c r="B6" s="164" t="s">
        <v>2191</v>
      </c>
      <c r="C6" s="165">
        <v>20000</v>
      </c>
      <c r="D6" s="166"/>
      <c r="E6" s="167"/>
      <c r="F6" s="167"/>
      <c r="G6" s="168"/>
    </row>
    <row r="7" spans="1:7" s="140" customFormat="1" ht="13.5" customHeight="1">
      <c r="A7" s="163" t="s">
        <v>956</v>
      </c>
      <c r="B7" s="164" t="s">
        <v>2192</v>
      </c>
      <c r="C7" s="169">
        <f>ROUND(C6*F7,0)</f>
        <v>610</v>
      </c>
      <c r="D7" s="169"/>
      <c r="E7" s="167"/>
      <c r="F7" s="170">
        <f>'数据-取费表'!B48+'数据-取费表'!B49</f>
        <v>3.0499999999999999E-2</v>
      </c>
      <c r="G7" s="168"/>
    </row>
    <row r="8" spans="1:7" s="141" customFormat="1">
      <c r="A8" s="163" t="s">
        <v>958</v>
      </c>
      <c r="B8" s="164" t="s">
        <v>2193</v>
      </c>
      <c r="C8" s="169" t="str">
        <f>IF(G8="已包含在土地购买价格中","0",'数据-取费表'!B29)</f>
        <v>0</v>
      </c>
      <c r="D8" s="171"/>
      <c r="E8" s="169"/>
      <c r="F8" s="170"/>
      <c r="G8" s="172" t="s">
        <v>2194</v>
      </c>
    </row>
    <row r="9" spans="1:7" s="140" customFormat="1" ht="13.5" customHeight="1">
      <c r="A9" s="173" t="s">
        <v>961</v>
      </c>
      <c r="B9" s="174" t="s">
        <v>2195</v>
      </c>
      <c r="C9" s="175">
        <f>ROUND(D9*E9/10000,0)</f>
        <v>0</v>
      </c>
      <c r="D9" s="176">
        <f>'数据-汇总表'!E5</f>
        <v>0</v>
      </c>
      <c r="E9" s="175">
        <f>'数据-取费表'!B27</f>
        <v>0</v>
      </c>
      <c r="F9" s="170"/>
      <c r="G9" s="177"/>
    </row>
    <row r="10" spans="1:7" s="140" customFormat="1" ht="13.5" customHeight="1">
      <c r="A10" s="173" t="s">
        <v>965</v>
      </c>
      <c r="B10" s="174" t="s">
        <v>2196</v>
      </c>
      <c r="C10" s="175">
        <f>ROUND(D10*E10/10000,0)</f>
        <v>228</v>
      </c>
      <c r="D10" s="176">
        <f>'数据-汇总表'!E6</f>
        <v>11398.58</v>
      </c>
      <c r="E10" s="175">
        <f>'数据-取费表'!B28</f>
        <v>200</v>
      </c>
      <c r="F10" s="170"/>
      <c r="G10" s="177"/>
    </row>
    <row r="11" spans="1:7" s="140" customFormat="1" ht="13.5" hidden="1" customHeight="1">
      <c r="A11" s="178" t="s">
        <v>967</v>
      </c>
      <c r="B11" s="164" t="s">
        <v>2197</v>
      </c>
      <c r="C11" s="160"/>
      <c r="D11" s="179"/>
      <c r="E11" s="167"/>
      <c r="F11" s="167"/>
      <c r="G11" s="168"/>
    </row>
    <row r="12" spans="1:7" s="140" customFormat="1" ht="13.5" hidden="1" customHeight="1">
      <c r="A12" s="178" t="s">
        <v>969</v>
      </c>
      <c r="B12" s="164" t="s">
        <v>2198</v>
      </c>
      <c r="C12" s="160">
        <v>0</v>
      </c>
      <c r="D12" s="179"/>
      <c r="E12" s="180"/>
      <c r="F12" s="170">
        <v>3.0499999999999999E-2</v>
      </c>
      <c r="G12" s="168"/>
    </row>
    <row r="13" spans="1:7" s="140" customFormat="1" ht="13.5" hidden="1" customHeight="1">
      <c r="A13" s="178" t="s">
        <v>970</v>
      </c>
      <c r="B13" s="164" t="s">
        <v>2199</v>
      </c>
      <c r="C13" s="160"/>
      <c r="D13" s="179"/>
      <c r="E13" s="167"/>
      <c r="F13" s="167"/>
      <c r="G13" s="168"/>
    </row>
    <row r="14" spans="1:7" s="140" customFormat="1" ht="13.5" hidden="1" customHeight="1">
      <c r="A14" s="178" t="s">
        <v>972</v>
      </c>
      <c r="B14" s="164" t="s">
        <v>2193</v>
      </c>
      <c r="C14" s="160"/>
      <c r="D14" s="179"/>
      <c r="E14" s="167"/>
      <c r="F14" s="167"/>
      <c r="G14" s="168" t="s">
        <v>2200</v>
      </c>
    </row>
    <row r="15" spans="1:7" s="140" customFormat="1" ht="13.5" hidden="1" customHeight="1">
      <c r="A15" s="178" t="s">
        <v>974</v>
      </c>
      <c r="B15" s="164" t="s">
        <v>2201</v>
      </c>
      <c r="C15" s="169"/>
      <c r="D15" s="179"/>
      <c r="E15" s="167"/>
      <c r="F15" s="167"/>
      <c r="G15" s="168" t="s">
        <v>2202</v>
      </c>
    </row>
    <row r="16" spans="1:7" s="140" customFormat="1" ht="13.5" hidden="1" customHeight="1">
      <c r="A16" s="178" t="s">
        <v>977</v>
      </c>
      <c r="B16" s="164" t="s">
        <v>2193</v>
      </c>
      <c r="C16" s="169"/>
      <c r="D16" s="179"/>
      <c r="E16" s="167"/>
      <c r="F16" s="167"/>
      <c r="G16" s="168"/>
    </row>
    <row r="17" spans="1:7" s="140" customFormat="1" ht="13.5" hidden="1" customHeight="1">
      <c r="A17" s="178" t="s">
        <v>978</v>
      </c>
      <c r="B17" s="164" t="s">
        <v>2203</v>
      </c>
      <c r="C17" s="181"/>
      <c r="D17" s="182"/>
      <c r="E17" s="181"/>
      <c r="F17" s="181"/>
      <c r="G17" s="168" t="s">
        <v>2202</v>
      </c>
    </row>
    <row r="18" spans="1:7" s="140" customFormat="1" ht="13.5" hidden="1" customHeight="1">
      <c r="A18" s="178" t="s">
        <v>980</v>
      </c>
      <c r="B18" s="164" t="s">
        <v>2204</v>
      </c>
      <c r="C18" s="169">
        <v>0</v>
      </c>
      <c r="D18" s="179"/>
      <c r="E18" s="167"/>
      <c r="F18" s="170">
        <v>3.0499999999999999E-2</v>
      </c>
      <c r="G18" s="168" t="s">
        <v>2205</v>
      </c>
    </row>
    <row r="19" spans="1:7" s="141" customFormat="1" ht="13.5" customHeight="1">
      <c r="A19" s="183" t="s">
        <v>2206</v>
      </c>
      <c r="B19" s="159" t="s">
        <v>2207</v>
      </c>
      <c r="C19" s="160">
        <f>IF(G19="已包含在土地取得成本中","0",ROUND(D19*E19/10000,0))</f>
        <v>228</v>
      </c>
      <c r="D19" s="184">
        <f>'数据-汇总表'!E3</f>
        <v>11398.58</v>
      </c>
      <c r="E19" s="160">
        <f>'数据-取费表'!B31</f>
        <v>200</v>
      </c>
      <c r="F19" s="185"/>
      <c r="G19" s="172" t="s">
        <v>2208</v>
      </c>
    </row>
    <row r="20" spans="1:7" s="140" customFormat="1" ht="13.5" customHeight="1">
      <c r="A20" s="183" t="s">
        <v>2209</v>
      </c>
      <c r="B20" s="159" t="s">
        <v>2210</v>
      </c>
      <c r="C20" s="186">
        <f>ROUND((C5+C19)*F20,0)</f>
        <v>417</v>
      </c>
      <c r="D20" s="186"/>
      <c r="E20" s="186"/>
      <c r="F20" s="187">
        <f>'数据-取费表'!B37</f>
        <v>0.02</v>
      </c>
      <c r="G20" s="188" t="s">
        <v>2211</v>
      </c>
    </row>
    <row r="21" spans="1:7" s="140" customFormat="1" ht="13.5" customHeight="1">
      <c r="A21" s="183" t="s">
        <v>2212</v>
      </c>
      <c r="B21" s="159" t="s">
        <v>2213</v>
      </c>
      <c r="C21" s="189">
        <f>F21</f>
        <v>0.02</v>
      </c>
      <c r="D21" s="190" t="s">
        <v>2214</v>
      </c>
      <c r="E21" s="186"/>
      <c r="F21" s="187">
        <f>'数据-取费表'!B38</f>
        <v>0.02</v>
      </c>
      <c r="G21" s="191" t="s">
        <v>2215</v>
      </c>
    </row>
    <row r="22" spans="1:7" s="140" customFormat="1" ht="13.5" customHeight="1">
      <c r="A22" s="183" t="s">
        <v>2216</v>
      </c>
      <c r="B22" s="159" t="s">
        <v>2217</v>
      </c>
      <c r="C22" s="192">
        <f ca="1">ROUND(SUM(C23:C25),0)</f>
        <v>873</v>
      </c>
      <c r="D22" s="189">
        <f ca="1">C26</f>
        <v>4.0000000000000002E-4</v>
      </c>
      <c r="E22" s="190" t="s">
        <v>2214</v>
      </c>
      <c r="F22" s="193">
        <f ca="1">'数据-取费表'!B40</f>
        <v>4.1499999999999995E-2</v>
      </c>
      <c r="G22" s="188" t="str">
        <f>IF('数据-取费表'!B22&lt;=1,"单利计息","复利计息")</f>
        <v>单利计息</v>
      </c>
    </row>
    <row r="23" spans="1:7" s="140" customFormat="1" ht="13.5" customHeight="1">
      <c r="A23" s="194" t="s">
        <v>954</v>
      </c>
      <c r="B23" s="164" t="s">
        <v>2218</v>
      </c>
      <c r="C23" s="195">
        <f ca="1">ROUND(IF('数据-取费表'!B22&lt;=1,C5*F22*'数据-取费表'!B23,C5*(POWER((1+F22),'数据-取费表'!B23)-1)),0)</f>
        <v>855</v>
      </c>
      <c r="D23" s="196"/>
      <c r="E23" s="196"/>
      <c r="F23" s="197"/>
      <c r="G23" s="198" t="s">
        <v>2219</v>
      </c>
    </row>
    <row r="24" spans="1:7" s="140" customFormat="1" ht="13.5" customHeight="1">
      <c r="A24" s="194" t="s">
        <v>956</v>
      </c>
      <c r="B24" s="164" t="s">
        <v>2220</v>
      </c>
      <c r="C24" s="195">
        <f ca="1">ROUND(IF('数据-取费表'!B22&lt;=1,C19*F22*('数据-取费表'!B19/2+'数据-取费表'!B21),C19*(POWER((1+F22),('数据-取费表'!B19/2+'数据-取费表'!B21))-1)),0)</f>
        <v>9</v>
      </c>
      <c r="D24" s="196"/>
      <c r="E24" s="196"/>
      <c r="F24" s="197"/>
      <c r="G24" s="198" t="s">
        <v>2221</v>
      </c>
    </row>
    <row r="25" spans="1:7" s="140" customFormat="1" ht="24">
      <c r="A25" s="194" t="s">
        <v>958</v>
      </c>
      <c r="B25" s="164" t="s">
        <v>2222</v>
      </c>
      <c r="C25" s="195">
        <f ca="1">ROUND(IF('数据-取费表'!B22&lt;=1,C20*F22*'数据-取费表'!B23/2,C20*(POWER((1+F22),'数据-取费表'!B23/2)-1)),0)</f>
        <v>9</v>
      </c>
      <c r="D25" s="196"/>
      <c r="E25" s="199"/>
      <c r="F25" s="197"/>
      <c r="G25" s="200" t="s">
        <v>2223</v>
      </c>
    </row>
    <row r="26" spans="1:7" s="140" customFormat="1">
      <c r="A26" s="194" t="s">
        <v>1001</v>
      </c>
      <c r="B26" s="164" t="s">
        <v>2224</v>
      </c>
      <c r="C26" s="196">
        <f ca="1">ROUND(IF('数据-取费表'!B22&lt;=1,F21*F22*'数据-取费表'!B23/2,F21*(POWER((1+F22),'数据-取费表'!B23/2)-1)),4)</f>
        <v>4.0000000000000002E-4</v>
      </c>
      <c r="D26" s="196"/>
      <c r="E26" s="199"/>
      <c r="F26" s="197"/>
      <c r="G26" s="201"/>
    </row>
    <row r="27" spans="1:7" s="140" customFormat="1" ht="24.75">
      <c r="A27" s="183" t="s">
        <v>2225</v>
      </c>
      <c r="B27" s="202" t="s">
        <v>2226</v>
      </c>
      <c r="C27" s="203">
        <f>C28</f>
        <v>3188</v>
      </c>
      <c r="D27" s="189">
        <f>C29</f>
        <v>3.0000000000000001E-3</v>
      </c>
      <c r="E27" s="190" t="s">
        <v>2214</v>
      </c>
      <c r="F27" s="204">
        <f>'数据-取费表'!Q16</f>
        <v>0.15</v>
      </c>
      <c r="G27" s="205" t="s">
        <v>2227</v>
      </c>
    </row>
    <row r="28" spans="1:7" s="140" customFormat="1" ht="13.5" customHeight="1">
      <c r="A28" s="194" t="s">
        <v>954</v>
      </c>
      <c r="B28" s="206" t="s">
        <v>2228</v>
      </c>
      <c r="C28" s="207">
        <f>ROUND((C5+C19+C20)*F27*'数据-取费表'!B21/'数据-取费表'!B20,0)</f>
        <v>3188</v>
      </c>
      <c r="D28" s="189"/>
      <c r="E28" s="190"/>
      <c r="F28" s="204"/>
      <c r="G28" s="205"/>
    </row>
    <row r="29" spans="1:7" s="140" customFormat="1" ht="13.5" customHeight="1">
      <c r="A29" s="194" t="s">
        <v>956</v>
      </c>
      <c r="B29" s="206" t="s">
        <v>2229</v>
      </c>
      <c r="C29" s="196">
        <f>ROUND(C21*F27*'数据-取费表'!B21/'数据-取费表'!B20,4)</f>
        <v>3.0000000000000001E-3</v>
      </c>
      <c r="D29" s="189"/>
      <c r="E29" s="190"/>
      <c r="F29" s="204"/>
      <c r="G29" s="205"/>
    </row>
    <row r="30" spans="1:7" s="140" customFormat="1" ht="13.5" customHeight="1">
      <c r="A30" s="183" t="s">
        <v>2230</v>
      </c>
      <c r="B30" s="159" t="s">
        <v>2231</v>
      </c>
      <c r="C30" s="189">
        <f>F30</f>
        <v>5.6000000000000001E-2</v>
      </c>
      <c r="D30" s="190" t="s">
        <v>2232</v>
      </c>
      <c r="E30" s="199"/>
      <c r="F30" s="193">
        <f>'数据-取费表'!B41</f>
        <v>5.6000000000000001E-2</v>
      </c>
      <c r="G30" s="191" t="s">
        <v>2233</v>
      </c>
    </row>
    <row r="31" spans="1:7" ht="16.5" customHeight="1">
      <c r="A31" s="208">
        <v>1</v>
      </c>
      <c r="B31" s="159" t="s">
        <v>2234</v>
      </c>
      <c r="C31" s="160">
        <f ca="1">ROUND((C5+C19+C20+C22+C27)/(1-C21-D22-D27-C30/(1+'数据-取费表'!B42)),0)</f>
        <v>27420</v>
      </c>
      <c r="D31" s="209"/>
      <c r="E31" s="160"/>
      <c r="F31" s="210"/>
      <c r="G31" s="191" t="s">
        <v>2235</v>
      </c>
    </row>
    <row r="32" spans="1:7" s="139" customFormat="1" ht="15.75">
      <c r="A32" s="211" t="s">
        <v>2236</v>
      </c>
      <c r="B32" s="212"/>
      <c r="C32" s="212"/>
      <c r="D32" s="212"/>
      <c r="E32" s="212"/>
      <c r="F32" s="212"/>
      <c r="G32" s="213"/>
    </row>
    <row r="33" spans="1:7" s="140" customFormat="1" ht="13.5" customHeight="1">
      <c r="A33" s="158" t="s">
        <v>950</v>
      </c>
      <c r="B33" s="159" t="s">
        <v>2237</v>
      </c>
      <c r="C33" s="214">
        <f>SUM(C34:C38)</f>
        <v>6183</v>
      </c>
      <c r="D33" s="186"/>
      <c r="E33" s="161"/>
      <c r="F33" s="199"/>
      <c r="G33" s="191"/>
    </row>
    <row r="34" spans="1:7" s="142" customFormat="1" ht="13.5" customHeight="1">
      <c r="A34" s="194" t="s">
        <v>954</v>
      </c>
      <c r="B34" s="164" t="s">
        <v>2238</v>
      </c>
      <c r="C34" s="169">
        <f>IF(F34=100%,'数据-取费表'!M16-SUMIF('数据-取费表'!C:C,"公共配套",'数据-取费表'!M:M),'数据-取费表'!O16-SUMIF('数据-取费表'!C:C,"公共配套",'数据-取费表'!O:O))</f>
        <v>5699</v>
      </c>
      <c r="D34" s="166"/>
      <c r="E34" s="169"/>
      <c r="F34" s="215">
        <f>IF('数据-取费表'!B24=0,1,'数据-取费表'!N16)</f>
        <v>1</v>
      </c>
      <c r="G34" s="168" t="s">
        <v>2239</v>
      </c>
    </row>
    <row r="35" spans="1:7" ht="13.5" customHeight="1">
      <c r="A35" s="194" t="s">
        <v>956</v>
      </c>
      <c r="B35" s="164" t="s">
        <v>2240</v>
      </c>
      <c r="C35" s="169">
        <f>ROUND(C34*F35,0)</f>
        <v>171</v>
      </c>
      <c r="D35" s="169"/>
      <c r="E35" s="169"/>
      <c r="F35" s="216">
        <f>'数据-取费表'!B33</f>
        <v>0.03</v>
      </c>
      <c r="G35" s="168" t="s">
        <v>2241</v>
      </c>
    </row>
    <row r="36" spans="1:7" ht="24">
      <c r="A36" s="194" t="s">
        <v>958</v>
      </c>
      <c r="B36" s="164" t="s">
        <v>2242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2243</v>
      </c>
    </row>
    <row r="37" spans="1:7" s="142" customFormat="1" ht="13.5" customHeight="1">
      <c r="A37" s="194" t="s">
        <v>1001</v>
      </c>
      <c r="B37" s="164" t="s">
        <v>2244</v>
      </c>
      <c r="C37" s="207">
        <f>ROUND(E37*D37*F34/10000,0)</f>
        <v>228</v>
      </c>
      <c r="D37" s="166">
        <f>'数据-汇总表'!E3</f>
        <v>11398.58</v>
      </c>
      <c r="E37" s="207">
        <f>'数据-取费表'!B35</f>
        <v>200</v>
      </c>
      <c r="F37" s="216"/>
      <c r="G37" s="218" t="s">
        <v>2245</v>
      </c>
    </row>
    <row r="38" spans="1:7" ht="13.5" customHeight="1">
      <c r="A38" s="194" t="s">
        <v>1023</v>
      </c>
      <c r="B38" s="164" t="s">
        <v>2198</v>
      </c>
      <c r="C38" s="169">
        <f>ROUND(C34*F38,0)</f>
        <v>85</v>
      </c>
      <c r="D38" s="169"/>
      <c r="E38" s="169"/>
      <c r="F38" s="216">
        <f>'数据-取费表'!B36</f>
        <v>1.4999999999999999E-2</v>
      </c>
      <c r="G38" s="168" t="s">
        <v>2241</v>
      </c>
    </row>
    <row r="39" spans="1:7" s="140" customFormat="1" ht="13.5" customHeight="1">
      <c r="A39" s="183" t="s">
        <v>2206</v>
      </c>
      <c r="B39" s="159" t="s">
        <v>2210</v>
      </c>
      <c r="C39" s="186">
        <f>ROUND(C33*F20,0)</f>
        <v>124</v>
      </c>
      <c r="D39" s="186"/>
      <c r="E39" s="186"/>
      <c r="F39" s="187"/>
      <c r="G39" s="188" t="s">
        <v>2246</v>
      </c>
    </row>
    <row r="40" spans="1:7" s="140" customFormat="1" ht="13.5" customHeight="1">
      <c r="A40" s="183" t="s">
        <v>2209</v>
      </c>
      <c r="B40" s="159" t="s">
        <v>2213</v>
      </c>
      <c r="C40" s="219">
        <f>F21</f>
        <v>0.02</v>
      </c>
      <c r="D40" s="190" t="s">
        <v>2247</v>
      </c>
      <c r="E40" s="186"/>
      <c r="F40" s="187"/>
      <c r="G40" s="191" t="s">
        <v>2248</v>
      </c>
    </row>
    <row r="41" spans="1:7" s="140" customFormat="1" ht="13.5" customHeight="1">
      <c r="A41" s="183" t="s">
        <v>2212</v>
      </c>
      <c r="B41" s="159" t="s">
        <v>2217</v>
      </c>
      <c r="C41" s="186">
        <f ca="1">ROUND(SUM(C42:C43),0)</f>
        <v>131</v>
      </c>
      <c r="D41" s="189">
        <f ca="1">C44</f>
        <v>4.0000000000000002E-4</v>
      </c>
      <c r="E41" s="190" t="s">
        <v>2247</v>
      </c>
      <c r="F41" s="193"/>
      <c r="G41" s="188" t="str">
        <f>IF('数据-取费表'!B22&lt;=1,"单利计息","复利计息")</f>
        <v>单利计息</v>
      </c>
    </row>
    <row r="42" spans="1:7" ht="13.5" customHeight="1">
      <c r="A42" s="194" t="s">
        <v>954</v>
      </c>
      <c r="B42" s="164" t="s">
        <v>2218</v>
      </c>
      <c r="C42" s="196">
        <f ca="1">ROUND(IF('数据-取费表'!B22&lt;=1,C33*F22*'数据-取费表'!B21/2,C33*(POWER((1+F22),'数据-取费表'!B21/2)-1)),0)</f>
        <v>128</v>
      </c>
      <c r="D42" s="196"/>
      <c r="E42" s="196"/>
      <c r="F42" s="197"/>
      <c r="G42" s="3418" t="s">
        <v>2249</v>
      </c>
    </row>
    <row r="43" spans="1:7" ht="13.5" customHeight="1">
      <c r="A43" s="194" t="s">
        <v>956</v>
      </c>
      <c r="B43" s="164" t="s">
        <v>2220</v>
      </c>
      <c r="C43" s="196">
        <f ca="1">ROUND(IF('数据-取费表'!B22&lt;=1,C39*F22*'数据-取费表'!B21/2,C39*(POWER((1+F22),'数据-取费表'!B21/2)-1)),0)</f>
        <v>3</v>
      </c>
      <c r="D43" s="196"/>
      <c r="E43" s="196"/>
      <c r="F43" s="197"/>
      <c r="G43" s="3419"/>
    </row>
    <row r="44" spans="1:7" ht="13.5" customHeight="1">
      <c r="A44" s="194" t="s">
        <v>958</v>
      </c>
      <c r="B44" s="164" t="s">
        <v>2222</v>
      </c>
      <c r="C44" s="196">
        <f ca="1">ROUND(IF('数据-取费表'!B22&lt;=1,C40*F22*'数据-取费表'!B21/2,C40*(POWER((1+F22),'数据-取费表'!B21/2)-1)),4)</f>
        <v>4.0000000000000002E-4</v>
      </c>
      <c r="D44" s="196"/>
      <c r="E44" s="196"/>
      <c r="F44" s="197"/>
      <c r="G44" s="3420"/>
    </row>
    <row r="45" spans="1:7" s="140" customFormat="1" ht="13.5" customHeight="1">
      <c r="A45" s="183" t="s">
        <v>2216</v>
      </c>
      <c r="B45" s="202" t="s">
        <v>2226</v>
      </c>
      <c r="C45" s="203">
        <f>C46</f>
        <v>946</v>
      </c>
      <c r="D45" s="189">
        <f>C47</f>
        <v>3.0000000000000001E-3</v>
      </c>
      <c r="E45" s="190" t="s">
        <v>2247</v>
      </c>
      <c r="F45" s="204"/>
      <c r="G45" s="205" t="s">
        <v>2250</v>
      </c>
    </row>
    <row r="46" spans="1:7" s="140" customFormat="1" ht="13.5" customHeight="1">
      <c r="A46" s="194" t="s">
        <v>954</v>
      </c>
      <c r="B46" s="206" t="s">
        <v>2251</v>
      </c>
      <c r="C46" s="207">
        <f>ROUND((C33+C39)*F27,0)</f>
        <v>946</v>
      </c>
      <c r="D46" s="220"/>
      <c r="E46" s="190"/>
      <c r="F46" s="204"/>
      <c r="G46" s="205"/>
    </row>
    <row r="47" spans="1:7" s="140" customFormat="1" ht="13.5" customHeight="1">
      <c r="A47" s="194" t="s">
        <v>956</v>
      </c>
      <c r="B47" s="206" t="s">
        <v>2252</v>
      </c>
      <c r="C47" s="196">
        <f>ROUND(C40*F27,4)</f>
        <v>3.0000000000000001E-3</v>
      </c>
      <c r="D47" s="220"/>
      <c r="E47" s="190"/>
      <c r="F47" s="204"/>
      <c r="G47" s="205"/>
    </row>
    <row r="48" spans="1:7" s="140" customFormat="1" ht="13.5" customHeight="1">
      <c r="A48" s="183" t="s">
        <v>2225</v>
      </c>
      <c r="B48" s="159" t="s">
        <v>2231</v>
      </c>
      <c r="C48" s="219">
        <f>F30</f>
        <v>5.6000000000000001E-2</v>
      </c>
      <c r="D48" s="190" t="s">
        <v>2253</v>
      </c>
      <c r="E48" s="186"/>
      <c r="F48" s="193"/>
      <c r="G48" s="191" t="s">
        <v>2254</v>
      </c>
    </row>
    <row r="49" spans="1:7" ht="16.5" customHeight="1">
      <c r="A49" s="183" t="s">
        <v>2230</v>
      </c>
      <c r="B49" s="159" t="s">
        <v>2255</v>
      </c>
      <c r="C49" s="186">
        <f ca="1">ROUND((C33+C39+C41+C45)/(1-C40-D41-D45-C48/(1+'数据-取费表'!B42)),0)</f>
        <v>7998</v>
      </c>
      <c r="D49" s="186"/>
      <c r="E49" s="186"/>
      <c r="F49" s="221"/>
      <c r="G49" s="191" t="s">
        <v>2256</v>
      </c>
    </row>
    <row r="50" spans="1:7" s="142" customFormat="1" ht="24">
      <c r="A50" s="183" t="s">
        <v>2257</v>
      </c>
      <c r="B50" s="159" t="s">
        <v>2258</v>
      </c>
      <c r="C50" s="186"/>
      <c r="D50" s="186"/>
      <c r="E50" s="186"/>
      <c r="F50" s="221">
        <f>IF('数据-取费表'!B24=0,'数据-取费表'!N16,1)</f>
        <v>0.98</v>
      </c>
      <c r="G50" s="205" t="s">
        <v>2259</v>
      </c>
    </row>
    <row r="51" spans="1:7" ht="16.5" customHeight="1">
      <c r="A51" s="183" t="s">
        <v>2260</v>
      </c>
      <c r="B51" s="159" t="s">
        <v>2261</v>
      </c>
      <c r="C51" s="186">
        <f ca="1">ROUND(C49*F50,0)</f>
        <v>7838</v>
      </c>
      <c r="D51" s="186"/>
      <c r="E51" s="186"/>
      <c r="F51" s="221"/>
      <c r="G51" s="191" t="s">
        <v>2262</v>
      </c>
    </row>
    <row r="52" spans="1:7" s="139" customFormat="1" ht="15.75">
      <c r="A52" s="222" t="s">
        <v>2263</v>
      </c>
      <c r="B52" s="223"/>
      <c r="C52" s="224">
        <f ca="1">C31+C51</f>
        <v>35258</v>
      </c>
      <c r="D52" s="223"/>
      <c r="E52" s="223"/>
      <c r="F52" s="223"/>
      <c r="G52" s="225"/>
    </row>
    <row r="55" spans="1:7" ht="15">
      <c r="B55" s="226" t="s">
        <v>2264</v>
      </c>
      <c r="C55" s="227"/>
    </row>
    <row r="56" spans="1:7">
      <c r="B56" s="228" t="s">
        <v>2265</v>
      </c>
      <c r="C56" s="229">
        <f ca="1">ROUND(C51/C52,3)</f>
        <v>0.222</v>
      </c>
    </row>
    <row r="57" spans="1:7">
      <c r="B57" s="228" t="s">
        <v>2266</v>
      </c>
      <c r="C57" s="230">
        <f ca="1">1-C56</f>
        <v>0.77800000000000002</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2" t="s">
        <v>2267</v>
      </c>
      <c r="B1" s="3572"/>
      <c r="C1" s="3572"/>
      <c r="D1" s="3572"/>
      <c r="E1" s="3572"/>
      <c r="F1" s="357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3" t="s">
        <v>2268</v>
      </c>
      <c r="B2" s="3573"/>
      <c r="C2" s="3573"/>
      <c r="D2" s="3573"/>
      <c r="E2" s="3573"/>
      <c r="F2" s="3573"/>
      <c r="H2" s="121" t="s">
        <v>2269</v>
      </c>
      <c r="I2" s="97" t="s">
        <v>2270</v>
      </c>
      <c r="J2" s="97" t="s">
        <v>2271</v>
      </c>
      <c r="K2" s="97" t="s">
        <v>2272</v>
      </c>
      <c r="L2" s="97" t="s">
        <v>2273</v>
      </c>
      <c r="M2" s="97" t="s">
        <v>2274</v>
      </c>
      <c r="N2" s="97" t="s">
        <v>2275</v>
      </c>
      <c r="O2" s="97" t="s">
        <v>2276</v>
      </c>
      <c r="P2" s="97" t="s">
        <v>2277</v>
      </c>
      <c r="Q2" s="97" t="s">
        <v>2278</v>
      </c>
      <c r="R2" s="97" t="s">
        <v>2279</v>
      </c>
      <c r="S2" s="97" t="s">
        <v>2280</v>
      </c>
    </row>
    <row r="3" spans="1:19" s="118" customFormat="1" ht="19.5" customHeight="1">
      <c r="A3" s="3574" t="s">
        <v>2281</v>
      </c>
      <c r="B3" s="122"/>
      <c r="C3" s="123" t="s">
        <v>1805</v>
      </c>
      <c r="D3" s="123" t="s">
        <v>452</v>
      </c>
      <c r="E3" s="123" t="s">
        <v>1806</v>
      </c>
      <c r="F3" s="123" t="s">
        <v>1807</v>
      </c>
      <c r="G3" s="124"/>
      <c r="H3" s="121" t="s">
        <v>2282</v>
      </c>
      <c r="I3" s="97" t="s">
        <v>2283</v>
      </c>
      <c r="J3" s="97" t="s">
        <v>2284</v>
      </c>
      <c r="K3" s="97" t="s">
        <v>2285</v>
      </c>
      <c r="L3" s="97" t="s">
        <v>2286</v>
      </c>
      <c r="M3" s="97" t="s">
        <v>2287</v>
      </c>
      <c r="N3" s="97" t="s">
        <v>2288</v>
      </c>
      <c r="O3" s="97" t="s">
        <v>2289</v>
      </c>
      <c r="P3" s="97" t="s">
        <v>2290</v>
      </c>
      <c r="Q3" s="97" t="s">
        <v>2291</v>
      </c>
      <c r="R3" s="97" t="s">
        <v>2292</v>
      </c>
      <c r="S3" s="97" t="s">
        <v>2293</v>
      </c>
    </row>
    <row r="4" spans="1:19" s="118" customFormat="1" ht="19.5" customHeight="1">
      <c r="A4" s="3575"/>
      <c r="B4" s="125" t="s">
        <v>2294</v>
      </c>
      <c r="C4" s="125" t="s">
        <v>2295</v>
      </c>
      <c r="D4" s="125" t="s">
        <v>2295</v>
      </c>
      <c r="E4" s="125" t="s">
        <v>2295</v>
      </c>
      <c r="F4" s="126" t="s">
        <v>2295</v>
      </c>
      <c r="G4" s="124"/>
      <c r="H4" s="121" t="s">
        <v>2296</v>
      </c>
      <c r="I4" s="97" t="s">
        <v>2297</v>
      </c>
      <c r="J4" s="97" t="s">
        <v>2298</v>
      </c>
      <c r="K4" s="97" t="s">
        <v>2299</v>
      </c>
      <c r="L4" s="97" t="s">
        <v>2300</v>
      </c>
      <c r="M4" s="97" t="s">
        <v>2301</v>
      </c>
      <c r="N4" s="97" t="s">
        <v>2302</v>
      </c>
      <c r="O4" s="97" t="s">
        <v>2303</v>
      </c>
      <c r="P4" s="97" t="s">
        <v>2304</v>
      </c>
      <c r="Q4" s="97" t="s">
        <v>2305</v>
      </c>
      <c r="R4" s="97" t="s">
        <v>2306</v>
      </c>
      <c r="S4" s="97" t="s">
        <v>2307</v>
      </c>
    </row>
    <row r="5" spans="1:19" ht="14.25" customHeight="1">
      <c r="A5" s="93" t="s">
        <v>230</v>
      </c>
      <c r="B5" s="94" t="s">
        <v>2269</v>
      </c>
      <c r="C5" s="94">
        <v>29530</v>
      </c>
      <c r="D5" s="94">
        <v>28130</v>
      </c>
      <c r="E5" s="94">
        <v>27930</v>
      </c>
      <c r="F5" s="127">
        <v>11300</v>
      </c>
      <c r="G5" s="124"/>
      <c r="H5" s="121" t="s">
        <v>2308</v>
      </c>
      <c r="I5" s="97" t="s">
        <v>2309</v>
      </c>
      <c r="J5" s="97" t="s">
        <v>2310</v>
      </c>
      <c r="K5" s="97" t="s">
        <v>2311</v>
      </c>
      <c r="L5" s="97" t="s">
        <v>2312</v>
      </c>
      <c r="M5" s="97" t="s">
        <v>2313</v>
      </c>
      <c r="N5" s="97" t="s">
        <v>2314</v>
      </c>
      <c r="O5" s="97" t="s">
        <v>2315</v>
      </c>
      <c r="P5" s="97" t="s">
        <v>2316</v>
      </c>
      <c r="Q5" s="97" t="s">
        <v>2317</v>
      </c>
      <c r="R5" s="97" t="s">
        <v>2318</v>
      </c>
      <c r="S5" s="97" t="s">
        <v>2319</v>
      </c>
    </row>
    <row r="6" spans="1:19" ht="14.25" customHeight="1">
      <c r="A6" s="93" t="s">
        <v>230</v>
      </c>
      <c r="B6" s="97" t="s">
        <v>2282</v>
      </c>
      <c r="C6" s="97">
        <v>30290</v>
      </c>
      <c r="D6" s="97">
        <v>29210</v>
      </c>
      <c r="E6" s="97">
        <v>28860</v>
      </c>
      <c r="F6" s="128">
        <v>12600</v>
      </c>
      <c r="G6" s="124"/>
      <c r="H6" s="121" t="s">
        <v>2320</v>
      </c>
      <c r="I6" s="97" t="s">
        <v>2321</v>
      </c>
      <c r="J6" s="97" t="s">
        <v>2322</v>
      </c>
      <c r="K6" s="97" t="s">
        <v>2323</v>
      </c>
      <c r="L6" s="97" t="s">
        <v>2324</v>
      </c>
      <c r="M6" s="97" t="s">
        <v>2325</v>
      </c>
      <c r="N6" s="97" t="s">
        <v>2326</v>
      </c>
      <c r="O6" s="97" t="s">
        <v>2327</v>
      </c>
      <c r="P6" s="97" t="s">
        <v>2328</v>
      </c>
      <c r="Q6" s="97" t="s">
        <v>2329</v>
      </c>
      <c r="R6" s="97" t="s">
        <v>2330</v>
      </c>
      <c r="S6" s="97" t="s">
        <v>2331</v>
      </c>
    </row>
    <row r="7" spans="1:19" ht="14.25" customHeight="1">
      <c r="A7" s="93" t="s">
        <v>230</v>
      </c>
      <c r="B7" s="100" t="s">
        <v>2296</v>
      </c>
      <c r="C7" s="97">
        <v>29350</v>
      </c>
      <c r="D7" s="97">
        <v>28410</v>
      </c>
      <c r="E7" s="97">
        <v>27990</v>
      </c>
      <c r="F7" s="128">
        <v>12300</v>
      </c>
      <c r="G7" s="124"/>
      <c r="I7" s="97" t="s">
        <v>2332</v>
      </c>
      <c r="J7" s="97" t="s">
        <v>2333</v>
      </c>
      <c r="K7" s="97" t="s">
        <v>2334</v>
      </c>
      <c r="L7" s="97" t="s">
        <v>2335</v>
      </c>
      <c r="M7" s="97" t="s">
        <v>2336</v>
      </c>
      <c r="N7" s="97" t="s">
        <v>2337</v>
      </c>
      <c r="O7" s="97" t="s">
        <v>2338</v>
      </c>
      <c r="P7" s="97" t="s">
        <v>2339</v>
      </c>
      <c r="Q7" s="97" t="s">
        <v>2340</v>
      </c>
      <c r="R7" s="97" t="s">
        <v>2341</v>
      </c>
      <c r="S7" s="100" t="s">
        <v>2342</v>
      </c>
    </row>
    <row r="8" spans="1:19" ht="14.25" customHeight="1">
      <c r="A8" s="93" t="s">
        <v>230</v>
      </c>
      <c r="B8" s="97" t="s">
        <v>2308</v>
      </c>
      <c r="C8" s="97">
        <v>30890</v>
      </c>
      <c r="D8" s="97">
        <v>29780</v>
      </c>
      <c r="E8" s="97">
        <v>29270</v>
      </c>
      <c r="F8" s="128">
        <v>11600</v>
      </c>
      <c r="G8" s="124"/>
      <c r="I8" s="97" t="s">
        <v>2343</v>
      </c>
      <c r="J8" s="97" t="s">
        <v>2344</v>
      </c>
      <c r="K8" s="97" t="s">
        <v>2345</v>
      </c>
      <c r="L8" s="97" t="s">
        <v>2346</v>
      </c>
      <c r="M8" s="97" t="s">
        <v>2347</v>
      </c>
      <c r="N8" s="97" t="s">
        <v>2348</v>
      </c>
      <c r="O8" s="97" t="s">
        <v>2349</v>
      </c>
      <c r="P8" s="97" t="s">
        <v>2350</v>
      </c>
      <c r="Q8" s="97" t="s">
        <v>2351</v>
      </c>
      <c r="R8" s="97" t="s">
        <v>2352</v>
      </c>
      <c r="S8" s="97" t="s">
        <v>2353</v>
      </c>
    </row>
    <row r="9" spans="1:19" ht="14.25" customHeight="1">
      <c r="A9" s="93" t="s">
        <v>230</v>
      </c>
      <c r="B9" s="102" t="s">
        <v>2320</v>
      </c>
      <c r="C9" s="108">
        <v>28140</v>
      </c>
      <c r="D9" s="108"/>
      <c r="E9" s="108"/>
      <c r="F9" s="129"/>
      <c r="G9" s="124"/>
      <c r="I9" s="97" t="s">
        <v>2354</v>
      </c>
      <c r="J9" s="97" t="s">
        <v>2355</v>
      </c>
      <c r="K9" s="97" t="s">
        <v>2356</v>
      </c>
      <c r="L9" s="97" t="s">
        <v>2357</v>
      </c>
      <c r="M9" s="97" t="s">
        <v>2358</v>
      </c>
      <c r="N9" s="97" t="s">
        <v>2359</v>
      </c>
      <c r="O9" s="97" t="s">
        <v>2360</v>
      </c>
      <c r="P9" s="97" t="s">
        <v>2361</v>
      </c>
      <c r="Q9" s="97" t="s">
        <v>2362</v>
      </c>
      <c r="R9" s="97" t="s">
        <v>2363</v>
      </c>
    </row>
    <row r="10" spans="1:19" ht="14.25" customHeight="1">
      <c r="A10" s="93" t="s">
        <v>241</v>
      </c>
      <c r="B10" s="94" t="s">
        <v>2270</v>
      </c>
      <c r="C10" s="94">
        <v>27450</v>
      </c>
      <c r="D10" s="94">
        <v>26180</v>
      </c>
      <c r="E10" s="94">
        <v>25980</v>
      </c>
      <c r="F10" s="127">
        <v>8910</v>
      </c>
      <c r="G10" s="124"/>
      <c r="I10" s="97" t="s">
        <v>2364</v>
      </c>
      <c r="J10" s="97" t="s">
        <v>2365</v>
      </c>
      <c r="K10" s="97" t="s">
        <v>2366</v>
      </c>
      <c r="L10" s="97" t="s">
        <v>2367</v>
      </c>
      <c r="M10" s="97" t="s">
        <v>2368</v>
      </c>
      <c r="N10" s="97" t="s">
        <v>2369</v>
      </c>
      <c r="O10" s="97" t="s">
        <v>2370</v>
      </c>
      <c r="P10" s="97" t="s">
        <v>2371</v>
      </c>
      <c r="Q10" s="97" t="s">
        <v>2372</v>
      </c>
      <c r="R10" s="97" t="s">
        <v>2373</v>
      </c>
    </row>
    <row r="11" spans="1:19" ht="14.25" customHeight="1">
      <c r="A11" s="93" t="s">
        <v>241</v>
      </c>
      <c r="B11" s="100" t="s">
        <v>2283</v>
      </c>
      <c r="C11" s="97">
        <v>22950</v>
      </c>
      <c r="D11" s="97">
        <v>22630</v>
      </c>
      <c r="E11" s="97">
        <v>22030</v>
      </c>
      <c r="F11" s="130">
        <v>8330</v>
      </c>
      <c r="G11" s="124"/>
      <c r="I11" s="97" t="s">
        <v>2374</v>
      </c>
      <c r="J11" s="97" t="s">
        <v>2375</v>
      </c>
      <c r="K11" s="97" t="s">
        <v>2376</v>
      </c>
      <c r="L11" s="97" t="s">
        <v>2377</v>
      </c>
      <c r="M11" s="97" t="s">
        <v>2378</v>
      </c>
      <c r="N11" s="97" t="s">
        <v>2379</v>
      </c>
      <c r="O11" s="97" t="s">
        <v>2380</v>
      </c>
      <c r="P11" s="97" t="s">
        <v>2381</v>
      </c>
      <c r="Q11" s="97" t="s">
        <v>2382</v>
      </c>
      <c r="R11" s="97" t="s">
        <v>2383</v>
      </c>
    </row>
    <row r="12" spans="1:19" ht="14.25" customHeight="1">
      <c r="A12" s="93" t="s">
        <v>241</v>
      </c>
      <c r="B12" s="100" t="s">
        <v>2297</v>
      </c>
      <c r="C12" s="97">
        <v>24940</v>
      </c>
      <c r="D12" s="97">
        <v>23180</v>
      </c>
      <c r="E12" s="97">
        <v>22910</v>
      </c>
      <c r="F12" s="130">
        <v>7180</v>
      </c>
      <c r="G12" s="124"/>
      <c r="I12" s="97" t="s">
        <v>2384</v>
      </c>
      <c r="J12" s="97" t="s">
        <v>2385</v>
      </c>
      <c r="K12" s="97" t="s">
        <v>2386</v>
      </c>
      <c r="L12" s="97" t="s">
        <v>2387</v>
      </c>
      <c r="M12" s="97" t="s">
        <v>2388</v>
      </c>
      <c r="N12" s="97" t="s">
        <v>2389</v>
      </c>
      <c r="O12" s="97" t="s">
        <v>2390</v>
      </c>
      <c r="P12" s="97" t="s">
        <v>2391</v>
      </c>
      <c r="Q12" s="97" t="s">
        <v>2392</v>
      </c>
      <c r="R12" s="97" t="s">
        <v>2393</v>
      </c>
    </row>
    <row r="13" spans="1:19" ht="14.25" customHeight="1">
      <c r="A13" s="93" t="s">
        <v>241</v>
      </c>
      <c r="B13" s="100" t="s">
        <v>2309</v>
      </c>
      <c r="C13" s="97">
        <v>24140</v>
      </c>
      <c r="D13" s="97">
        <v>22270</v>
      </c>
      <c r="E13" s="97">
        <v>21950</v>
      </c>
      <c r="F13" s="130">
        <v>7600</v>
      </c>
      <c r="G13" s="124"/>
      <c r="I13" s="97" t="s">
        <v>2394</v>
      </c>
      <c r="J13" s="97" t="s">
        <v>2395</v>
      </c>
      <c r="K13" s="97" t="s">
        <v>2396</v>
      </c>
      <c r="L13" s="97" t="s">
        <v>2397</v>
      </c>
      <c r="M13" s="97" t="s">
        <v>2398</v>
      </c>
      <c r="N13" s="97" t="s">
        <v>2399</v>
      </c>
      <c r="O13" s="97" t="s">
        <v>2400</v>
      </c>
      <c r="P13" s="97" t="s">
        <v>2401</v>
      </c>
      <c r="Q13" s="97" t="s">
        <v>2402</v>
      </c>
      <c r="R13" s="97" t="s">
        <v>2403</v>
      </c>
    </row>
    <row r="14" spans="1:19" ht="14.25" customHeight="1">
      <c r="A14" s="93" t="s">
        <v>241</v>
      </c>
      <c r="B14" s="100" t="s">
        <v>2321</v>
      </c>
      <c r="C14" s="97">
        <v>25600</v>
      </c>
      <c r="D14" s="97">
        <v>22260</v>
      </c>
      <c r="E14" s="97">
        <v>22110</v>
      </c>
      <c r="F14" s="130">
        <v>7630</v>
      </c>
      <c r="G14" s="124"/>
      <c r="I14" s="97" t="s">
        <v>2404</v>
      </c>
      <c r="J14" s="97" t="s">
        <v>2405</v>
      </c>
      <c r="K14" s="97" t="s">
        <v>2406</v>
      </c>
      <c r="L14" s="97" t="s">
        <v>2407</v>
      </c>
      <c r="M14" s="97" t="s">
        <v>2408</v>
      </c>
      <c r="N14" s="97" t="s">
        <v>2409</v>
      </c>
      <c r="O14" s="97" t="s">
        <v>2410</v>
      </c>
      <c r="P14" s="97" t="s">
        <v>2411</v>
      </c>
      <c r="Q14" s="97" t="s">
        <v>2412</v>
      </c>
      <c r="R14" s="97" t="s">
        <v>2413</v>
      </c>
    </row>
    <row r="15" spans="1:19" ht="14.25" customHeight="1">
      <c r="A15" s="93" t="s">
        <v>241</v>
      </c>
      <c r="B15" s="100" t="s">
        <v>2332</v>
      </c>
      <c r="C15" s="97">
        <v>24760</v>
      </c>
      <c r="D15" s="97">
        <v>24440</v>
      </c>
      <c r="E15" s="97">
        <v>24130</v>
      </c>
      <c r="F15" s="130">
        <v>9480</v>
      </c>
      <c r="G15" s="124"/>
      <c r="I15" s="97" t="s">
        <v>2414</v>
      </c>
      <c r="J15" s="97" t="s">
        <v>2415</v>
      </c>
      <c r="K15" s="97" t="s">
        <v>2416</v>
      </c>
      <c r="L15" s="97" t="s">
        <v>2417</v>
      </c>
      <c r="M15" s="97" t="s">
        <v>2418</v>
      </c>
      <c r="N15" s="97" t="s">
        <v>2419</v>
      </c>
      <c r="O15" s="97" t="s">
        <v>2420</v>
      </c>
      <c r="P15" s="97" t="s">
        <v>2421</v>
      </c>
      <c r="Q15" s="97" t="s">
        <v>2422</v>
      </c>
      <c r="R15" s="97" t="s">
        <v>2423</v>
      </c>
    </row>
    <row r="16" spans="1:19" ht="14.25" customHeight="1">
      <c r="A16" s="93" t="s">
        <v>241</v>
      </c>
      <c r="B16" s="100" t="s">
        <v>2343</v>
      </c>
      <c r="C16" s="97">
        <v>22220</v>
      </c>
      <c r="D16" s="97">
        <v>22310</v>
      </c>
      <c r="E16" s="97">
        <v>22000</v>
      </c>
      <c r="F16" s="130">
        <v>8900</v>
      </c>
      <c r="G16" s="124"/>
      <c r="I16" s="97" t="s">
        <v>2424</v>
      </c>
      <c r="J16" s="97" t="s">
        <v>2425</v>
      </c>
      <c r="K16" s="97" t="s">
        <v>2426</v>
      </c>
      <c r="L16" s="97" t="s">
        <v>2427</v>
      </c>
      <c r="M16" s="97" t="s">
        <v>2428</v>
      </c>
      <c r="N16" s="97" t="s">
        <v>2429</v>
      </c>
      <c r="O16" s="97" t="s">
        <v>2430</v>
      </c>
      <c r="P16" s="97" t="s">
        <v>2431</v>
      </c>
      <c r="Q16" s="97" t="s">
        <v>2432</v>
      </c>
      <c r="R16" s="97" t="s">
        <v>2433</v>
      </c>
    </row>
    <row r="17" spans="1:18" ht="14.25" customHeight="1">
      <c r="A17" s="93" t="s">
        <v>241</v>
      </c>
      <c r="B17" s="100" t="s">
        <v>2354</v>
      </c>
      <c r="C17" s="97">
        <v>24700</v>
      </c>
      <c r="D17" s="97">
        <v>25150</v>
      </c>
      <c r="E17" s="97">
        <v>24700</v>
      </c>
      <c r="F17" s="131"/>
      <c r="G17" s="124"/>
      <c r="I17" s="97" t="s">
        <v>2434</v>
      </c>
      <c r="J17" s="97" t="s">
        <v>2435</v>
      </c>
      <c r="K17" s="97" t="s">
        <v>2436</v>
      </c>
      <c r="L17" s="97" t="s">
        <v>2437</v>
      </c>
      <c r="M17" s="97" t="s">
        <v>2438</v>
      </c>
      <c r="N17" s="97" t="s">
        <v>2439</v>
      </c>
      <c r="O17" s="97" t="s">
        <v>2440</v>
      </c>
      <c r="P17" s="97" t="s">
        <v>2441</v>
      </c>
      <c r="Q17" s="97" t="s">
        <v>2442</v>
      </c>
      <c r="R17" s="97" t="s">
        <v>2443</v>
      </c>
    </row>
    <row r="18" spans="1:18" ht="14.25" customHeight="1">
      <c r="A18" s="93" t="s">
        <v>241</v>
      </c>
      <c r="B18" s="100" t="s">
        <v>2364</v>
      </c>
      <c r="C18" s="97">
        <v>22350</v>
      </c>
      <c r="D18" s="97">
        <v>24340</v>
      </c>
      <c r="E18" s="97">
        <v>24100</v>
      </c>
      <c r="F18" s="131"/>
      <c r="G18" s="124"/>
      <c r="I18" s="97" t="s">
        <v>2444</v>
      </c>
      <c r="J18" s="97" t="s">
        <v>2445</v>
      </c>
      <c r="K18" s="97" t="s">
        <v>2446</v>
      </c>
      <c r="L18" s="97" t="s">
        <v>2447</v>
      </c>
      <c r="M18" s="97" t="s">
        <v>2448</v>
      </c>
      <c r="N18" s="97" t="s">
        <v>2449</v>
      </c>
      <c r="O18" s="97" t="s">
        <v>2450</v>
      </c>
      <c r="P18" s="97" t="s">
        <v>2451</v>
      </c>
      <c r="Q18" s="97" t="s">
        <v>2452</v>
      </c>
      <c r="R18" s="97" t="s">
        <v>2453</v>
      </c>
    </row>
    <row r="19" spans="1:18" ht="14.25" customHeight="1">
      <c r="A19" s="93" t="s">
        <v>241</v>
      </c>
      <c r="B19" s="100" t="s">
        <v>2374</v>
      </c>
      <c r="C19" s="97">
        <v>23430</v>
      </c>
      <c r="D19" s="97">
        <v>21580</v>
      </c>
      <c r="E19" s="97">
        <v>21350</v>
      </c>
      <c r="F19" s="131"/>
      <c r="G19" s="124"/>
      <c r="I19" s="97" t="s">
        <v>2454</v>
      </c>
      <c r="J19" s="97" t="s">
        <v>2455</v>
      </c>
      <c r="K19" s="97" t="s">
        <v>2456</v>
      </c>
      <c r="L19" s="97" t="s">
        <v>2457</v>
      </c>
      <c r="M19" s="97" t="s">
        <v>2458</v>
      </c>
      <c r="N19" s="97" t="s">
        <v>2459</v>
      </c>
      <c r="O19" s="97" t="s">
        <v>2460</v>
      </c>
      <c r="P19" s="97" t="s">
        <v>2461</v>
      </c>
      <c r="Q19" s="97" t="s">
        <v>2462</v>
      </c>
      <c r="R19" s="97" t="s">
        <v>2463</v>
      </c>
    </row>
    <row r="20" spans="1:18" ht="14.25" customHeight="1">
      <c r="A20" s="93" t="s">
        <v>241</v>
      </c>
      <c r="B20" s="100" t="s">
        <v>2384</v>
      </c>
      <c r="C20" s="97">
        <v>27660</v>
      </c>
      <c r="D20" s="97">
        <v>24240</v>
      </c>
      <c r="E20" s="97">
        <v>24020</v>
      </c>
      <c r="F20" s="131"/>
      <c r="I20" s="97" t="s">
        <v>2464</v>
      </c>
      <c r="J20" s="97" t="s">
        <v>2465</v>
      </c>
      <c r="K20" s="97" t="s">
        <v>2466</v>
      </c>
      <c r="L20" s="97" t="s">
        <v>2467</v>
      </c>
      <c r="M20" s="97" t="s">
        <v>2468</v>
      </c>
      <c r="N20" s="97" t="s">
        <v>2469</v>
      </c>
      <c r="O20" s="97" t="s">
        <v>2470</v>
      </c>
      <c r="P20" s="97" t="s">
        <v>2471</v>
      </c>
      <c r="Q20" s="97" t="s">
        <v>2472</v>
      </c>
      <c r="R20" s="97" t="s">
        <v>2473</v>
      </c>
    </row>
    <row r="21" spans="1:18" ht="14.25" customHeight="1">
      <c r="A21" s="93" t="s">
        <v>241</v>
      </c>
      <c r="B21" s="100" t="s">
        <v>2394</v>
      </c>
      <c r="C21" s="97">
        <v>24720</v>
      </c>
      <c r="D21" s="97">
        <v>21670</v>
      </c>
      <c r="E21" s="97">
        <v>21510</v>
      </c>
      <c r="F21" s="131"/>
      <c r="J21" s="97" t="s">
        <v>2474</v>
      </c>
      <c r="K21" s="97" t="s">
        <v>2475</v>
      </c>
      <c r="L21" s="97" t="s">
        <v>2476</v>
      </c>
      <c r="M21" s="97" t="s">
        <v>2477</v>
      </c>
      <c r="N21" s="97" t="s">
        <v>2478</v>
      </c>
      <c r="O21" s="97" t="s">
        <v>2479</v>
      </c>
      <c r="P21" s="97" t="s">
        <v>2480</v>
      </c>
      <c r="Q21" s="97" t="s">
        <v>2481</v>
      </c>
      <c r="R21" s="97" t="s">
        <v>2482</v>
      </c>
    </row>
    <row r="22" spans="1:18" ht="14.25" customHeight="1">
      <c r="A22" s="93" t="s">
        <v>241</v>
      </c>
      <c r="B22" s="100" t="s">
        <v>2404</v>
      </c>
      <c r="C22" s="97">
        <v>26530</v>
      </c>
      <c r="D22" s="97">
        <v>22980</v>
      </c>
      <c r="E22" s="97">
        <v>22650</v>
      </c>
      <c r="F22" s="131"/>
      <c r="K22" s="97" t="s">
        <v>2483</v>
      </c>
      <c r="L22" s="97" t="s">
        <v>2484</v>
      </c>
      <c r="M22" s="97" t="s">
        <v>2485</v>
      </c>
      <c r="N22" s="97" t="s">
        <v>2486</v>
      </c>
      <c r="O22" s="97" t="s">
        <v>2487</v>
      </c>
      <c r="P22" s="97" t="s">
        <v>2488</v>
      </c>
      <c r="Q22" s="97" t="s">
        <v>2489</v>
      </c>
      <c r="R22" s="100" t="s">
        <v>2490</v>
      </c>
    </row>
    <row r="23" spans="1:18" ht="14.25" customHeight="1">
      <c r="A23" s="93" t="s">
        <v>241</v>
      </c>
      <c r="B23" s="100" t="s">
        <v>2414</v>
      </c>
      <c r="C23" s="97">
        <v>24700</v>
      </c>
      <c r="D23" s="97">
        <v>27290</v>
      </c>
      <c r="E23" s="97">
        <v>26710</v>
      </c>
      <c r="F23" s="131"/>
      <c r="K23" s="97" t="s">
        <v>2491</v>
      </c>
      <c r="L23" s="97" t="s">
        <v>2492</v>
      </c>
      <c r="M23" s="97" t="s">
        <v>2493</v>
      </c>
      <c r="N23" s="97" t="s">
        <v>2494</v>
      </c>
      <c r="O23" s="97" t="s">
        <v>2495</v>
      </c>
      <c r="P23" s="97" t="s">
        <v>2496</v>
      </c>
      <c r="Q23" s="97" t="s">
        <v>2497</v>
      </c>
    </row>
    <row r="24" spans="1:18" ht="14.25" customHeight="1">
      <c r="A24" s="93" t="s">
        <v>241</v>
      </c>
      <c r="B24" s="100" t="s">
        <v>2424</v>
      </c>
      <c r="C24" s="97">
        <v>23070</v>
      </c>
      <c r="D24" s="97">
        <v>24130</v>
      </c>
      <c r="E24" s="97">
        <v>23860</v>
      </c>
      <c r="F24" s="131"/>
      <c r="K24" s="97" t="s">
        <v>2498</v>
      </c>
      <c r="L24" s="97" t="s">
        <v>2499</v>
      </c>
      <c r="M24" s="97" t="s">
        <v>2500</v>
      </c>
      <c r="N24" s="97" t="s">
        <v>2501</v>
      </c>
      <c r="O24" s="97" t="s">
        <v>2502</v>
      </c>
      <c r="P24" s="97" t="s">
        <v>2503</v>
      </c>
      <c r="Q24" s="97" t="s">
        <v>2504</v>
      </c>
    </row>
    <row r="25" spans="1:18" ht="14.25" customHeight="1">
      <c r="A25" s="93" t="s">
        <v>241</v>
      </c>
      <c r="B25" s="100" t="s">
        <v>2434</v>
      </c>
      <c r="C25" s="97">
        <v>27550</v>
      </c>
      <c r="D25" s="97">
        <v>25850</v>
      </c>
      <c r="E25" s="97">
        <v>25340</v>
      </c>
      <c r="F25" s="131"/>
      <c r="K25" s="97" t="s">
        <v>2505</v>
      </c>
      <c r="L25" s="97" t="s">
        <v>2506</v>
      </c>
      <c r="M25" s="97" t="s">
        <v>2507</v>
      </c>
      <c r="N25" s="97" t="s">
        <v>2508</v>
      </c>
      <c r="O25" s="97" t="s">
        <v>2509</v>
      </c>
      <c r="P25" s="97" t="s">
        <v>2510</v>
      </c>
      <c r="Q25" s="97" t="s">
        <v>2511</v>
      </c>
    </row>
    <row r="26" spans="1:18" ht="14.25" customHeight="1">
      <c r="A26" s="93" t="s">
        <v>241</v>
      </c>
      <c r="B26" s="100" t="s">
        <v>2444</v>
      </c>
      <c r="C26" s="97"/>
      <c r="D26" s="97">
        <v>23900</v>
      </c>
      <c r="E26" s="97">
        <v>23590</v>
      </c>
      <c r="F26" s="131"/>
      <c r="K26" s="97" t="s">
        <v>2512</v>
      </c>
      <c r="L26" s="97" t="s">
        <v>2513</v>
      </c>
      <c r="M26" s="97" t="s">
        <v>2514</v>
      </c>
      <c r="N26" s="97" t="s">
        <v>2515</v>
      </c>
      <c r="O26" s="97" t="s">
        <v>2516</v>
      </c>
      <c r="P26" s="97" t="s">
        <v>2517</v>
      </c>
      <c r="Q26" s="97" t="s">
        <v>2518</v>
      </c>
    </row>
    <row r="27" spans="1:18" ht="14.25" customHeight="1">
      <c r="A27" s="93" t="s">
        <v>241</v>
      </c>
      <c r="B27" s="100" t="s">
        <v>2454</v>
      </c>
      <c r="C27" s="97"/>
      <c r="D27" s="97">
        <v>22850</v>
      </c>
      <c r="E27" s="97">
        <v>21920</v>
      </c>
      <c r="F27" s="131"/>
      <c r="K27" s="97" t="s">
        <v>2519</v>
      </c>
      <c r="L27" s="97" t="s">
        <v>2520</v>
      </c>
      <c r="M27" s="97" t="s">
        <v>2521</v>
      </c>
      <c r="N27" s="97" t="s">
        <v>2522</v>
      </c>
      <c r="O27" s="97" t="s">
        <v>2523</v>
      </c>
      <c r="P27" s="97" t="s">
        <v>2524</v>
      </c>
      <c r="Q27" s="97" t="s">
        <v>2525</v>
      </c>
    </row>
    <row r="28" spans="1:18" ht="14.25" customHeight="1">
      <c r="A28" s="101" t="s">
        <v>241</v>
      </c>
      <c r="B28" s="102" t="s">
        <v>2464</v>
      </c>
      <c r="C28" s="108"/>
      <c r="D28" s="108">
        <v>26610</v>
      </c>
      <c r="E28" s="108">
        <v>26370</v>
      </c>
      <c r="F28" s="129"/>
      <c r="K28" s="97" t="s">
        <v>2526</v>
      </c>
      <c r="L28" s="97" t="s">
        <v>2527</v>
      </c>
      <c r="M28" s="97" t="s">
        <v>2528</v>
      </c>
      <c r="N28" s="97" t="s">
        <v>2529</v>
      </c>
      <c r="O28" s="97" t="s">
        <v>2530</v>
      </c>
      <c r="P28" s="97" t="s">
        <v>2531</v>
      </c>
    </row>
    <row r="29" spans="1:18" ht="14.25" customHeight="1">
      <c r="A29" s="93" t="s">
        <v>251</v>
      </c>
      <c r="B29" s="94" t="s">
        <v>2271</v>
      </c>
      <c r="C29" s="94">
        <v>22090</v>
      </c>
      <c r="D29" s="94">
        <v>21860</v>
      </c>
      <c r="E29" s="94">
        <v>19380</v>
      </c>
      <c r="F29" s="127">
        <v>6610</v>
      </c>
      <c r="L29" s="97" t="s">
        <v>2532</v>
      </c>
      <c r="M29" s="97" t="s">
        <v>2533</v>
      </c>
      <c r="N29" s="97" t="s">
        <v>2534</v>
      </c>
      <c r="O29" s="97" t="s">
        <v>2535</v>
      </c>
      <c r="P29" s="97" t="s">
        <v>2536</v>
      </c>
    </row>
    <row r="30" spans="1:18" ht="14.25" customHeight="1">
      <c r="A30" s="93" t="s">
        <v>251</v>
      </c>
      <c r="B30" s="100" t="s">
        <v>2284</v>
      </c>
      <c r="C30" s="97">
        <v>21380</v>
      </c>
      <c r="D30" s="97">
        <v>19930</v>
      </c>
      <c r="E30" s="97">
        <v>19860</v>
      </c>
      <c r="F30" s="130">
        <v>6010</v>
      </c>
      <c r="L30" s="97" t="s">
        <v>2537</v>
      </c>
      <c r="M30" s="97" t="s">
        <v>2538</v>
      </c>
      <c r="N30" s="97" t="s">
        <v>2539</v>
      </c>
      <c r="O30" s="97" t="s">
        <v>2540</v>
      </c>
      <c r="P30" s="97" t="s">
        <v>2541</v>
      </c>
    </row>
    <row r="31" spans="1:18" ht="14.25" customHeight="1">
      <c r="A31" s="93" t="s">
        <v>251</v>
      </c>
      <c r="B31" s="100" t="s">
        <v>2298</v>
      </c>
      <c r="C31" s="97">
        <v>21670</v>
      </c>
      <c r="D31" s="97">
        <v>20660</v>
      </c>
      <c r="E31" s="97">
        <v>20290</v>
      </c>
      <c r="F31" s="130">
        <v>5840</v>
      </c>
      <c r="L31" s="97" t="s">
        <v>2542</v>
      </c>
      <c r="M31" s="97" t="s">
        <v>2543</v>
      </c>
      <c r="N31" s="97" t="s">
        <v>2544</v>
      </c>
      <c r="O31" s="97" t="s">
        <v>2545</v>
      </c>
      <c r="P31" s="97" t="s">
        <v>2546</v>
      </c>
    </row>
    <row r="32" spans="1:18" ht="14.25" customHeight="1">
      <c r="A32" s="93" t="s">
        <v>251</v>
      </c>
      <c r="B32" s="100" t="s">
        <v>2310</v>
      </c>
      <c r="C32" s="97">
        <v>22280</v>
      </c>
      <c r="D32" s="97">
        <v>21800</v>
      </c>
      <c r="E32" s="97">
        <v>17650</v>
      </c>
      <c r="F32" s="130">
        <v>4690</v>
      </c>
      <c r="L32" s="97" t="s">
        <v>2547</v>
      </c>
      <c r="M32" s="97" t="s">
        <v>2548</v>
      </c>
      <c r="N32" s="97" t="s">
        <v>2549</v>
      </c>
      <c r="O32" s="97" t="s">
        <v>2550</v>
      </c>
      <c r="P32" s="97" t="s">
        <v>2551</v>
      </c>
    </row>
    <row r="33" spans="1:16" ht="14.25" customHeight="1">
      <c r="A33" s="93" t="s">
        <v>251</v>
      </c>
      <c r="B33" s="100" t="s">
        <v>2322</v>
      </c>
      <c r="C33" s="97">
        <v>22130</v>
      </c>
      <c r="D33" s="97">
        <v>20460</v>
      </c>
      <c r="E33" s="97">
        <v>18500</v>
      </c>
      <c r="F33" s="130">
        <v>5340</v>
      </c>
      <c r="L33" s="97" t="s">
        <v>2552</v>
      </c>
      <c r="M33" s="97" t="s">
        <v>2553</v>
      </c>
      <c r="N33" s="97" t="s">
        <v>2554</v>
      </c>
      <c r="O33" s="97" t="s">
        <v>2555</v>
      </c>
      <c r="P33" s="97" t="s">
        <v>2556</v>
      </c>
    </row>
    <row r="34" spans="1:16" ht="14.25" customHeight="1">
      <c r="A34" s="93" t="s">
        <v>251</v>
      </c>
      <c r="B34" s="100" t="s">
        <v>2333</v>
      </c>
      <c r="C34" s="97">
        <v>22070</v>
      </c>
      <c r="D34" s="97">
        <v>20110</v>
      </c>
      <c r="E34" s="97">
        <v>18830</v>
      </c>
      <c r="F34" s="130">
        <v>5190</v>
      </c>
      <c r="L34" s="97" t="s">
        <v>2557</v>
      </c>
      <c r="M34" s="97" t="s">
        <v>2558</v>
      </c>
      <c r="N34" s="97" t="s">
        <v>2559</v>
      </c>
      <c r="O34" s="97" t="s">
        <v>2560</v>
      </c>
      <c r="P34" s="97" t="s">
        <v>2561</v>
      </c>
    </row>
    <row r="35" spans="1:16" ht="14.25" customHeight="1">
      <c r="A35" s="93" t="s">
        <v>251</v>
      </c>
      <c r="B35" s="100" t="s">
        <v>2344</v>
      </c>
      <c r="C35" s="97">
        <v>22240</v>
      </c>
      <c r="D35" s="97">
        <v>19550</v>
      </c>
      <c r="E35" s="97">
        <v>19220</v>
      </c>
      <c r="F35" s="130">
        <v>5800</v>
      </c>
      <c r="L35" s="97" t="s">
        <v>2562</v>
      </c>
      <c r="M35" s="97" t="s">
        <v>2563</v>
      </c>
      <c r="N35" s="97" t="s">
        <v>2564</v>
      </c>
      <c r="O35" s="97" t="s">
        <v>2565</v>
      </c>
      <c r="P35" s="97" t="s">
        <v>2566</v>
      </c>
    </row>
    <row r="36" spans="1:16" ht="14.25" customHeight="1">
      <c r="A36" s="93" t="s">
        <v>251</v>
      </c>
      <c r="B36" s="100" t="s">
        <v>2355</v>
      </c>
      <c r="C36" s="97">
        <v>19750</v>
      </c>
      <c r="D36" s="97">
        <v>19790</v>
      </c>
      <c r="E36" s="97">
        <v>18510</v>
      </c>
      <c r="F36" s="130">
        <v>6520</v>
      </c>
      <c r="M36" s="97" t="s">
        <v>2567</v>
      </c>
      <c r="N36" s="97" t="s">
        <v>2568</v>
      </c>
      <c r="O36" s="97" t="s">
        <v>2569</v>
      </c>
      <c r="P36" s="97" t="s">
        <v>2570</v>
      </c>
    </row>
    <row r="37" spans="1:16" ht="14.25" customHeight="1">
      <c r="A37" s="93" t="s">
        <v>251</v>
      </c>
      <c r="B37" s="100" t="s">
        <v>2365</v>
      </c>
      <c r="C37" s="97">
        <v>22380</v>
      </c>
      <c r="D37" s="97">
        <v>18530</v>
      </c>
      <c r="E37" s="97">
        <v>17930</v>
      </c>
      <c r="F37" s="130">
        <v>6270</v>
      </c>
      <c r="M37" s="97" t="s">
        <v>2571</v>
      </c>
      <c r="N37" s="97" t="s">
        <v>2572</v>
      </c>
      <c r="O37" s="97" t="s">
        <v>2573</v>
      </c>
      <c r="P37" s="97" t="s">
        <v>2574</v>
      </c>
    </row>
    <row r="38" spans="1:16" ht="14.25" customHeight="1">
      <c r="A38" s="93" t="s">
        <v>251</v>
      </c>
      <c r="B38" s="100" t="s">
        <v>2375</v>
      </c>
      <c r="C38" s="97">
        <v>20200</v>
      </c>
      <c r="D38" s="97">
        <v>20070</v>
      </c>
      <c r="E38" s="97">
        <v>19950</v>
      </c>
      <c r="F38" s="130"/>
      <c r="M38" s="97" t="s">
        <v>2575</v>
      </c>
      <c r="N38" s="97" t="s">
        <v>2576</v>
      </c>
      <c r="O38" s="97" t="s">
        <v>2577</v>
      </c>
      <c r="P38" s="97" t="s">
        <v>2578</v>
      </c>
    </row>
    <row r="39" spans="1:16" ht="14.25" customHeight="1">
      <c r="A39" s="93" t="s">
        <v>251</v>
      </c>
      <c r="B39" s="100" t="s">
        <v>2385</v>
      </c>
      <c r="C39" s="97">
        <v>19300</v>
      </c>
      <c r="D39" s="97">
        <v>20360</v>
      </c>
      <c r="E39" s="97">
        <v>20230</v>
      </c>
      <c r="F39" s="130"/>
      <c r="M39" s="97" t="s">
        <v>2579</v>
      </c>
      <c r="N39" s="97" t="s">
        <v>2580</v>
      </c>
      <c r="O39" s="97" t="s">
        <v>2581</v>
      </c>
      <c r="P39" s="97" t="s">
        <v>2582</v>
      </c>
    </row>
    <row r="40" spans="1:16" ht="14.25" customHeight="1">
      <c r="A40" s="93" t="s">
        <v>251</v>
      </c>
      <c r="B40" s="100" t="s">
        <v>2395</v>
      </c>
      <c r="C40" s="97">
        <v>20210</v>
      </c>
      <c r="D40" s="97">
        <v>19060</v>
      </c>
      <c r="E40" s="97">
        <v>18890</v>
      </c>
      <c r="F40" s="130"/>
      <c r="M40" s="97" t="s">
        <v>2583</v>
      </c>
      <c r="N40" s="97" t="s">
        <v>2584</v>
      </c>
      <c r="O40" s="97" t="s">
        <v>2585</v>
      </c>
      <c r="P40" s="97" t="s">
        <v>2586</v>
      </c>
    </row>
    <row r="41" spans="1:16" ht="14.25" customHeight="1">
      <c r="A41" s="93" t="s">
        <v>251</v>
      </c>
      <c r="B41" s="100" t="s">
        <v>2405</v>
      </c>
      <c r="C41" s="97">
        <v>20560</v>
      </c>
      <c r="D41" s="97">
        <v>21040</v>
      </c>
      <c r="E41" s="97">
        <v>20740</v>
      </c>
      <c r="F41" s="130"/>
      <c r="M41" s="100" t="s">
        <v>2587</v>
      </c>
      <c r="N41" s="100" t="s">
        <v>2588</v>
      </c>
      <c r="P41" s="100" t="s">
        <v>2589</v>
      </c>
    </row>
    <row r="42" spans="1:16" ht="14.25" customHeight="1">
      <c r="A42" s="93" t="s">
        <v>251</v>
      </c>
      <c r="B42" s="100" t="s">
        <v>2415</v>
      </c>
      <c r="C42" s="97">
        <v>19280</v>
      </c>
      <c r="D42" s="97">
        <v>22940</v>
      </c>
      <c r="E42" s="97">
        <v>22500</v>
      </c>
      <c r="F42" s="130"/>
      <c r="M42" s="97" t="s">
        <v>2590</v>
      </c>
      <c r="N42" s="97" t="s">
        <v>2591</v>
      </c>
      <c r="P42" s="97" t="s">
        <v>2592</v>
      </c>
    </row>
    <row r="43" spans="1:16" ht="14.25" customHeight="1">
      <c r="A43" s="93" t="s">
        <v>251</v>
      </c>
      <c r="B43" s="100" t="s">
        <v>2425</v>
      </c>
      <c r="C43" s="97">
        <v>21520</v>
      </c>
      <c r="D43" s="97">
        <v>19230</v>
      </c>
      <c r="E43" s="97">
        <v>18540</v>
      </c>
      <c r="F43" s="130"/>
      <c r="M43" s="97" t="s">
        <v>2593</v>
      </c>
      <c r="N43" s="97" t="s">
        <v>2594</v>
      </c>
      <c r="P43" s="97" t="s">
        <v>2595</v>
      </c>
    </row>
    <row r="44" spans="1:16" ht="14.25" customHeight="1">
      <c r="A44" s="93" t="s">
        <v>251</v>
      </c>
      <c r="B44" s="100" t="s">
        <v>2435</v>
      </c>
      <c r="C44" s="97">
        <v>23260</v>
      </c>
      <c r="D44" s="97">
        <v>21180</v>
      </c>
      <c r="E44" s="97">
        <v>20730</v>
      </c>
      <c r="F44" s="130"/>
      <c r="M44" s="97" t="s">
        <v>2596</v>
      </c>
      <c r="N44" s="97" t="s">
        <v>2597</v>
      </c>
      <c r="P44" s="97" t="s">
        <v>2598</v>
      </c>
    </row>
    <row r="45" spans="1:16" ht="14.25" customHeight="1">
      <c r="A45" s="93" t="s">
        <v>251</v>
      </c>
      <c r="B45" s="100" t="s">
        <v>2445</v>
      </c>
      <c r="C45" s="97">
        <v>19610</v>
      </c>
      <c r="D45" s="97">
        <v>18090</v>
      </c>
      <c r="E45" s="97">
        <v>17970</v>
      </c>
      <c r="F45" s="130"/>
      <c r="M45" s="97" t="s">
        <v>2599</v>
      </c>
      <c r="N45" s="97" t="s">
        <v>2600</v>
      </c>
      <c r="P45" s="97" t="s">
        <v>2601</v>
      </c>
    </row>
    <row r="46" spans="1:16" ht="14.25" customHeight="1">
      <c r="A46" s="93" t="s">
        <v>251</v>
      </c>
      <c r="B46" s="100" t="s">
        <v>2455</v>
      </c>
      <c r="C46" s="97">
        <v>21660</v>
      </c>
      <c r="D46" s="97">
        <v>19190</v>
      </c>
      <c r="E46" s="97">
        <v>19790</v>
      </c>
      <c r="F46" s="130"/>
      <c r="M46" s="97" t="s">
        <v>2602</v>
      </c>
      <c r="N46" s="97" t="s">
        <v>2603</v>
      </c>
      <c r="P46" s="97" t="s">
        <v>2604</v>
      </c>
    </row>
    <row r="47" spans="1:16" ht="14.25" customHeight="1">
      <c r="A47" s="93" t="s">
        <v>251</v>
      </c>
      <c r="B47" s="100" t="s">
        <v>2465</v>
      </c>
      <c r="C47" s="97">
        <v>18220</v>
      </c>
      <c r="D47" s="97"/>
      <c r="E47" s="97">
        <v>17220</v>
      </c>
      <c r="F47" s="130"/>
      <c r="M47" s="97" t="s">
        <v>2605</v>
      </c>
      <c r="N47" s="97" t="s">
        <v>2606</v>
      </c>
    </row>
    <row r="48" spans="1:16" ht="14.25" customHeight="1">
      <c r="A48" s="93" t="s">
        <v>251</v>
      </c>
      <c r="B48" s="102" t="s">
        <v>2474</v>
      </c>
      <c r="C48" s="108">
        <v>19430</v>
      </c>
      <c r="D48" s="108"/>
      <c r="E48" s="108">
        <v>17830</v>
      </c>
      <c r="F48" s="132"/>
      <c r="M48" s="97" t="s">
        <v>2607</v>
      </c>
      <c r="N48" s="97" t="s">
        <v>2608</v>
      </c>
    </row>
    <row r="49" spans="1:14" ht="14.25" customHeight="1">
      <c r="A49" s="93" t="s">
        <v>259</v>
      </c>
      <c r="B49" s="94" t="s">
        <v>2272</v>
      </c>
      <c r="C49" s="94">
        <v>17090</v>
      </c>
      <c r="D49" s="94">
        <v>16950</v>
      </c>
      <c r="E49" s="94">
        <v>16310</v>
      </c>
      <c r="F49" s="127">
        <v>4540</v>
      </c>
      <c r="M49" s="97" t="s">
        <v>2609</v>
      </c>
      <c r="N49" s="97" t="s">
        <v>2610</v>
      </c>
    </row>
    <row r="50" spans="1:14" ht="14.25" customHeight="1">
      <c r="A50" s="93" t="s">
        <v>259</v>
      </c>
      <c r="B50" s="97" t="s">
        <v>2285</v>
      </c>
      <c r="C50" s="97">
        <v>19040</v>
      </c>
      <c r="D50" s="97">
        <v>16960</v>
      </c>
      <c r="E50" s="97">
        <v>14800</v>
      </c>
      <c r="F50" s="130">
        <v>3940</v>
      </c>
    </row>
    <row r="51" spans="1:14" ht="14.25" customHeight="1">
      <c r="A51" s="93" t="s">
        <v>259</v>
      </c>
      <c r="B51" s="97" t="s">
        <v>2299</v>
      </c>
      <c r="C51" s="97">
        <v>17040</v>
      </c>
      <c r="D51" s="97">
        <v>16930</v>
      </c>
      <c r="E51" s="97">
        <v>15030</v>
      </c>
      <c r="F51" s="130">
        <v>4120</v>
      </c>
    </row>
    <row r="52" spans="1:14" ht="14.25" customHeight="1">
      <c r="A52" s="93" t="s">
        <v>259</v>
      </c>
      <c r="B52" s="97" t="s">
        <v>2311</v>
      </c>
      <c r="C52" s="97">
        <v>17110</v>
      </c>
      <c r="D52" s="97">
        <v>17750</v>
      </c>
      <c r="E52" s="97">
        <v>17310</v>
      </c>
      <c r="F52" s="130">
        <v>3220</v>
      </c>
    </row>
    <row r="53" spans="1:14" ht="14.25" customHeight="1">
      <c r="A53" s="93" t="s">
        <v>259</v>
      </c>
      <c r="B53" s="97" t="s">
        <v>2323</v>
      </c>
      <c r="C53" s="97">
        <v>17810</v>
      </c>
      <c r="D53" s="97">
        <v>17260</v>
      </c>
      <c r="E53" s="97">
        <v>17090</v>
      </c>
      <c r="F53" s="130">
        <v>3520</v>
      </c>
    </row>
    <row r="54" spans="1:14" ht="14.25" customHeight="1">
      <c r="A54" s="93" t="s">
        <v>259</v>
      </c>
      <c r="B54" s="97" t="s">
        <v>2334</v>
      </c>
      <c r="C54" s="97">
        <v>17410</v>
      </c>
      <c r="D54" s="97">
        <v>16780</v>
      </c>
      <c r="E54" s="97">
        <v>16370</v>
      </c>
      <c r="F54" s="130">
        <v>3410</v>
      </c>
    </row>
    <row r="55" spans="1:14" ht="14.25" customHeight="1">
      <c r="A55" s="93" t="s">
        <v>259</v>
      </c>
      <c r="B55" s="97" t="s">
        <v>2345</v>
      </c>
      <c r="C55" s="97">
        <v>16930</v>
      </c>
      <c r="D55" s="97">
        <v>14720</v>
      </c>
      <c r="E55" s="97">
        <v>15000</v>
      </c>
      <c r="F55" s="130">
        <v>3710</v>
      </c>
    </row>
    <row r="56" spans="1:14" ht="14.25" customHeight="1">
      <c r="A56" s="93" t="s">
        <v>259</v>
      </c>
      <c r="B56" s="97" t="s">
        <v>2356</v>
      </c>
      <c r="C56" s="97">
        <v>14930</v>
      </c>
      <c r="D56" s="97">
        <v>15850</v>
      </c>
      <c r="E56" s="97">
        <v>14320</v>
      </c>
      <c r="F56" s="130">
        <v>3960</v>
      </c>
    </row>
    <row r="57" spans="1:14" ht="14.25" customHeight="1">
      <c r="A57" s="93" t="s">
        <v>259</v>
      </c>
      <c r="B57" s="97" t="s">
        <v>2366</v>
      </c>
      <c r="C57" s="97">
        <v>16160</v>
      </c>
      <c r="D57" s="97">
        <v>16190</v>
      </c>
      <c r="E57" s="97">
        <v>15650</v>
      </c>
      <c r="F57" s="130">
        <v>4200</v>
      </c>
    </row>
    <row r="58" spans="1:14" ht="14.25" customHeight="1">
      <c r="A58" s="93" t="s">
        <v>259</v>
      </c>
      <c r="B58" s="97" t="s">
        <v>2376</v>
      </c>
      <c r="C58" s="97">
        <v>16360</v>
      </c>
      <c r="D58" s="97">
        <v>14050</v>
      </c>
      <c r="E58" s="97">
        <v>16070</v>
      </c>
      <c r="F58" s="130">
        <v>3990</v>
      </c>
    </row>
    <row r="59" spans="1:14" ht="14.25" customHeight="1">
      <c r="A59" s="93" t="s">
        <v>259</v>
      </c>
      <c r="B59" s="97" t="s">
        <v>2386</v>
      </c>
      <c r="C59" s="97">
        <v>14160</v>
      </c>
      <c r="D59" s="97">
        <v>16620</v>
      </c>
      <c r="E59" s="97">
        <v>13940</v>
      </c>
      <c r="F59" s="130">
        <v>4260</v>
      </c>
    </row>
    <row r="60" spans="1:14" ht="14.25" customHeight="1">
      <c r="A60" s="93" t="s">
        <v>259</v>
      </c>
      <c r="B60" s="97" t="s">
        <v>2396</v>
      </c>
      <c r="C60" s="97">
        <v>16750</v>
      </c>
      <c r="D60" s="97">
        <v>13910</v>
      </c>
      <c r="E60" s="97">
        <v>16550</v>
      </c>
      <c r="F60" s="130">
        <v>4550</v>
      </c>
    </row>
    <row r="61" spans="1:14" ht="14.25" customHeight="1">
      <c r="A61" s="93" t="s">
        <v>259</v>
      </c>
      <c r="B61" s="97" t="s">
        <v>2406</v>
      </c>
      <c r="C61" s="97">
        <v>14000</v>
      </c>
      <c r="D61" s="97">
        <v>14550</v>
      </c>
      <c r="E61" s="97">
        <v>13860</v>
      </c>
      <c r="F61" s="133"/>
    </row>
    <row r="62" spans="1:14" ht="14.25" customHeight="1">
      <c r="A62" s="93" t="s">
        <v>259</v>
      </c>
      <c r="B62" s="97" t="s">
        <v>2416</v>
      </c>
      <c r="C62" s="97">
        <v>14660</v>
      </c>
      <c r="D62" s="97">
        <v>17450</v>
      </c>
      <c r="E62" s="97">
        <v>14470</v>
      </c>
      <c r="F62" s="133"/>
    </row>
    <row r="63" spans="1:14" ht="14.25" customHeight="1">
      <c r="A63" s="93" t="s">
        <v>259</v>
      </c>
      <c r="B63" s="97" t="s">
        <v>2426</v>
      </c>
      <c r="C63" s="97">
        <v>17610</v>
      </c>
      <c r="D63" s="97">
        <v>16500</v>
      </c>
      <c r="E63" s="97">
        <v>17330</v>
      </c>
      <c r="F63" s="133"/>
    </row>
    <row r="64" spans="1:14" ht="14.25" customHeight="1">
      <c r="A64" s="93" t="s">
        <v>259</v>
      </c>
      <c r="B64" s="97" t="s">
        <v>2436</v>
      </c>
      <c r="C64" s="97">
        <v>16590</v>
      </c>
      <c r="D64" s="97">
        <v>15130</v>
      </c>
      <c r="E64" s="97">
        <v>16420</v>
      </c>
      <c r="F64" s="133"/>
    </row>
    <row r="65" spans="1:6" s="119" customFormat="1" ht="14.25" customHeight="1">
      <c r="A65" s="93" t="s">
        <v>259</v>
      </c>
      <c r="B65" s="97" t="s">
        <v>2446</v>
      </c>
      <c r="C65" s="97">
        <v>15220</v>
      </c>
      <c r="D65" s="97">
        <v>14660</v>
      </c>
      <c r="E65" s="97">
        <v>15060</v>
      </c>
      <c r="F65" s="130"/>
    </row>
    <row r="66" spans="1:6" s="119" customFormat="1" ht="14.25" customHeight="1">
      <c r="A66" s="93" t="s">
        <v>259</v>
      </c>
      <c r="B66" s="97" t="s">
        <v>2456</v>
      </c>
      <c r="C66" s="97">
        <v>14720</v>
      </c>
      <c r="D66" s="97">
        <v>15970</v>
      </c>
      <c r="E66" s="97">
        <v>14610</v>
      </c>
      <c r="F66" s="130"/>
    </row>
    <row r="67" spans="1:6" s="119" customFormat="1" ht="14.25" customHeight="1">
      <c r="A67" s="93" t="s">
        <v>259</v>
      </c>
      <c r="B67" s="97" t="s">
        <v>2466</v>
      </c>
      <c r="C67" s="97">
        <v>16080</v>
      </c>
      <c r="D67" s="97">
        <v>14840</v>
      </c>
      <c r="E67" s="97">
        <v>15630</v>
      </c>
      <c r="F67" s="130"/>
    </row>
    <row r="68" spans="1:6" s="119" customFormat="1" ht="14.25" customHeight="1">
      <c r="A68" s="93" t="s">
        <v>259</v>
      </c>
      <c r="B68" s="97" t="s">
        <v>2475</v>
      </c>
      <c r="C68" s="97">
        <v>14940</v>
      </c>
      <c r="D68" s="97">
        <v>18000</v>
      </c>
      <c r="E68" s="97">
        <v>14040</v>
      </c>
      <c r="F68" s="130"/>
    </row>
    <row r="69" spans="1:6" s="119" customFormat="1" ht="14.25" customHeight="1">
      <c r="A69" s="93" t="s">
        <v>259</v>
      </c>
      <c r="B69" s="97" t="s">
        <v>2483</v>
      </c>
      <c r="C69" s="97">
        <v>18810</v>
      </c>
      <c r="D69" s="97">
        <v>15100</v>
      </c>
      <c r="E69" s="97">
        <v>14710</v>
      </c>
      <c r="F69" s="130"/>
    </row>
    <row r="70" spans="1:6" s="119" customFormat="1" ht="14.25" customHeight="1">
      <c r="A70" s="93" t="s">
        <v>259</v>
      </c>
      <c r="B70" s="97" t="s">
        <v>2491</v>
      </c>
      <c r="C70" s="97">
        <v>18270</v>
      </c>
      <c r="D70" s="97"/>
      <c r="E70" s="97"/>
      <c r="F70" s="130"/>
    </row>
    <row r="71" spans="1:6" s="119" customFormat="1" ht="14.25" customHeight="1">
      <c r="A71" s="93" t="s">
        <v>259</v>
      </c>
      <c r="B71" s="97" t="s">
        <v>2498</v>
      </c>
      <c r="C71" s="97">
        <v>15230</v>
      </c>
      <c r="D71" s="97"/>
      <c r="E71" s="97"/>
      <c r="F71" s="130"/>
    </row>
    <row r="72" spans="1:6" s="119" customFormat="1" ht="14.25" customHeight="1">
      <c r="A72" s="93" t="s">
        <v>259</v>
      </c>
      <c r="B72" s="97" t="s">
        <v>2505</v>
      </c>
      <c r="C72" s="97"/>
      <c r="D72" s="97"/>
      <c r="E72" s="97"/>
      <c r="F72" s="130">
        <v>4120</v>
      </c>
    </row>
    <row r="73" spans="1:6" s="119" customFormat="1" ht="14.25" customHeight="1">
      <c r="A73" s="93" t="s">
        <v>259</v>
      </c>
      <c r="B73" s="97" t="s">
        <v>2512</v>
      </c>
      <c r="C73" s="97"/>
      <c r="D73" s="97"/>
      <c r="E73" s="97"/>
      <c r="F73" s="130">
        <v>3930</v>
      </c>
    </row>
    <row r="74" spans="1:6" s="119" customFormat="1" ht="14.25" customHeight="1">
      <c r="A74" s="93" t="s">
        <v>259</v>
      </c>
      <c r="B74" s="97" t="s">
        <v>2519</v>
      </c>
      <c r="C74" s="97"/>
      <c r="D74" s="97"/>
      <c r="E74" s="97"/>
      <c r="F74" s="130">
        <v>4060</v>
      </c>
    </row>
    <row r="75" spans="1:6" s="119" customFormat="1" ht="14.25" customHeight="1">
      <c r="A75" s="93" t="s">
        <v>259</v>
      </c>
      <c r="B75" s="108" t="s">
        <v>2526</v>
      </c>
      <c r="C75" s="108"/>
      <c r="D75" s="108"/>
      <c r="E75" s="108"/>
      <c r="F75" s="132">
        <v>3750</v>
      </c>
    </row>
    <row r="76" spans="1:6" s="119" customFormat="1" ht="14.25" customHeight="1">
      <c r="A76" s="93" t="s">
        <v>267</v>
      </c>
      <c r="B76" s="94" t="s">
        <v>2273</v>
      </c>
      <c r="C76" s="94">
        <v>14690</v>
      </c>
      <c r="D76" s="94">
        <v>14640</v>
      </c>
      <c r="E76" s="94">
        <v>14590</v>
      </c>
      <c r="F76" s="127">
        <v>3060</v>
      </c>
    </row>
    <row r="77" spans="1:6" s="119" customFormat="1" ht="14.25" customHeight="1">
      <c r="A77" s="93" t="s">
        <v>267</v>
      </c>
      <c r="B77" s="97" t="s">
        <v>2286</v>
      </c>
      <c r="C77" s="97">
        <v>12550</v>
      </c>
      <c r="D77" s="97">
        <v>12480</v>
      </c>
      <c r="E77" s="97">
        <v>12450</v>
      </c>
      <c r="F77" s="130">
        <v>2590</v>
      </c>
    </row>
    <row r="78" spans="1:6" s="119" customFormat="1" ht="14.25" customHeight="1">
      <c r="A78" s="93" t="s">
        <v>267</v>
      </c>
      <c r="B78" s="97" t="s">
        <v>2300</v>
      </c>
      <c r="C78" s="97">
        <v>14360</v>
      </c>
      <c r="D78" s="97">
        <v>14320</v>
      </c>
      <c r="E78" s="97">
        <v>12510</v>
      </c>
      <c r="F78" s="130">
        <v>2700</v>
      </c>
    </row>
    <row r="79" spans="1:6" s="119" customFormat="1" ht="14.25" customHeight="1">
      <c r="A79" s="93" t="s">
        <v>267</v>
      </c>
      <c r="B79" s="97" t="s">
        <v>2312</v>
      </c>
      <c r="C79" s="97">
        <v>12590</v>
      </c>
      <c r="D79" s="97">
        <v>12540</v>
      </c>
      <c r="E79" s="97">
        <v>12350</v>
      </c>
      <c r="F79" s="130">
        <v>2740</v>
      </c>
    </row>
    <row r="80" spans="1:6" s="119" customFormat="1" ht="14.25" customHeight="1">
      <c r="A80" s="93" t="s">
        <v>267</v>
      </c>
      <c r="B80" s="97" t="s">
        <v>2324</v>
      </c>
      <c r="C80" s="97">
        <v>12450</v>
      </c>
      <c r="D80" s="97">
        <v>12370</v>
      </c>
      <c r="E80" s="97">
        <v>10790</v>
      </c>
      <c r="F80" s="130">
        <v>2290</v>
      </c>
    </row>
    <row r="81" spans="1:6" s="119" customFormat="1" ht="14.25" customHeight="1">
      <c r="A81" s="93" t="s">
        <v>267</v>
      </c>
      <c r="B81" s="97" t="s">
        <v>2335</v>
      </c>
      <c r="C81" s="97">
        <v>14210</v>
      </c>
      <c r="D81" s="97">
        <v>14150</v>
      </c>
      <c r="E81" s="97">
        <v>12730</v>
      </c>
      <c r="F81" s="130">
        <v>2240</v>
      </c>
    </row>
    <row r="82" spans="1:6" s="119" customFormat="1" ht="14.25" customHeight="1">
      <c r="A82" s="93" t="s">
        <v>267</v>
      </c>
      <c r="B82" s="97" t="s">
        <v>2346</v>
      </c>
      <c r="C82" s="97">
        <v>10860</v>
      </c>
      <c r="D82" s="97">
        <v>10820</v>
      </c>
      <c r="E82" s="97">
        <v>14720</v>
      </c>
      <c r="F82" s="130">
        <v>2490</v>
      </c>
    </row>
    <row r="83" spans="1:6" s="119" customFormat="1" ht="14.25" customHeight="1">
      <c r="A83" s="93" t="s">
        <v>267</v>
      </c>
      <c r="B83" s="97" t="s">
        <v>2357</v>
      </c>
      <c r="C83" s="97">
        <v>12810</v>
      </c>
      <c r="D83" s="97">
        <v>12760</v>
      </c>
      <c r="E83" s="97">
        <v>14830</v>
      </c>
      <c r="F83" s="130">
        <v>2450</v>
      </c>
    </row>
    <row r="84" spans="1:6" s="119" customFormat="1" ht="14.25" customHeight="1">
      <c r="A84" s="93" t="s">
        <v>267</v>
      </c>
      <c r="B84" s="97" t="s">
        <v>2367</v>
      </c>
      <c r="C84" s="97">
        <v>14950</v>
      </c>
      <c r="D84" s="97">
        <v>14810</v>
      </c>
      <c r="E84" s="97">
        <v>12590</v>
      </c>
      <c r="F84" s="130">
        <v>2540</v>
      </c>
    </row>
    <row r="85" spans="1:6" s="119" customFormat="1" ht="14.25" customHeight="1">
      <c r="A85" s="93" t="s">
        <v>267</v>
      </c>
      <c r="B85" s="97" t="s">
        <v>2377</v>
      </c>
      <c r="C85" s="97">
        <v>14960</v>
      </c>
      <c r="D85" s="97">
        <v>14890</v>
      </c>
      <c r="E85" s="97">
        <v>12840</v>
      </c>
      <c r="F85" s="130">
        <v>2840</v>
      </c>
    </row>
    <row r="86" spans="1:6" s="119" customFormat="1" ht="14.25" customHeight="1">
      <c r="A86" s="93" t="s">
        <v>267</v>
      </c>
      <c r="B86" s="97" t="s">
        <v>2387</v>
      </c>
      <c r="C86" s="97">
        <v>12730</v>
      </c>
      <c r="D86" s="97">
        <v>12660</v>
      </c>
      <c r="E86" s="97">
        <v>13310</v>
      </c>
      <c r="F86" s="130">
        <v>3140</v>
      </c>
    </row>
    <row r="87" spans="1:6" s="119" customFormat="1" ht="14.25" customHeight="1">
      <c r="A87" s="93" t="s">
        <v>267</v>
      </c>
      <c r="B87" s="97" t="s">
        <v>2397</v>
      </c>
      <c r="C87" s="97">
        <v>12940</v>
      </c>
      <c r="D87" s="97">
        <v>12890</v>
      </c>
      <c r="E87" s="97">
        <v>11580</v>
      </c>
      <c r="F87" s="133"/>
    </row>
    <row r="88" spans="1:6" s="119" customFormat="1" ht="14.25" customHeight="1">
      <c r="A88" s="93" t="s">
        <v>267</v>
      </c>
      <c r="B88" s="97" t="s">
        <v>2407</v>
      </c>
      <c r="C88" s="97">
        <v>13430</v>
      </c>
      <c r="D88" s="97">
        <v>13360</v>
      </c>
      <c r="E88" s="97">
        <v>12790</v>
      </c>
      <c r="F88" s="133"/>
    </row>
    <row r="89" spans="1:6" s="119" customFormat="1" ht="14.25" customHeight="1">
      <c r="A89" s="93" t="s">
        <v>267</v>
      </c>
      <c r="B89" s="97" t="s">
        <v>2417</v>
      </c>
      <c r="C89" s="97">
        <v>11680</v>
      </c>
      <c r="D89" s="97">
        <v>11630</v>
      </c>
      <c r="E89" s="97">
        <v>11320</v>
      </c>
      <c r="F89" s="133"/>
    </row>
    <row r="90" spans="1:6" s="119" customFormat="1" ht="14.25" customHeight="1">
      <c r="A90" s="93" t="s">
        <v>267</v>
      </c>
      <c r="B90" s="97" t="s">
        <v>2427</v>
      </c>
      <c r="C90" s="97">
        <v>12890</v>
      </c>
      <c r="D90" s="97">
        <v>12820</v>
      </c>
      <c r="E90" s="97">
        <v>12710</v>
      </c>
      <c r="F90" s="133"/>
    </row>
    <row r="91" spans="1:6" s="119" customFormat="1" ht="14.25" customHeight="1">
      <c r="A91" s="93" t="s">
        <v>267</v>
      </c>
      <c r="B91" s="97" t="s">
        <v>2437</v>
      </c>
      <c r="C91" s="97">
        <v>11410</v>
      </c>
      <c r="D91" s="97">
        <v>11360</v>
      </c>
      <c r="E91" s="97">
        <v>12670</v>
      </c>
      <c r="F91" s="133"/>
    </row>
    <row r="92" spans="1:6" s="119" customFormat="1" ht="14.25" customHeight="1">
      <c r="A92" s="93" t="s">
        <v>267</v>
      </c>
      <c r="B92" s="97" t="s">
        <v>2447</v>
      </c>
      <c r="C92" s="97">
        <v>12770</v>
      </c>
      <c r="D92" s="97">
        <v>12740</v>
      </c>
      <c r="E92" s="97">
        <v>11970</v>
      </c>
      <c r="F92" s="133"/>
    </row>
    <row r="93" spans="1:6" s="119" customFormat="1" ht="14.25" customHeight="1">
      <c r="A93" s="93" t="s">
        <v>267</v>
      </c>
      <c r="B93" s="97" t="s">
        <v>2457</v>
      </c>
      <c r="C93" s="97">
        <v>12740</v>
      </c>
      <c r="D93" s="97">
        <v>12700</v>
      </c>
      <c r="E93" s="97">
        <v>12540</v>
      </c>
      <c r="F93" s="133"/>
    </row>
    <row r="94" spans="1:6" s="119" customFormat="1" ht="14.25" customHeight="1">
      <c r="A94" s="93" t="s">
        <v>267</v>
      </c>
      <c r="B94" s="97" t="s">
        <v>2467</v>
      </c>
      <c r="C94" s="97">
        <v>12020</v>
      </c>
      <c r="D94" s="97">
        <v>11990</v>
      </c>
      <c r="E94" s="97">
        <v>13110</v>
      </c>
      <c r="F94" s="133"/>
    </row>
    <row r="95" spans="1:6" s="119" customFormat="1" ht="14.25" customHeight="1">
      <c r="A95" s="93" t="s">
        <v>267</v>
      </c>
      <c r="B95" s="97" t="s">
        <v>2476</v>
      </c>
      <c r="C95" s="97">
        <v>12620</v>
      </c>
      <c r="D95" s="97">
        <v>12580</v>
      </c>
      <c r="E95" s="97">
        <v>13160</v>
      </c>
      <c r="F95" s="130"/>
    </row>
    <row r="96" spans="1:6" s="119" customFormat="1" ht="14.25" customHeight="1">
      <c r="A96" s="93" t="s">
        <v>267</v>
      </c>
      <c r="B96" s="97" t="s">
        <v>2484</v>
      </c>
      <c r="C96" s="97">
        <v>13200</v>
      </c>
      <c r="D96" s="97">
        <v>13150</v>
      </c>
      <c r="E96" s="97">
        <v>12900</v>
      </c>
      <c r="F96" s="130"/>
    </row>
    <row r="97" spans="1:6" s="119" customFormat="1" ht="14.25" customHeight="1">
      <c r="A97" s="93" t="s">
        <v>267</v>
      </c>
      <c r="B97" s="97" t="s">
        <v>2492</v>
      </c>
      <c r="C97" s="97">
        <v>13270</v>
      </c>
      <c r="D97" s="97">
        <v>13210</v>
      </c>
      <c r="E97" s="97">
        <v>11080</v>
      </c>
      <c r="F97" s="130"/>
    </row>
    <row r="98" spans="1:6" s="119" customFormat="1" ht="14.25" customHeight="1">
      <c r="A98" s="93" t="s">
        <v>267</v>
      </c>
      <c r="B98" s="97" t="s">
        <v>2499</v>
      </c>
      <c r="C98" s="97">
        <v>13010</v>
      </c>
      <c r="D98" s="97">
        <v>12930</v>
      </c>
      <c r="E98" s="97">
        <v>12840</v>
      </c>
      <c r="F98" s="130"/>
    </row>
    <row r="99" spans="1:6" s="119" customFormat="1" ht="14.25" customHeight="1">
      <c r="A99" s="93" t="s">
        <v>267</v>
      </c>
      <c r="B99" s="97" t="s">
        <v>2506</v>
      </c>
      <c r="C99" s="97">
        <v>11190</v>
      </c>
      <c r="D99" s="97">
        <v>11130</v>
      </c>
      <c r="E99" s="97"/>
      <c r="F99" s="130"/>
    </row>
    <row r="100" spans="1:6" s="119" customFormat="1" ht="14.25" customHeight="1">
      <c r="A100" s="93" t="s">
        <v>267</v>
      </c>
      <c r="B100" s="97" t="s">
        <v>2513</v>
      </c>
      <c r="C100" s="97">
        <v>14280</v>
      </c>
      <c r="D100" s="97">
        <v>14180</v>
      </c>
      <c r="E100" s="97"/>
      <c r="F100" s="130"/>
    </row>
    <row r="101" spans="1:6" s="119" customFormat="1" ht="14.25" customHeight="1">
      <c r="A101" s="93" t="s">
        <v>267</v>
      </c>
      <c r="B101" s="97" t="s">
        <v>2520</v>
      </c>
      <c r="C101" s="97">
        <v>12960</v>
      </c>
      <c r="D101" s="97">
        <v>12890</v>
      </c>
      <c r="E101" s="97"/>
      <c r="F101" s="130"/>
    </row>
    <row r="102" spans="1:6" s="119" customFormat="1" ht="14.25" customHeight="1">
      <c r="A102" s="93" t="s">
        <v>267</v>
      </c>
      <c r="B102" s="97" t="s">
        <v>2527</v>
      </c>
      <c r="C102" s="97"/>
      <c r="D102" s="97"/>
      <c r="E102" s="97"/>
      <c r="F102" s="130">
        <v>3100</v>
      </c>
    </row>
    <row r="103" spans="1:6" s="119" customFormat="1" ht="14.25" customHeight="1">
      <c r="A103" s="93" t="s">
        <v>267</v>
      </c>
      <c r="B103" s="97" t="s">
        <v>2532</v>
      </c>
      <c r="C103" s="97"/>
      <c r="D103" s="97"/>
      <c r="E103" s="97"/>
      <c r="F103" s="130">
        <v>2320</v>
      </c>
    </row>
    <row r="104" spans="1:6" s="119" customFormat="1" ht="14.25" customHeight="1">
      <c r="A104" s="93" t="s">
        <v>267</v>
      </c>
      <c r="B104" s="97" t="s">
        <v>2537</v>
      </c>
      <c r="C104" s="97"/>
      <c r="D104" s="97"/>
      <c r="E104" s="97"/>
      <c r="F104" s="130">
        <v>2320</v>
      </c>
    </row>
    <row r="105" spans="1:6" s="119" customFormat="1" ht="14.25" customHeight="1">
      <c r="A105" s="93" t="s">
        <v>267</v>
      </c>
      <c r="B105" s="97" t="s">
        <v>2542</v>
      </c>
      <c r="C105" s="97"/>
      <c r="D105" s="97"/>
      <c r="E105" s="97"/>
      <c r="F105" s="130">
        <v>2320</v>
      </c>
    </row>
    <row r="106" spans="1:6" s="119" customFormat="1" ht="14.25" customHeight="1">
      <c r="A106" s="93" t="s">
        <v>267</v>
      </c>
      <c r="B106" s="97" t="s">
        <v>2547</v>
      </c>
      <c r="C106" s="97"/>
      <c r="D106" s="97"/>
      <c r="E106" s="97"/>
      <c r="F106" s="130">
        <v>2320</v>
      </c>
    </row>
    <row r="107" spans="1:6" s="119" customFormat="1" ht="14.25" customHeight="1">
      <c r="A107" s="93" t="s">
        <v>267</v>
      </c>
      <c r="B107" s="97" t="s">
        <v>2552</v>
      </c>
      <c r="C107" s="97"/>
      <c r="D107" s="97"/>
      <c r="E107" s="97"/>
      <c r="F107" s="130">
        <v>2280</v>
      </c>
    </row>
    <row r="108" spans="1:6" s="119" customFormat="1" ht="14.25" customHeight="1">
      <c r="A108" s="93" t="s">
        <v>267</v>
      </c>
      <c r="B108" s="97" t="s">
        <v>2557</v>
      </c>
      <c r="C108" s="97"/>
      <c r="D108" s="97"/>
      <c r="E108" s="97"/>
      <c r="F108" s="130">
        <v>2280</v>
      </c>
    </row>
    <row r="109" spans="1:6" s="119" customFormat="1" ht="14.25" customHeight="1">
      <c r="A109" s="93" t="s">
        <v>267</v>
      </c>
      <c r="B109" s="108" t="s">
        <v>2562</v>
      </c>
      <c r="C109" s="108"/>
      <c r="D109" s="108"/>
      <c r="E109" s="108"/>
      <c r="F109" s="132">
        <v>2280</v>
      </c>
    </row>
    <row r="110" spans="1:6" s="119" customFormat="1" ht="14.25" customHeight="1">
      <c r="A110" s="93" t="s">
        <v>273</v>
      </c>
      <c r="B110" s="94" t="s">
        <v>2274</v>
      </c>
      <c r="C110" s="94">
        <v>10520</v>
      </c>
      <c r="D110" s="94">
        <v>10490</v>
      </c>
      <c r="E110" s="94">
        <v>10760</v>
      </c>
      <c r="F110" s="127">
        <v>2160</v>
      </c>
    </row>
    <row r="111" spans="1:6" s="119" customFormat="1" ht="14.25" customHeight="1">
      <c r="A111" s="93" t="s">
        <v>273</v>
      </c>
      <c r="B111" s="97" t="s">
        <v>2287</v>
      </c>
      <c r="C111" s="97">
        <v>10090</v>
      </c>
      <c r="D111" s="97">
        <v>10060</v>
      </c>
      <c r="E111" s="97">
        <v>10300</v>
      </c>
      <c r="F111" s="130">
        <v>2010</v>
      </c>
    </row>
    <row r="112" spans="1:6" s="119" customFormat="1" ht="14.25" customHeight="1">
      <c r="A112" s="93" t="s">
        <v>273</v>
      </c>
      <c r="B112" s="97" t="s">
        <v>2301</v>
      </c>
      <c r="C112" s="97">
        <v>9910</v>
      </c>
      <c r="D112" s="97">
        <v>9850</v>
      </c>
      <c r="E112" s="97">
        <v>9960</v>
      </c>
      <c r="F112" s="130">
        <v>2090</v>
      </c>
    </row>
    <row r="113" spans="1:6" s="119" customFormat="1" ht="14.25" customHeight="1">
      <c r="A113" s="93" t="s">
        <v>273</v>
      </c>
      <c r="B113" s="97" t="s">
        <v>2313</v>
      </c>
      <c r="C113" s="97">
        <v>11430</v>
      </c>
      <c r="D113" s="97">
        <v>11400</v>
      </c>
      <c r="E113" s="97">
        <v>11710</v>
      </c>
      <c r="F113" s="130">
        <v>2050</v>
      </c>
    </row>
    <row r="114" spans="1:6" s="119" customFormat="1" ht="14.25" customHeight="1">
      <c r="A114" s="93" t="s">
        <v>273</v>
      </c>
      <c r="B114" s="97" t="s">
        <v>2325</v>
      </c>
      <c r="C114" s="97">
        <v>11390</v>
      </c>
      <c r="D114" s="97">
        <v>11350</v>
      </c>
      <c r="E114" s="97">
        <v>11640</v>
      </c>
      <c r="F114" s="130">
        <v>1620</v>
      </c>
    </row>
    <row r="115" spans="1:6" s="119" customFormat="1" ht="14.25" customHeight="1">
      <c r="A115" s="93" t="s">
        <v>273</v>
      </c>
      <c r="B115" s="97" t="s">
        <v>2336</v>
      </c>
      <c r="C115" s="97">
        <v>9930</v>
      </c>
      <c r="D115" s="97">
        <v>9900</v>
      </c>
      <c r="E115" s="97">
        <v>10160</v>
      </c>
      <c r="F115" s="130">
        <v>1580</v>
      </c>
    </row>
    <row r="116" spans="1:6" s="119" customFormat="1" ht="14.25" customHeight="1">
      <c r="A116" s="93" t="s">
        <v>273</v>
      </c>
      <c r="B116" s="97" t="s">
        <v>2347</v>
      </c>
      <c r="C116" s="97">
        <v>9150</v>
      </c>
      <c r="D116" s="97">
        <v>9120</v>
      </c>
      <c r="E116" s="97">
        <v>9380</v>
      </c>
      <c r="F116" s="130">
        <v>1750</v>
      </c>
    </row>
    <row r="117" spans="1:6" s="119" customFormat="1" ht="14.25" customHeight="1">
      <c r="A117" s="93" t="s">
        <v>273</v>
      </c>
      <c r="B117" s="97" t="s">
        <v>2358</v>
      </c>
      <c r="C117" s="97">
        <v>10680</v>
      </c>
      <c r="D117" s="97">
        <v>10650</v>
      </c>
      <c r="E117" s="97">
        <v>10970</v>
      </c>
      <c r="F117" s="130">
        <v>1730</v>
      </c>
    </row>
    <row r="118" spans="1:6" s="119" customFormat="1" ht="14.25" customHeight="1">
      <c r="A118" s="93" t="s">
        <v>273</v>
      </c>
      <c r="B118" s="97" t="s">
        <v>2368</v>
      </c>
      <c r="C118" s="97">
        <v>10080</v>
      </c>
      <c r="D118" s="97">
        <v>10050</v>
      </c>
      <c r="E118" s="97">
        <v>10350</v>
      </c>
      <c r="F118" s="130">
        <v>1920</v>
      </c>
    </row>
    <row r="119" spans="1:6" s="119" customFormat="1" ht="14.25" customHeight="1">
      <c r="A119" s="93" t="s">
        <v>273</v>
      </c>
      <c r="B119" s="97" t="s">
        <v>2378</v>
      </c>
      <c r="C119" s="97">
        <v>9450</v>
      </c>
      <c r="D119" s="97">
        <v>9410</v>
      </c>
      <c r="E119" s="97">
        <v>9680</v>
      </c>
      <c r="F119" s="130">
        <v>1880</v>
      </c>
    </row>
    <row r="120" spans="1:6" s="119" customFormat="1" ht="14.25" customHeight="1">
      <c r="A120" s="93" t="s">
        <v>273</v>
      </c>
      <c r="B120" s="97" t="s">
        <v>2388</v>
      </c>
      <c r="C120" s="97">
        <v>8730</v>
      </c>
      <c r="D120" s="97">
        <v>8700</v>
      </c>
      <c r="E120" s="97">
        <v>8950</v>
      </c>
      <c r="F120" s="130">
        <v>1830</v>
      </c>
    </row>
    <row r="121" spans="1:6" s="119" customFormat="1" ht="14.25" customHeight="1">
      <c r="A121" s="93" t="s">
        <v>273</v>
      </c>
      <c r="B121" s="97" t="s">
        <v>2398</v>
      </c>
      <c r="C121" s="97">
        <v>10070</v>
      </c>
      <c r="D121" s="97">
        <v>10040</v>
      </c>
      <c r="E121" s="97">
        <v>10270</v>
      </c>
      <c r="F121" s="130">
        <v>1960</v>
      </c>
    </row>
    <row r="122" spans="1:6" s="119" customFormat="1" ht="14.25" customHeight="1">
      <c r="A122" s="93" t="s">
        <v>273</v>
      </c>
      <c r="B122" s="97" t="s">
        <v>2408</v>
      </c>
      <c r="C122" s="97">
        <v>10500</v>
      </c>
      <c r="D122" s="97">
        <v>10470</v>
      </c>
      <c r="E122" s="97">
        <v>10780</v>
      </c>
      <c r="F122" s="130">
        <v>2180</v>
      </c>
    </row>
    <row r="123" spans="1:6" s="119" customFormat="1" ht="14.25" customHeight="1">
      <c r="A123" s="93" t="s">
        <v>273</v>
      </c>
      <c r="B123" s="97" t="s">
        <v>2418</v>
      </c>
      <c r="C123" s="97">
        <v>10390</v>
      </c>
      <c r="D123" s="97">
        <v>10360</v>
      </c>
      <c r="E123" s="97">
        <v>10660</v>
      </c>
      <c r="F123" s="130">
        <v>2040</v>
      </c>
    </row>
    <row r="124" spans="1:6" s="119" customFormat="1" ht="14.25" customHeight="1">
      <c r="A124" s="93" t="s">
        <v>273</v>
      </c>
      <c r="B124" s="97" t="s">
        <v>2428</v>
      </c>
      <c r="C124" s="97">
        <v>10390</v>
      </c>
      <c r="D124" s="97">
        <v>10360</v>
      </c>
      <c r="E124" s="97">
        <v>10680</v>
      </c>
      <c r="F124" s="133"/>
    </row>
    <row r="125" spans="1:6" s="119" customFormat="1" ht="14.25" customHeight="1">
      <c r="A125" s="93" t="s">
        <v>273</v>
      </c>
      <c r="B125" s="97" t="s">
        <v>2438</v>
      </c>
      <c r="C125" s="97">
        <v>10440</v>
      </c>
      <c r="D125" s="97">
        <v>10410</v>
      </c>
      <c r="E125" s="97">
        <v>10710</v>
      </c>
      <c r="F125" s="133"/>
    </row>
    <row r="126" spans="1:6" s="119" customFormat="1" ht="14.25" customHeight="1">
      <c r="A126" s="93" t="s">
        <v>273</v>
      </c>
      <c r="B126" s="97" t="s">
        <v>2448</v>
      </c>
      <c r="C126" s="97">
        <v>10780</v>
      </c>
      <c r="D126" s="97">
        <v>10750</v>
      </c>
      <c r="E126" s="97">
        <v>11080</v>
      </c>
      <c r="F126" s="133"/>
    </row>
    <row r="127" spans="1:6" s="119" customFormat="1" ht="14.25" customHeight="1">
      <c r="A127" s="93" t="s">
        <v>273</v>
      </c>
      <c r="B127" s="97" t="s">
        <v>2458</v>
      </c>
      <c r="C127" s="97">
        <v>10100</v>
      </c>
      <c r="D127" s="97">
        <v>10070</v>
      </c>
      <c r="E127" s="97">
        <v>10350</v>
      </c>
      <c r="F127" s="133"/>
    </row>
    <row r="128" spans="1:6" s="119" customFormat="1" ht="14.25" customHeight="1">
      <c r="A128" s="93" t="s">
        <v>273</v>
      </c>
      <c r="B128" s="97" t="s">
        <v>2468</v>
      </c>
      <c r="C128" s="97">
        <v>9200</v>
      </c>
      <c r="D128" s="97">
        <v>9160</v>
      </c>
      <c r="E128" s="97">
        <v>9660</v>
      </c>
      <c r="F128" s="133"/>
    </row>
    <row r="129" spans="1:6" s="119" customFormat="1" ht="14.25" customHeight="1">
      <c r="A129" s="93" t="s">
        <v>273</v>
      </c>
      <c r="B129" s="97" t="s">
        <v>2477</v>
      </c>
      <c r="C129" s="97">
        <v>10340</v>
      </c>
      <c r="D129" s="97">
        <v>10310</v>
      </c>
      <c r="E129" s="97">
        <v>10580</v>
      </c>
      <c r="F129" s="133"/>
    </row>
    <row r="130" spans="1:6" s="119" customFormat="1" ht="14.25" customHeight="1">
      <c r="A130" s="93" t="s">
        <v>273</v>
      </c>
      <c r="B130" s="97" t="s">
        <v>2485</v>
      </c>
      <c r="C130" s="97">
        <v>9680</v>
      </c>
      <c r="D130" s="97">
        <v>9660</v>
      </c>
      <c r="E130" s="97">
        <v>9950</v>
      </c>
      <c r="F130" s="133"/>
    </row>
    <row r="131" spans="1:6" s="119" customFormat="1" ht="14.25" customHeight="1">
      <c r="A131" s="93" t="s">
        <v>273</v>
      </c>
      <c r="B131" s="97" t="s">
        <v>2493</v>
      </c>
      <c r="C131" s="97">
        <v>9540</v>
      </c>
      <c r="D131" s="97">
        <v>9510</v>
      </c>
      <c r="E131" s="97">
        <v>9790</v>
      </c>
      <c r="F131" s="133"/>
    </row>
    <row r="132" spans="1:6" s="119" customFormat="1" ht="14.25" customHeight="1">
      <c r="A132" s="93" t="s">
        <v>273</v>
      </c>
      <c r="B132" s="97" t="s">
        <v>2500</v>
      </c>
      <c r="C132" s="97">
        <v>9320</v>
      </c>
      <c r="D132" s="97">
        <v>9290</v>
      </c>
      <c r="E132" s="97">
        <v>9570</v>
      </c>
      <c r="F132" s="133"/>
    </row>
    <row r="133" spans="1:6" s="119" customFormat="1" ht="14.25" customHeight="1">
      <c r="A133" s="93" t="s">
        <v>273</v>
      </c>
      <c r="B133" s="97" t="s">
        <v>2507</v>
      </c>
      <c r="C133" s="97">
        <v>10310</v>
      </c>
      <c r="D133" s="97">
        <v>10280</v>
      </c>
      <c r="E133" s="97">
        <v>10530</v>
      </c>
      <c r="F133" s="133"/>
    </row>
    <row r="134" spans="1:6" s="119" customFormat="1" ht="14.25" customHeight="1">
      <c r="A134" s="93" t="s">
        <v>273</v>
      </c>
      <c r="B134" s="97" t="s">
        <v>2514</v>
      </c>
      <c r="C134" s="97">
        <v>10370</v>
      </c>
      <c r="D134" s="97">
        <v>10310</v>
      </c>
      <c r="E134" s="97">
        <v>10240</v>
      </c>
      <c r="F134" s="130">
        <v>2060</v>
      </c>
    </row>
    <row r="135" spans="1:6" s="119" customFormat="1" ht="14.25" customHeight="1">
      <c r="A135" s="93" t="s">
        <v>273</v>
      </c>
      <c r="B135" s="97" t="s">
        <v>2521</v>
      </c>
      <c r="C135" s="97">
        <v>9300</v>
      </c>
      <c r="D135" s="97">
        <v>9270</v>
      </c>
      <c r="E135" s="97">
        <v>9350</v>
      </c>
      <c r="F135" s="133"/>
    </row>
    <row r="136" spans="1:6" s="119" customFormat="1" ht="14.25" customHeight="1">
      <c r="A136" s="93" t="s">
        <v>273</v>
      </c>
      <c r="B136" s="97" t="s">
        <v>2528</v>
      </c>
      <c r="C136" s="97">
        <v>10160</v>
      </c>
      <c r="D136" s="97">
        <v>10110</v>
      </c>
      <c r="E136" s="97">
        <v>10080</v>
      </c>
      <c r="F136" s="133"/>
    </row>
    <row r="137" spans="1:6" s="119" customFormat="1" ht="14.25" customHeight="1">
      <c r="A137" s="93" t="s">
        <v>273</v>
      </c>
      <c r="B137" s="97" t="s">
        <v>2533</v>
      </c>
      <c r="C137" s="97">
        <v>9200</v>
      </c>
      <c r="D137" s="97">
        <v>9170</v>
      </c>
      <c r="E137" s="97">
        <v>9450</v>
      </c>
      <c r="F137" s="133"/>
    </row>
    <row r="138" spans="1:6" s="119" customFormat="1" ht="14.25" customHeight="1">
      <c r="A138" s="93" t="s">
        <v>273</v>
      </c>
      <c r="B138" s="97" t="s">
        <v>2538</v>
      </c>
      <c r="C138" s="97">
        <v>9690</v>
      </c>
      <c r="D138" s="97">
        <v>9660</v>
      </c>
      <c r="E138" s="97">
        <v>9840</v>
      </c>
      <c r="F138" s="133"/>
    </row>
    <row r="139" spans="1:6" s="119" customFormat="1" ht="14.25" customHeight="1">
      <c r="A139" s="93" t="s">
        <v>273</v>
      </c>
      <c r="B139" s="97" t="s">
        <v>2543</v>
      </c>
      <c r="C139" s="97">
        <v>10290</v>
      </c>
      <c r="D139" s="97">
        <v>10260</v>
      </c>
      <c r="E139" s="97">
        <v>10550</v>
      </c>
      <c r="F139" s="130">
        <v>1700</v>
      </c>
    </row>
    <row r="140" spans="1:6" s="119" customFormat="1" ht="14.25" customHeight="1">
      <c r="A140" s="93" t="s">
        <v>273</v>
      </c>
      <c r="B140" s="97" t="s">
        <v>2548</v>
      </c>
      <c r="C140" s="97">
        <v>9740</v>
      </c>
      <c r="D140" s="97">
        <v>9710</v>
      </c>
      <c r="E140" s="97">
        <v>10000</v>
      </c>
      <c r="F140" s="130">
        <v>2000</v>
      </c>
    </row>
    <row r="141" spans="1:6" s="119" customFormat="1" ht="14.25" customHeight="1">
      <c r="A141" s="93" t="s">
        <v>273</v>
      </c>
      <c r="B141" s="97" t="s">
        <v>2553</v>
      </c>
      <c r="C141" s="97">
        <v>9810</v>
      </c>
      <c r="D141" s="97">
        <v>9770</v>
      </c>
      <c r="E141" s="97">
        <v>10060</v>
      </c>
      <c r="F141" s="133"/>
    </row>
    <row r="142" spans="1:6" s="119" customFormat="1" ht="14.25" customHeight="1">
      <c r="A142" s="93" t="s">
        <v>273</v>
      </c>
      <c r="B142" s="97" t="s">
        <v>2558</v>
      </c>
      <c r="C142" s="97">
        <v>9300</v>
      </c>
      <c r="D142" s="97">
        <v>9270</v>
      </c>
      <c r="E142" s="97">
        <v>9530</v>
      </c>
      <c r="F142" s="133"/>
    </row>
    <row r="143" spans="1:6" s="119" customFormat="1" ht="14.25" customHeight="1">
      <c r="A143" s="93" t="s">
        <v>273</v>
      </c>
      <c r="B143" s="97" t="s">
        <v>2563</v>
      </c>
      <c r="C143" s="97">
        <v>10080</v>
      </c>
      <c r="D143" s="97">
        <v>10050</v>
      </c>
      <c r="E143" s="97">
        <v>10340</v>
      </c>
      <c r="F143" s="133"/>
    </row>
    <row r="144" spans="1:6" s="119" customFormat="1" ht="14.25" customHeight="1">
      <c r="A144" s="93" t="s">
        <v>273</v>
      </c>
      <c r="B144" s="97" t="s">
        <v>2567</v>
      </c>
      <c r="C144" s="97">
        <v>9820</v>
      </c>
      <c r="D144" s="97">
        <v>9750</v>
      </c>
      <c r="E144" s="97">
        <v>9900</v>
      </c>
      <c r="F144" s="133"/>
    </row>
    <row r="145" spans="1:6" s="119" customFormat="1" ht="14.25" customHeight="1">
      <c r="A145" s="93" t="s">
        <v>273</v>
      </c>
      <c r="B145" s="97" t="s">
        <v>2571</v>
      </c>
      <c r="C145" s="97"/>
      <c r="D145" s="97"/>
      <c r="E145" s="97"/>
      <c r="F145" s="130">
        <v>1740</v>
      </c>
    </row>
    <row r="146" spans="1:6" s="119" customFormat="1" ht="14.25" customHeight="1">
      <c r="A146" s="93" t="s">
        <v>273</v>
      </c>
      <c r="B146" s="97" t="s">
        <v>2575</v>
      </c>
      <c r="C146" s="97"/>
      <c r="D146" s="97"/>
      <c r="E146" s="97"/>
      <c r="F146" s="130">
        <v>1740</v>
      </c>
    </row>
    <row r="147" spans="1:6" s="119" customFormat="1" ht="14.25" customHeight="1">
      <c r="A147" s="93" t="s">
        <v>273</v>
      </c>
      <c r="B147" s="97" t="s">
        <v>2579</v>
      </c>
      <c r="C147" s="97"/>
      <c r="D147" s="97"/>
      <c r="E147" s="97"/>
      <c r="F147" s="130">
        <v>1740</v>
      </c>
    </row>
    <row r="148" spans="1:6" s="119" customFormat="1" ht="14.25" customHeight="1">
      <c r="A148" s="93" t="s">
        <v>273</v>
      </c>
      <c r="B148" s="97" t="s">
        <v>2583</v>
      </c>
      <c r="C148" s="97"/>
      <c r="D148" s="97"/>
      <c r="E148" s="97"/>
      <c r="F148" s="130">
        <v>1740</v>
      </c>
    </row>
    <row r="149" spans="1:6" s="119" customFormat="1" ht="14.25" customHeight="1">
      <c r="A149" s="93" t="s">
        <v>273</v>
      </c>
      <c r="B149" s="97" t="s">
        <v>2587</v>
      </c>
      <c r="C149" s="97"/>
      <c r="D149" s="97"/>
      <c r="E149" s="97"/>
      <c r="F149" s="130">
        <v>1740</v>
      </c>
    </row>
    <row r="150" spans="1:6" s="119" customFormat="1" ht="14.25" customHeight="1">
      <c r="A150" s="93" t="s">
        <v>273</v>
      </c>
      <c r="B150" s="97" t="s">
        <v>2590</v>
      </c>
      <c r="C150" s="97"/>
      <c r="D150" s="97"/>
      <c r="E150" s="97"/>
      <c r="F150" s="130">
        <v>1610</v>
      </c>
    </row>
    <row r="151" spans="1:6" s="119" customFormat="1" ht="14.25" customHeight="1">
      <c r="A151" s="93" t="s">
        <v>273</v>
      </c>
      <c r="B151" s="97" t="s">
        <v>2593</v>
      </c>
      <c r="C151" s="97"/>
      <c r="D151" s="97"/>
      <c r="E151" s="97"/>
      <c r="F151" s="130">
        <v>1610</v>
      </c>
    </row>
    <row r="152" spans="1:6" s="119" customFormat="1" ht="14.25" customHeight="1">
      <c r="A152" s="93" t="s">
        <v>273</v>
      </c>
      <c r="B152" s="97" t="s">
        <v>2596</v>
      </c>
      <c r="C152" s="97"/>
      <c r="D152" s="97"/>
      <c r="E152" s="97"/>
      <c r="F152" s="130">
        <v>1610</v>
      </c>
    </row>
    <row r="153" spans="1:6" s="119" customFormat="1" ht="14.25" customHeight="1">
      <c r="A153" s="93" t="s">
        <v>273</v>
      </c>
      <c r="B153" s="97" t="s">
        <v>2599</v>
      </c>
      <c r="C153" s="97"/>
      <c r="D153" s="97"/>
      <c r="E153" s="97"/>
      <c r="F153" s="130">
        <v>1610</v>
      </c>
    </row>
    <row r="154" spans="1:6" s="119" customFormat="1" ht="14.25" customHeight="1">
      <c r="A154" s="93" t="s">
        <v>273</v>
      </c>
      <c r="B154" s="97" t="s">
        <v>2602</v>
      </c>
      <c r="C154" s="97"/>
      <c r="D154" s="97"/>
      <c r="E154" s="97"/>
      <c r="F154" s="130">
        <v>1610</v>
      </c>
    </row>
    <row r="155" spans="1:6" s="119" customFormat="1" ht="14.25" customHeight="1">
      <c r="A155" s="93" t="s">
        <v>273</v>
      </c>
      <c r="B155" s="97" t="s">
        <v>2605</v>
      </c>
      <c r="C155" s="97"/>
      <c r="D155" s="97"/>
      <c r="E155" s="97"/>
      <c r="F155" s="130">
        <v>1800</v>
      </c>
    </row>
    <row r="156" spans="1:6" s="119" customFormat="1" ht="14.25" customHeight="1">
      <c r="A156" s="93" t="s">
        <v>273</v>
      </c>
      <c r="B156" s="97" t="s">
        <v>2607</v>
      </c>
      <c r="C156" s="97"/>
      <c r="D156" s="97"/>
      <c r="E156" s="97"/>
      <c r="F156" s="130">
        <v>1910</v>
      </c>
    </row>
    <row r="157" spans="1:6" s="119" customFormat="1" ht="14.25" customHeight="1">
      <c r="A157" s="93" t="s">
        <v>273</v>
      </c>
      <c r="B157" s="108" t="s">
        <v>2609</v>
      </c>
      <c r="C157" s="108"/>
      <c r="D157" s="108"/>
      <c r="E157" s="108"/>
      <c r="F157" s="132">
        <v>1500</v>
      </c>
    </row>
    <row r="158" spans="1:6" s="119" customFormat="1" ht="14.25" customHeight="1">
      <c r="A158" s="93" t="s">
        <v>278</v>
      </c>
      <c r="B158" s="94" t="s">
        <v>2275</v>
      </c>
      <c r="C158" s="94">
        <v>8170</v>
      </c>
      <c r="D158" s="94">
        <v>8140</v>
      </c>
      <c r="E158" s="94">
        <v>8590</v>
      </c>
      <c r="F158" s="127">
        <v>1450</v>
      </c>
    </row>
    <row r="159" spans="1:6" s="119" customFormat="1" ht="14.25" customHeight="1">
      <c r="A159" s="93" t="s">
        <v>278</v>
      </c>
      <c r="B159" s="97" t="s">
        <v>2288</v>
      </c>
      <c r="C159" s="97">
        <v>7410</v>
      </c>
      <c r="D159" s="97">
        <v>7370</v>
      </c>
      <c r="E159" s="97">
        <v>8030</v>
      </c>
      <c r="F159" s="130">
        <v>1510</v>
      </c>
    </row>
    <row r="160" spans="1:6" s="119" customFormat="1" ht="14.25" customHeight="1">
      <c r="A160" s="93" t="s">
        <v>278</v>
      </c>
      <c r="B160" s="97" t="s">
        <v>2302</v>
      </c>
      <c r="C160" s="97">
        <v>7240</v>
      </c>
      <c r="D160" s="97">
        <v>7210</v>
      </c>
      <c r="E160" s="97">
        <v>7860</v>
      </c>
      <c r="F160" s="130">
        <v>1370</v>
      </c>
    </row>
    <row r="161" spans="1:6" s="119" customFormat="1" ht="14.25" customHeight="1">
      <c r="A161" s="93" t="s">
        <v>278</v>
      </c>
      <c r="B161" s="97" t="s">
        <v>2314</v>
      </c>
      <c r="C161" s="97">
        <v>7720</v>
      </c>
      <c r="D161" s="97">
        <v>7690</v>
      </c>
      <c r="E161" s="97">
        <v>8200</v>
      </c>
      <c r="F161" s="130">
        <v>1190</v>
      </c>
    </row>
    <row r="162" spans="1:6" s="119" customFormat="1" ht="14.25" customHeight="1">
      <c r="A162" s="93" t="s">
        <v>278</v>
      </c>
      <c r="B162" s="97" t="s">
        <v>2326</v>
      </c>
      <c r="C162" s="97">
        <v>6900</v>
      </c>
      <c r="D162" s="97">
        <v>6870</v>
      </c>
      <c r="E162" s="97">
        <v>7500</v>
      </c>
      <c r="F162" s="130">
        <v>1390</v>
      </c>
    </row>
    <row r="163" spans="1:6" s="119" customFormat="1" ht="14.25" customHeight="1">
      <c r="A163" s="93" t="s">
        <v>278</v>
      </c>
      <c r="B163" s="97" t="s">
        <v>2337</v>
      </c>
      <c r="C163" s="97">
        <v>7120</v>
      </c>
      <c r="D163" s="97">
        <v>7090</v>
      </c>
      <c r="E163" s="97">
        <v>7690</v>
      </c>
      <c r="F163" s="130">
        <v>1230</v>
      </c>
    </row>
    <row r="164" spans="1:6" s="119" customFormat="1" ht="14.25" customHeight="1">
      <c r="A164" s="93" t="s">
        <v>278</v>
      </c>
      <c r="B164" s="97" t="s">
        <v>2348</v>
      </c>
      <c r="C164" s="97">
        <v>6560</v>
      </c>
      <c r="D164" s="97">
        <v>6530</v>
      </c>
      <c r="E164" s="97">
        <v>7110</v>
      </c>
      <c r="F164" s="130">
        <v>1340</v>
      </c>
    </row>
    <row r="165" spans="1:6" s="119" customFormat="1" ht="14.25" customHeight="1">
      <c r="A165" s="93" t="s">
        <v>278</v>
      </c>
      <c r="B165" s="97" t="s">
        <v>2359</v>
      </c>
      <c r="C165" s="97">
        <v>7450</v>
      </c>
      <c r="D165" s="97">
        <v>7430</v>
      </c>
      <c r="E165" s="97">
        <v>8110</v>
      </c>
      <c r="F165" s="130">
        <v>1290</v>
      </c>
    </row>
    <row r="166" spans="1:6" s="119" customFormat="1" ht="14.25" customHeight="1">
      <c r="A166" s="93" t="s">
        <v>278</v>
      </c>
      <c r="B166" s="97" t="s">
        <v>2369</v>
      </c>
      <c r="C166" s="97">
        <v>7490</v>
      </c>
      <c r="D166" s="97">
        <v>7460</v>
      </c>
      <c r="E166" s="97">
        <v>8150</v>
      </c>
      <c r="F166" s="130">
        <v>1350</v>
      </c>
    </row>
    <row r="167" spans="1:6" s="119" customFormat="1" ht="14.25" customHeight="1">
      <c r="A167" s="93" t="s">
        <v>278</v>
      </c>
      <c r="B167" s="97" t="s">
        <v>2379</v>
      </c>
      <c r="C167" s="97">
        <v>7540</v>
      </c>
      <c r="D167" s="97">
        <v>7510</v>
      </c>
      <c r="E167" s="97">
        <v>8030</v>
      </c>
      <c r="F167" s="133"/>
    </row>
    <row r="168" spans="1:6" s="119" customFormat="1" ht="14.25" customHeight="1">
      <c r="A168" s="93" t="s">
        <v>278</v>
      </c>
      <c r="B168" s="97" t="s">
        <v>2389</v>
      </c>
      <c r="C168" s="97">
        <v>7210</v>
      </c>
      <c r="D168" s="97">
        <v>7180</v>
      </c>
      <c r="E168" s="97">
        <v>7830</v>
      </c>
      <c r="F168" s="133"/>
    </row>
    <row r="169" spans="1:6" s="119" customFormat="1" ht="14.25" customHeight="1">
      <c r="A169" s="93" t="s">
        <v>278</v>
      </c>
      <c r="B169" s="97" t="s">
        <v>2399</v>
      </c>
      <c r="C169" s="97">
        <v>7040</v>
      </c>
      <c r="D169" s="97">
        <v>7020</v>
      </c>
      <c r="E169" s="97">
        <v>7670</v>
      </c>
      <c r="F169" s="133"/>
    </row>
    <row r="170" spans="1:6" s="119" customFormat="1" ht="14.25" customHeight="1">
      <c r="A170" s="93" t="s">
        <v>278</v>
      </c>
      <c r="B170" s="97" t="s">
        <v>2409</v>
      </c>
      <c r="C170" s="97">
        <v>8040</v>
      </c>
      <c r="D170" s="97">
        <v>7190</v>
      </c>
      <c r="E170" s="97">
        <v>7850</v>
      </c>
      <c r="F170" s="133"/>
    </row>
    <row r="171" spans="1:6" s="119" customFormat="1" ht="14.25" customHeight="1">
      <c r="A171" s="93" t="s">
        <v>278</v>
      </c>
      <c r="B171" s="97" t="s">
        <v>2419</v>
      </c>
      <c r="C171" s="97">
        <v>7860</v>
      </c>
      <c r="D171" s="97">
        <v>7720</v>
      </c>
      <c r="E171" s="97">
        <v>8150</v>
      </c>
      <c r="F171" s="130">
        <v>1110</v>
      </c>
    </row>
    <row r="172" spans="1:6" s="119" customFormat="1" ht="14.25" customHeight="1">
      <c r="A172" s="93" t="s">
        <v>278</v>
      </c>
      <c r="B172" s="97" t="s">
        <v>2429</v>
      </c>
      <c r="C172" s="97">
        <v>7210</v>
      </c>
      <c r="D172" s="97">
        <v>7170</v>
      </c>
      <c r="E172" s="97">
        <v>7320</v>
      </c>
      <c r="F172" s="133"/>
    </row>
    <row r="173" spans="1:6" s="119" customFormat="1" ht="14.25" customHeight="1">
      <c r="A173" s="93" t="s">
        <v>278</v>
      </c>
      <c r="B173" s="97" t="s">
        <v>2439</v>
      </c>
      <c r="C173" s="97">
        <v>6860</v>
      </c>
      <c r="D173" s="97">
        <v>6810</v>
      </c>
      <c r="E173" s="97">
        <v>7440</v>
      </c>
      <c r="F173" s="133"/>
    </row>
    <row r="174" spans="1:6" s="119" customFormat="1" ht="14.25" customHeight="1">
      <c r="A174" s="93" t="s">
        <v>278</v>
      </c>
      <c r="B174" s="97" t="s">
        <v>2449</v>
      </c>
      <c r="C174" s="97">
        <v>7120</v>
      </c>
      <c r="D174" s="97">
        <v>7090</v>
      </c>
      <c r="E174" s="97">
        <v>7500</v>
      </c>
      <c r="F174" s="130">
        <v>1490</v>
      </c>
    </row>
    <row r="175" spans="1:6" s="119" customFormat="1" ht="14.25" customHeight="1">
      <c r="A175" s="93" t="s">
        <v>278</v>
      </c>
      <c r="B175" s="97" t="s">
        <v>2459</v>
      </c>
      <c r="C175" s="97">
        <v>7850</v>
      </c>
      <c r="D175" s="97">
        <v>7820</v>
      </c>
      <c r="E175" s="97">
        <v>8120</v>
      </c>
      <c r="F175" s="130">
        <v>1530</v>
      </c>
    </row>
    <row r="176" spans="1:6" s="119" customFormat="1" ht="14.25" customHeight="1">
      <c r="A176" s="93" t="s">
        <v>278</v>
      </c>
      <c r="B176" s="97" t="s">
        <v>2469</v>
      </c>
      <c r="C176" s="97">
        <v>7620</v>
      </c>
      <c r="D176" s="97">
        <v>7570</v>
      </c>
      <c r="E176" s="97">
        <v>7990</v>
      </c>
      <c r="F176" s="130">
        <v>1480</v>
      </c>
    </row>
    <row r="177" spans="1:6" s="119" customFormat="1" ht="14.25" customHeight="1">
      <c r="A177" s="93" t="s">
        <v>278</v>
      </c>
      <c r="B177" s="97" t="s">
        <v>2478</v>
      </c>
      <c r="C177" s="97">
        <v>8590</v>
      </c>
      <c r="D177" s="97">
        <v>8570</v>
      </c>
      <c r="E177" s="97">
        <v>8740</v>
      </c>
      <c r="F177" s="130">
        <v>1540</v>
      </c>
    </row>
    <row r="178" spans="1:6" s="119" customFormat="1" ht="14.25" customHeight="1">
      <c r="A178" s="93" t="s">
        <v>278</v>
      </c>
      <c r="B178" s="97" t="s">
        <v>2486</v>
      </c>
      <c r="C178" s="97">
        <v>7510</v>
      </c>
      <c r="D178" s="97">
        <v>7470</v>
      </c>
      <c r="E178" s="97">
        <v>8090</v>
      </c>
      <c r="F178" s="130">
        <v>1320</v>
      </c>
    </row>
    <row r="179" spans="1:6" s="119" customFormat="1" ht="14.25" customHeight="1">
      <c r="A179" s="93" t="s">
        <v>278</v>
      </c>
      <c r="B179" s="97" t="s">
        <v>2494</v>
      </c>
      <c r="C179" s="97">
        <v>6380</v>
      </c>
      <c r="D179" s="97">
        <v>6340</v>
      </c>
      <c r="E179" s="97">
        <v>6810</v>
      </c>
      <c r="F179" s="133"/>
    </row>
    <row r="180" spans="1:6" s="119" customFormat="1" ht="14.25" customHeight="1">
      <c r="A180" s="93" t="s">
        <v>278</v>
      </c>
      <c r="B180" s="97" t="s">
        <v>2501</v>
      </c>
      <c r="C180" s="97">
        <v>7830</v>
      </c>
      <c r="D180" s="97">
        <v>7800</v>
      </c>
      <c r="E180" s="97">
        <v>7780</v>
      </c>
      <c r="F180" s="130">
        <v>1440</v>
      </c>
    </row>
    <row r="181" spans="1:6" s="119" customFormat="1" ht="14.25" customHeight="1">
      <c r="A181" s="93" t="s">
        <v>278</v>
      </c>
      <c r="B181" s="97" t="s">
        <v>2508</v>
      </c>
      <c r="C181" s="97">
        <v>7110</v>
      </c>
      <c r="D181" s="97">
        <v>7080</v>
      </c>
      <c r="E181" s="97">
        <v>7730</v>
      </c>
      <c r="F181" s="130">
        <v>1350</v>
      </c>
    </row>
    <row r="182" spans="1:6" s="119" customFormat="1" ht="14.25" customHeight="1">
      <c r="A182" s="93" t="s">
        <v>278</v>
      </c>
      <c r="B182" s="97" t="s">
        <v>2515</v>
      </c>
      <c r="C182" s="97">
        <v>7310</v>
      </c>
      <c r="D182" s="97">
        <v>7280</v>
      </c>
      <c r="E182" s="97">
        <v>7950</v>
      </c>
      <c r="F182" s="130">
        <v>1220</v>
      </c>
    </row>
    <row r="183" spans="1:6" s="119" customFormat="1" ht="14.25" customHeight="1">
      <c r="A183" s="93" t="s">
        <v>278</v>
      </c>
      <c r="B183" s="97" t="s">
        <v>2522</v>
      </c>
      <c r="C183" s="97">
        <v>7470</v>
      </c>
      <c r="D183" s="97">
        <v>7440</v>
      </c>
      <c r="E183" s="97">
        <v>7880</v>
      </c>
      <c r="F183" s="133"/>
    </row>
    <row r="184" spans="1:6" s="119" customFormat="1" ht="14.25" customHeight="1">
      <c r="A184" s="93" t="s">
        <v>278</v>
      </c>
      <c r="B184" s="97" t="s">
        <v>2529</v>
      </c>
      <c r="C184" s="97">
        <v>6960</v>
      </c>
      <c r="D184" s="97">
        <v>6930</v>
      </c>
      <c r="E184" s="97">
        <v>7570</v>
      </c>
      <c r="F184" s="133"/>
    </row>
    <row r="185" spans="1:6" s="119" customFormat="1" ht="14.25" customHeight="1">
      <c r="A185" s="93" t="s">
        <v>278</v>
      </c>
      <c r="B185" s="97" t="s">
        <v>2534</v>
      </c>
      <c r="C185" s="97">
        <v>7260</v>
      </c>
      <c r="D185" s="97">
        <v>7230</v>
      </c>
      <c r="E185" s="97">
        <v>7710</v>
      </c>
      <c r="F185" s="130">
        <v>1360</v>
      </c>
    </row>
    <row r="186" spans="1:6" s="119" customFormat="1" ht="14.25" customHeight="1">
      <c r="A186" s="93" t="s">
        <v>278</v>
      </c>
      <c r="B186" s="97" t="s">
        <v>2539</v>
      </c>
      <c r="C186" s="97"/>
      <c r="D186" s="97"/>
      <c r="E186" s="97"/>
      <c r="F186" s="130">
        <v>1560</v>
      </c>
    </row>
    <row r="187" spans="1:6" s="119" customFormat="1" ht="14.25" customHeight="1">
      <c r="A187" s="93" t="s">
        <v>278</v>
      </c>
      <c r="B187" s="97" t="s">
        <v>2544</v>
      </c>
      <c r="C187" s="97"/>
      <c r="D187" s="97"/>
      <c r="E187" s="97"/>
      <c r="F187" s="130">
        <v>1560</v>
      </c>
    </row>
    <row r="188" spans="1:6" s="119" customFormat="1" ht="14.25" customHeight="1">
      <c r="A188" s="93" t="s">
        <v>278</v>
      </c>
      <c r="B188" s="97" t="s">
        <v>2549</v>
      </c>
      <c r="C188" s="97"/>
      <c r="D188" s="97"/>
      <c r="E188" s="97"/>
      <c r="F188" s="130">
        <v>1560</v>
      </c>
    </row>
    <row r="189" spans="1:6" s="119" customFormat="1" ht="14.25" customHeight="1">
      <c r="A189" s="93" t="s">
        <v>278</v>
      </c>
      <c r="B189" s="97" t="s">
        <v>2554</v>
      </c>
      <c r="C189" s="97"/>
      <c r="D189" s="97"/>
      <c r="E189" s="97"/>
      <c r="F189" s="130">
        <v>1320</v>
      </c>
    </row>
    <row r="190" spans="1:6" s="119" customFormat="1" ht="14.25" customHeight="1">
      <c r="A190" s="93" t="s">
        <v>278</v>
      </c>
      <c r="B190" s="97" t="s">
        <v>2559</v>
      </c>
      <c r="C190" s="97"/>
      <c r="D190" s="97"/>
      <c r="E190" s="97"/>
      <c r="F190" s="130">
        <v>1320</v>
      </c>
    </row>
    <row r="191" spans="1:6" s="119" customFormat="1" ht="14.25" customHeight="1">
      <c r="A191" s="93" t="s">
        <v>278</v>
      </c>
      <c r="B191" s="97" t="s">
        <v>2564</v>
      </c>
      <c r="C191" s="97"/>
      <c r="D191" s="97"/>
      <c r="E191" s="97"/>
      <c r="F191" s="130">
        <v>1320</v>
      </c>
    </row>
    <row r="192" spans="1:6" s="119" customFormat="1" ht="14.25" customHeight="1">
      <c r="A192" s="93" t="s">
        <v>278</v>
      </c>
      <c r="B192" s="97" t="s">
        <v>2568</v>
      </c>
      <c r="C192" s="97"/>
      <c r="D192" s="97"/>
      <c r="E192" s="97"/>
      <c r="F192" s="130">
        <v>1100</v>
      </c>
    </row>
    <row r="193" spans="1:6" s="119" customFormat="1" ht="14.25" customHeight="1">
      <c r="A193" s="93" t="s">
        <v>278</v>
      </c>
      <c r="B193" s="97" t="s">
        <v>2572</v>
      </c>
      <c r="C193" s="97"/>
      <c r="D193" s="97"/>
      <c r="E193" s="97"/>
      <c r="F193" s="130">
        <v>1100</v>
      </c>
    </row>
    <row r="194" spans="1:6" s="119" customFormat="1" ht="14.25" customHeight="1">
      <c r="A194" s="93" t="s">
        <v>278</v>
      </c>
      <c r="B194" s="97" t="s">
        <v>2576</v>
      </c>
      <c r="C194" s="97"/>
      <c r="D194" s="97"/>
      <c r="E194" s="97"/>
      <c r="F194" s="130">
        <v>1080</v>
      </c>
    </row>
    <row r="195" spans="1:6" s="119" customFormat="1" ht="14.25" customHeight="1">
      <c r="A195" s="93" t="s">
        <v>278</v>
      </c>
      <c r="B195" s="97" t="s">
        <v>2580</v>
      </c>
      <c r="C195" s="97"/>
      <c r="D195" s="97"/>
      <c r="E195" s="97"/>
      <c r="F195" s="130">
        <v>1270</v>
      </c>
    </row>
    <row r="196" spans="1:6" s="119" customFormat="1" ht="14.25" customHeight="1">
      <c r="A196" s="93" t="s">
        <v>278</v>
      </c>
      <c r="B196" s="97" t="s">
        <v>2584</v>
      </c>
      <c r="C196" s="97"/>
      <c r="D196" s="97"/>
      <c r="E196" s="97"/>
      <c r="F196" s="130">
        <v>1150</v>
      </c>
    </row>
    <row r="197" spans="1:6" s="119" customFormat="1" ht="14.25" customHeight="1">
      <c r="A197" s="93" t="s">
        <v>278</v>
      </c>
      <c r="B197" s="97" t="s">
        <v>2588</v>
      </c>
      <c r="C197" s="97"/>
      <c r="D197" s="97"/>
      <c r="E197" s="97"/>
      <c r="F197" s="130">
        <v>1330</v>
      </c>
    </row>
    <row r="198" spans="1:6" s="119" customFormat="1" ht="14.25" customHeight="1">
      <c r="A198" s="93" t="s">
        <v>278</v>
      </c>
      <c r="B198" s="97" t="s">
        <v>2591</v>
      </c>
      <c r="C198" s="97"/>
      <c r="D198" s="97"/>
      <c r="E198" s="97"/>
      <c r="F198" s="130">
        <v>1170</v>
      </c>
    </row>
    <row r="199" spans="1:6" s="119" customFormat="1" ht="14.25" customHeight="1">
      <c r="A199" s="93" t="s">
        <v>278</v>
      </c>
      <c r="B199" s="97" t="s">
        <v>2594</v>
      </c>
      <c r="C199" s="97"/>
      <c r="D199" s="97"/>
      <c r="E199" s="97"/>
      <c r="F199" s="130">
        <v>1120</v>
      </c>
    </row>
    <row r="200" spans="1:6" s="119" customFormat="1" ht="14.25" customHeight="1">
      <c r="A200" s="93" t="s">
        <v>278</v>
      </c>
      <c r="B200" s="97" t="s">
        <v>2597</v>
      </c>
      <c r="C200" s="97"/>
      <c r="D200" s="97"/>
      <c r="E200" s="97"/>
      <c r="F200" s="130">
        <v>1120</v>
      </c>
    </row>
    <row r="201" spans="1:6" s="119" customFormat="1" ht="14.25" customHeight="1">
      <c r="A201" s="93" t="s">
        <v>278</v>
      </c>
      <c r="B201" s="97" t="s">
        <v>2600</v>
      </c>
      <c r="C201" s="97"/>
      <c r="D201" s="97"/>
      <c r="E201" s="97"/>
      <c r="F201" s="130">
        <v>1540</v>
      </c>
    </row>
    <row r="202" spans="1:6" s="119" customFormat="1" ht="14.25" customHeight="1">
      <c r="A202" s="93" t="s">
        <v>278</v>
      </c>
      <c r="B202" s="97" t="s">
        <v>2603</v>
      </c>
      <c r="C202" s="97"/>
      <c r="D202" s="97"/>
      <c r="E202" s="97"/>
      <c r="F202" s="130">
        <v>1310</v>
      </c>
    </row>
    <row r="203" spans="1:6" s="119" customFormat="1" ht="14.25" customHeight="1">
      <c r="A203" s="93" t="s">
        <v>278</v>
      </c>
      <c r="B203" s="97" t="s">
        <v>2606</v>
      </c>
      <c r="C203" s="97"/>
      <c r="D203" s="97"/>
      <c r="E203" s="97"/>
      <c r="F203" s="130">
        <v>1310</v>
      </c>
    </row>
    <row r="204" spans="1:6" s="119" customFormat="1" ht="14.25" customHeight="1">
      <c r="A204" s="93" t="s">
        <v>278</v>
      </c>
      <c r="B204" s="97" t="s">
        <v>2608</v>
      </c>
      <c r="C204" s="97"/>
      <c r="D204" s="97"/>
      <c r="E204" s="97"/>
      <c r="F204" s="130">
        <v>1080</v>
      </c>
    </row>
    <row r="205" spans="1:6" s="119" customFormat="1" ht="14.25" customHeight="1">
      <c r="A205" s="93" t="s">
        <v>278</v>
      </c>
      <c r="B205" s="97" t="s">
        <v>2610</v>
      </c>
      <c r="C205" s="97"/>
      <c r="D205" s="97"/>
      <c r="E205" s="97"/>
      <c r="F205" s="130">
        <v>1080</v>
      </c>
    </row>
    <row r="206" spans="1:6" s="119" customFormat="1" ht="14.25" customHeight="1">
      <c r="A206" s="93" t="s">
        <v>283</v>
      </c>
      <c r="B206" s="94" t="s">
        <v>2276</v>
      </c>
      <c r="C206" s="94">
        <v>5450</v>
      </c>
      <c r="D206" s="94">
        <v>5430</v>
      </c>
      <c r="E206" s="94">
        <v>5700</v>
      </c>
      <c r="F206" s="127">
        <v>1020</v>
      </c>
    </row>
    <row r="207" spans="1:6" s="119" customFormat="1" ht="14.25" customHeight="1">
      <c r="A207" s="93" t="s">
        <v>283</v>
      </c>
      <c r="B207" s="97" t="s">
        <v>2289</v>
      </c>
      <c r="C207" s="97">
        <v>5860</v>
      </c>
      <c r="D207" s="97">
        <v>5820</v>
      </c>
      <c r="E207" s="97">
        <v>6050</v>
      </c>
      <c r="F207" s="130">
        <v>1080</v>
      </c>
    </row>
    <row r="208" spans="1:6" s="119" customFormat="1" ht="14.25" customHeight="1">
      <c r="A208" s="93" t="s">
        <v>283</v>
      </c>
      <c r="B208" s="97" t="s">
        <v>2303</v>
      </c>
      <c r="C208" s="97">
        <v>4630</v>
      </c>
      <c r="D208" s="97">
        <v>4600</v>
      </c>
      <c r="E208" s="97">
        <v>4840</v>
      </c>
      <c r="F208" s="130">
        <v>900</v>
      </c>
    </row>
    <row r="209" spans="1:6" s="119" customFormat="1" ht="14.25" customHeight="1">
      <c r="A209" s="93" t="s">
        <v>283</v>
      </c>
      <c r="B209" s="97" t="s">
        <v>2315</v>
      </c>
      <c r="C209" s="97">
        <v>5320</v>
      </c>
      <c r="D209" s="97">
        <v>5270</v>
      </c>
      <c r="E209" s="97">
        <v>5540</v>
      </c>
      <c r="F209" s="130">
        <v>980</v>
      </c>
    </row>
    <row r="210" spans="1:6" s="119" customFormat="1" ht="14.25" customHeight="1">
      <c r="A210" s="93" t="s">
        <v>283</v>
      </c>
      <c r="B210" s="97" t="s">
        <v>2327</v>
      </c>
      <c r="C210" s="97">
        <v>5760</v>
      </c>
      <c r="D210" s="97">
        <v>5710</v>
      </c>
      <c r="E210" s="97">
        <v>6010</v>
      </c>
      <c r="F210" s="130">
        <v>870</v>
      </c>
    </row>
    <row r="211" spans="1:6" s="119" customFormat="1" ht="14.25" customHeight="1">
      <c r="A211" s="93" t="s">
        <v>283</v>
      </c>
      <c r="B211" s="97" t="s">
        <v>2338</v>
      </c>
      <c r="C211" s="97">
        <v>4160</v>
      </c>
      <c r="D211" s="97">
        <v>4100</v>
      </c>
      <c r="E211" s="97">
        <v>4270</v>
      </c>
      <c r="F211" s="130">
        <v>790</v>
      </c>
    </row>
    <row r="212" spans="1:6" s="119" customFormat="1" ht="14.25" customHeight="1">
      <c r="A212" s="93" t="s">
        <v>283</v>
      </c>
      <c r="B212" s="97" t="s">
        <v>2349</v>
      </c>
      <c r="C212" s="97">
        <v>4880</v>
      </c>
      <c r="D212" s="97">
        <v>4850</v>
      </c>
      <c r="E212" s="97">
        <v>5110</v>
      </c>
      <c r="F212" s="130">
        <v>940</v>
      </c>
    </row>
    <row r="213" spans="1:6" s="119" customFormat="1" ht="14.25" customHeight="1">
      <c r="A213" s="93" t="s">
        <v>283</v>
      </c>
      <c r="B213" s="97" t="s">
        <v>2360</v>
      </c>
      <c r="C213" s="97">
        <v>4640</v>
      </c>
      <c r="D213" s="97">
        <v>4590</v>
      </c>
      <c r="E213" s="97">
        <v>4700</v>
      </c>
      <c r="F213" s="130">
        <v>1030</v>
      </c>
    </row>
    <row r="214" spans="1:6" s="119" customFormat="1" ht="14.25" customHeight="1">
      <c r="A214" s="93" t="s">
        <v>283</v>
      </c>
      <c r="B214" s="97" t="s">
        <v>2370</v>
      </c>
      <c r="C214" s="97">
        <v>4540</v>
      </c>
      <c r="D214" s="97">
        <v>4490</v>
      </c>
      <c r="E214" s="97">
        <v>4610</v>
      </c>
      <c r="F214" s="133"/>
    </row>
    <row r="215" spans="1:6" s="119" customFormat="1" ht="14.25" customHeight="1">
      <c r="A215" s="93" t="s">
        <v>283</v>
      </c>
      <c r="B215" s="97" t="s">
        <v>2380</v>
      </c>
      <c r="C215" s="97">
        <v>5280</v>
      </c>
      <c r="D215" s="97">
        <v>5250</v>
      </c>
      <c r="E215" s="97">
        <v>5520</v>
      </c>
      <c r="F215" s="130">
        <v>1000</v>
      </c>
    </row>
    <row r="216" spans="1:6" s="119" customFormat="1" ht="14.25" customHeight="1">
      <c r="A216" s="93" t="s">
        <v>283</v>
      </c>
      <c r="B216" s="97" t="s">
        <v>2390</v>
      </c>
      <c r="C216" s="97">
        <v>5100</v>
      </c>
      <c r="D216" s="97">
        <v>5050</v>
      </c>
      <c r="E216" s="97">
        <v>5300</v>
      </c>
      <c r="F216" s="130">
        <v>950</v>
      </c>
    </row>
    <row r="217" spans="1:6" s="119" customFormat="1" ht="14.25" customHeight="1">
      <c r="A217" s="93" t="s">
        <v>283</v>
      </c>
      <c r="B217" s="97" t="s">
        <v>2400</v>
      </c>
      <c r="C217" s="97">
        <v>5370</v>
      </c>
      <c r="D217" s="97">
        <v>5320</v>
      </c>
      <c r="E217" s="97">
        <v>5410</v>
      </c>
      <c r="F217" s="130">
        <v>950</v>
      </c>
    </row>
    <row r="218" spans="1:6" s="119" customFormat="1" ht="14.25" customHeight="1">
      <c r="A218" s="93" t="s">
        <v>283</v>
      </c>
      <c r="B218" s="97" t="s">
        <v>2410</v>
      </c>
      <c r="C218" s="97">
        <v>5540</v>
      </c>
      <c r="D218" s="97">
        <v>5480</v>
      </c>
      <c r="E218" s="97">
        <v>5740</v>
      </c>
      <c r="F218" s="130">
        <v>1020</v>
      </c>
    </row>
    <row r="219" spans="1:6" s="119" customFormat="1" ht="14.25" customHeight="1">
      <c r="A219" s="93" t="s">
        <v>283</v>
      </c>
      <c r="B219" s="97" t="s">
        <v>2420</v>
      </c>
      <c r="C219" s="97">
        <v>5140</v>
      </c>
      <c r="D219" s="97">
        <v>5100</v>
      </c>
      <c r="E219" s="97">
        <v>5350</v>
      </c>
      <c r="F219" s="130">
        <v>1120</v>
      </c>
    </row>
    <row r="220" spans="1:6" s="119" customFormat="1" ht="14.25" customHeight="1">
      <c r="A220" s="93" t="s">
        <v>283</v>
      </c>
      <c r="B220" s="97" t="s">
        <v>2430</v>
      </c>
      <c r="C220" s="97">
        <v>5040</v>
      </c>
      <c r="D220" s="97">
        <v>5000</v>
      </c>
      <c r="E220" s="97">
        <v>5240</v>
      </c>
      <c r="F220" s="130">
        <v>980</v>
      </c>
    </row>
    <row r="221" spans="1:6" s="119" customFormat="1" ht="14.25" customHeight="1">
      <c r="A221" s="93" t="s">
        <v>283</v>
      </c>
      <c r="B221" s="97" t="s">
        <v>2440</v>
      </c>
      <c r="C221" s="136"/>
      <c r="D221" s="136"/>
      <c r="E221" s="136"/>
      <c r="F221" s="130">
        <v>1070</v>
      </c>
    </row>
    <row r="222" spans="1:6" s="119" customFormat="1" ht="14.25" customHeight="1">
      <c r="A222" s="93" t="s">
        <v>283</v>
      </c>
      <c r="B222" s="97" t="s">
        <v>2450</v>
      </c>
      <c r="C222" s="136"/>
      <c r="D222" s="136"/>
      <c r="E222" s="136"/>
      <c r="F222" s="130">
        <v>870</v>
      </c>
    </row>
    <row r="223" spans="1:6" s="119" customFormat="1" ht="14.25" customHeight="1">
      <c r="A223" s="93" t="s">
        <v>283</v>
      </c>
      <c r="B223" s="97" t="s">
        <v>2460</v>
      </c>
      <c r="C223" s="136"/>
      <c r="D223" s="136"/>
      <c r="E223" s="136"/>
      <c r="F223" s="130">
        <v>940</v>
      </c>
    </row>
    <row r="224" spans="1:6" s="119" customFormat="1" ht="14.25" customHeight="1">
      <c r="A224" s="93" t="s">
        <v>283</v>
      </c>
      <c r="B224" s="97" t="s">
        <v>2470</v>
      </c>
      <c r="C224" s="136"/>
      <c r="D224" s="136"/>
      <c r="E224" s="136"/>
      <c r="F224" s="130">
        <v>990</v>
      </c>
    </row>
    <row r="225" spans="1:6" s="119" customFormat="1" ht="14.25" customHeight="1">
      <c r="A225" s="93" t="s">
        <v>283</v>
      </c>
      <c r="B225" s="97" t="s">
        <v>2479</v>
      </c>
      <c r="C225" s="97">
        <v>5730</v>
      </c>
      <c r="D225" s="97">
        <v>5680</v>
      </c>
      <c r="E225" s="97">
        <v>6020</v>
      </c>
      <c r="F225" s="130">
        <v>1000</v>
      </c>
    </row>
    <row r="226" spans="1:6" s="119" customFormat="1" ht="14.25" customHeight="1">
      <c r="A226" s="93" t="s">
        <v>283</v>
      </c>
      <c r="B226" s="97" t="s">
        <v>2487</v>
      </c>
      <c r="C226" s="97">
        <v>4970</v>
      </c>
      <c r="D226" s="97">
        <v>4940</v>
      </c>
      <c r="E226" s="97">
        <v>5180</v>
      </c>
      <c r="F226" s="130">
        <v>960</v>
      </c>
    </row>
    <row r="227" spans="1:6" s="119" customFormat="1" ht="14.25" customHeight="1">
      <c r="A227" s="93" t="s">
        <v>283</v>
      </c>
      <c r="B227" s="97" t="s">
        <v>2495</v>
      </c>
      <c r="C227" s="97">
        <v>5550</v>
      </c>
      <c r="D227" s="97">
        <v>5500</v>
      </c>
      <c r="E227" s="97">
        <v>5780</v>
      </c>
      <c r="F227" s="130">
        <v>940</v>
      </c>
    </row>
    <row r="228" spans="1:6" s="119" customFormat="1" ht="14.25" customHeight="1">
      <c r="A228" s="93" t="s">
        <v>283</v>
      </c>
      <c r="B228" s="97" t="s">
        <v>2502</v>
      </c>
      <c r="C228" s="97">
        <v>5460</v>
      </c>
      <c r="D228" s="97">
        <v>5420</v>
      </c>
      <c r="E228" s="97">
        <v>5690</v>
      </c>
      <c r="F228" s="130">
        <v>910</v>
      </c>
    </row>
    <row r="229" spans="1:6" s="119" customFormat="1" ht="14.25" customHeight="1">
      <c r="A229" s="93" t="s">
        <v>283</v>
      </c>
      <c r="B229" s="97" t="s">
        <v>2509</v>
      </c>
      <c r="C229" s="97">
        <v>5310</v>
      </c>
      <c r="D229" s="97">
        <v>5270</v>
      </c>
      <c r="E229" s="97">
        <v>5510</v>
      </c>
      <c r="F229" s="133"/>
    </row>
    <row r="230" spans="1:6" s="119" customFormat="1" ht="14.25" customHeight="1">
      <c r="A230" s="93" t="s">
        <v>283</v>
      </c>
      <c r="B230" s="97" t="s">
        <v>2516</v>
      </c>
      <c r="C230" s="97">
        <v>4540</v>
      </c>
      <c r="D230" s="97">
        <v>4500</v>
      </c>
      <c r="E230" s="97">
        <v>4730</v>
      </c>
      <c r="F230" s="133"/>
    </row>
    <row r="231" spans="1:6" s="119" customFormat="1" ht="14.25" customHeight="1">
      <c r="A231" s="93" t="s">
        <v>283</v>
      </c>
      <c r="B231" s="97" t="s">
        <v>2523</v>
      </c>
      <c r="C231" s="97">
        <v>4480</v>
      </c>
      <c r="D231" s="97">
        <v>4410</v>
      </c>
      <c r="E231" s="97">
        <v>4640</v>
      </c>
      <c r="F231" s="133"/>
    </row>
    <row r="232" spans="1:6" s="119" customFormat="1" ht="14.25" customHeight="1">
      <c r="A232" s="93" t="s">
        <v>283</v>
      </c>
      <c r="B232" s="97" t="s">
        <v>2530</v>
      </c>
      <c r="C232" s="97">
        <v>5670</v>
      </c>
      <c r="D232" s="97">
        <v>5600</v>
      </c>
      <c r="E232" s="97">
        <v>5890</v>
      </c>
      <c r="F232" s="130">
        <v>1150</v>
      </c>
    </row>
    <row r="233" spans="1:6" s="119" customFormat="1" ht="14.25" customHeight="1">
      <c r="A233" s="93" t="s">
        <v>283</v>
      </c>
      <c r="B233" s="97" t="s">
        <v>2535</v>
      </c>
      <c r="C233" s="97">
        <v>4590</v>
      </c>
      <c r="D233" s="97">
        <v>4500</v>
      </c>
      <c r="E233" s="97">
        <v>4600</v>
      </c>
      <c r="F233" s="133"/>
    </row>
    <row r="234" spans="1:6" s="119" customFormat="1" ht="14.25" customHeight="1">
      <c r="A234" s="93" t="s">
        <v>283</v>
      </c>
      <c r="B234" s="97" t="s">
        <v>2540</v>
      </c>
      <c r="C234" s="97">
        <v>3990</v>
      </c>
      <c r="D234" s="97">
        <v>3950</v>
      </c>
      <c r="E234" s="97">
        <v>4180</v>
      </c>
      <c r="F234" s="133"/>
    </row>
    <row r="235" spans="1:6" s="119" customFormat="1" ht="14.25" customHeight="1">
      <c r="A235" s="93" t="s">
        <v>283</v>
      </c>
      <c r="B235" s="97" t="s">
        <v>2545</v>
      </c>
      <c r="C235" s="97">
        <v>5590</v>
      </c>
      <c r="D235" s="97">
        <v>5540</v>
      </c>
      <c r="E235" s="97">
        <v>5810</v>
      </c>
      <c r="F235" s="130">
        <v>970</v>
      </c>
    </row>
    <row r="236" spans="1:6" s="119" customFormat="1" ht="14.25" customHeight="1">
      <c r="A236" s="93" t="s">
        <v>283</v>
      </c>
      <c r="B236" s="97" t="s">
        <v>2550</v>
      </c>
      <c r="C236" s="97"/>
      <c r="D236" s="97"/>
      <c r="E236" s="97"/>
      <c r="F236" s="130">
        <v>1020</v>
      </c>
    </row>
    <row r="237" spans="1:6" s="119" customFormat="1" ht="14.25" customHeight="1">
      <c r="A237" s="93" t="s">
        <v>283</v>
      </c>
      <c r="B237" s="97" t="s">
        <v>2555</v>
      </c>
      <c r="C237" s="97"/>
      <c r="D237" s="97"/>
      <c r="E237" s="97"/>
      <c r="F237" s="130">
        <v>960</v>
      </c>
    </row>
    <row r="238" spans="1:6" s="119" customFormat="1" ht="14.25" customHeight="1">
      <c r="A238" s="93" t="s">
        <v>283</v>
      </c>
      <c r="B238" s="97" t="s">
        <v>2560</v>
      </c>
      <c r="C238" s="97"/>
      <c r="D238" s="97"/>
      <c r="E238" s="97"/>
      <c r="F238" s="130">
        <v>960</v>
      </c>
    </row>
    <row r="239" spans="1:6" s="119" customFormat="1" ht="14.25" customHeight="1">
      <c r="A239" s="93" t="s">
        <v>283</v>
      </c>
      <c r="B239" s="97" t="s">
        <v>2565</v>
      </c>
      <c r="C239" s="97"/>
      <c r="D239" s="97"/>
      <c r="E239" s="97"/>
      <c r="F239" s="130">
        <v>960</v>
      </c>
    </row>
    <row r="240" spans="1:6" s="119" customFormat="1" ht="14.25" customHeight="1">
      <c r="A240" s="93" t="s">
        <v>283</v>
      </c>
      <c r="B240" s="97" t="s">
        <v>2569</v>
      </c>
      <c r="C240" s="97"/>
      <c r="D240" s="97"/>
      <c r="E240" s="97"/>
      <c r="F240" s="130">
        <v>990</v>
      </c>
    </row>
    <row r="241" spans="1:6" s="119" customFormat="1" ht="14.25" customHeight="1">
      <c r="A241" s="93" t="s">
        <v>283</v>
      </c>
      <c r="B241" s="97" t="s">
        <v>2573</v>
      </c>
      <c r="C241" s="97"/>
      <c r="D241" s="97"/>
      <c r="E241" s="97"/>
      <c r="F241" s="130">
        <v>1000</v>
      </c>
    </row>
    <row r="242" spans="1:6" s="119" customFormat="1" ht="14.25" customHeight="1">
      <c r="A242" s="93" t="s">
        <v>283</v>
      </c>
      <c r="B242" s="97" t="s">
        <v>2577</v>
      </c>
      <c r="C242" s="97"/>
      <c r="D242" s="97"/>
      <c r="E242" s="97"/>
      <c r="F242" s="130">
        <v>980</v>
      </c>
    </row>
    <row r="243" spans="1:6" s="119" customFormat="1" ht="14.25" customHeight="1">
      <c r="A243" s="93" t="s">
        <v>283</v>
      </c>
      <c r="B243" s="97" t="s">
        <v>2581</v>
      </c>
      <c r="C243" s="97"/>
      <c r="D243" s="97"/>
      <c r="E243" s="97"/>
      <c r="F243" s="130">
        <v>970</v>
      </c>
    </row>
    <row r="244" spans="1:6" s="119" customFormat="1" ht="14.25" customHeight="1">
      <c r="A244" s="93" t="s">
        <v>283</v>
      </c>
      <c r="B244" s="108" t="s">
        <v>2585</v>
      </c>
      <c r="C244" s="108"/>
      <c r="D244" s="108"/>
      <c r="E244" s="108"/>
      <c r="F244" s="132">
        <v>970</v>
      </c>
    </row>
    <row r="245" spans="1:6" s="119" customFormat="1" ht="14.25" customHeight="1">
      <c r="A245" s="93" t="s">
        <v>286</v>
      </c>
      <c r="B245" s="94" t="s">
        <v>2277</v>
      </c>
      <c r="C245" s="94">
        <v>4050</v>
      </c>
      <c r="D245" s="94">
        <v>4020</v>
      </c>
      <c r="E245" s="94">
        <v>4160</v>
      </c>
      <c r="F245" s="127">
        <v>840</v>
      </c>
    </row>
    <row r="246" spans="1:6" s="119" customFormat="1" ht="14.25" customHeight="1">
      <c r="A246" s="93" t="s">
        <v>286</v>
      </c>
      <c r="B246" s="97" t="s">
        <v>2290</v>
      </c>
      <c r="C246" s="97">
        <v>4010</v>
      </c>
      <c r="D246" s="97">
        <v>3960</v>
      </c>
      <c r="E246" s="97">
        <v>4130</v>
      </c>
      <c r="F246" s="130">
        <v>840</v>
      </c>
    </row>
    <row r="247" spans="1:6" s="119" customFormat="1" ht="14.25" customHeight="1">
      <c r="A247" s="93" t="s">
        <v>286</v>
      </c>
      <c r="B247" s="97" t="s">
        <v>2304</v>
      </c>
      <c r="C247" s="97">
        <v>3170</v>
      </c>
      <c r="D247" s="97">
        <v>3140</v>
      </c>
      <c r="E247" s="97">
        <v>3270</v>
      </c>
      <c r="F247" s="130">
        <v>640</v>
      </c>
    </row>
    <row r="248" spans="1:6" s="119" customFormat="1" ht="14.25" customHeight="1">
      <c r="A248" s="93" t="s">
        <v>286</v>
      </c>
      <c r="B248" s="97" t="s">
        <v>2316</v>
      </c>
      <c r="C248" s="97">
        <v>3140</v>
      </c>
      <c r="D248" s="97">
        <v>3120</v>
      </c>
      <c r="E248" s="97">
        <v>3240</v>
      </c>
      <c r="F248" s="130">
        <v>620</v>
      </c>
    </row>
    <row r="249" spans="1:6" s="119" customFormat="1" ht="14.25" customHeight="1">
      <c r="A249" s="93" t="s">
        <v>286</v>
      </c>
      <c r="B249" s="97" t="s">
        <v>2328</v>
      </c>
      <c r="C249" s="97">
        <v>3200</v>
      </c>
      <c r="D249" s="97">
        <v>3100</v>
      </c>
      <c r="E249" s="97">
        <v>3230</v>
      </c>
      <c r="F249" s="130">
        <v>750</v>
      </c>
    </row>
    <row r="250" spans="1:6" s="119" customFormat="1" ht="14.25" customHeight="1">
      <c r="A250" s="93" t="s">
        <v>286</v>
      </c>
      <c r="B250" s="97" t="s">
        <v>2339</v>
      </c>
      <c r="C250" s="97">
        <v>4060</v>
      </c>
      <c r="D250" s="97">
        <v>4000</v>
      </c>
      <c r="E250" s="97">
        <v>4140</v>
      </c>
      <c r="F250" s="130">
        <v>790</v>
      </c>
    </row>
    <row r="251" spans="1:6" s="119" customFormat="1" ht="14.25" customHeight="1">
      <c r="A251" s="93" t="s">
        <v>286</v>
      </c>
      <c r="B251" s="97" t="s">
        <v>2350</v>
      </c>
      <c r="C251" s="97">
        <v>3990</v>
      </c>
      <c r="D251" s="97">
        <v>3970</v>
      </c>
      <c r="E251" s="97">
        <v>4110</v>
      </c>
      <c r="F251" s="130">
        <v>730</v>
      </c>
    </row>
    <row r="252" spans="1:6" s="119" customFormat="1" ht="14.25" customHeight="1">
      <c r="A252" s="93" t="s">
        <v>286</v>
      </c>
      <c r="B252" s="97" t="s">
        <v>2361</v>
      </c>
      <c r="C252" s="97">
        <v>3560</v>
      </c>
      <c r="D252" s="97">
        <v>3530</v>
      </c>
      <c r="E252" s="97">
        <v>3650</v>
      </c>
      <c r="F252" s="130">
        <v>750</v>
      </c>
    </row>
    <row r="253" spans="1:6" s="119" customFormat="1" ht="14.25" customHeight="1">
      <c r="A253" s="93" t="s">
        <v>286</v>
      </c>
      <c r="B253" s="97" t="s">
        <v>2371</v>
      </c>
      <c r="C253" s="97">
        <v>3780</v>
      </c>
      <c r="D253" s="97">
        <v>3750</v>
      </c>
      <c r="E253" s="97">
        <v>3870</v>
      </c>
      <c r="F253" s="130">
        <v>770</v>
      </c>
    </row>
    <row r="254" spans="1:6" s="119" customFormat="1" ht="14.25" customHeight="1">
      <c r="A254" s="93" t="s">
        <v>286</v>
      </c>
      <c r="B254" s="97" t="s">
        <v>2381</v>
      </c>
      <c r="C254" s="136"/>
      <c r="D254" s="136"/>
      <c r="E254" s="136"/>
      <c r="F254" s="130">
        <v>740</v>
      </c>
    </row>
    <row r="255" spans="1:6" s="119" customFormat="1" ht="14.25" customHeight="1">
      <c r="A255" s="93" t="s">
        <v>286</v>
      </c>
      <c r="B255" s="97" t="s">
        <v>2391</v>
      </c>
      <c r="C255" s="136"/>
      <c r="D255" s="136"/>
      <c r="E255" s="136"/>
      <c r="F255" s="130">
        <v>760</v>
      </c>
    </row>
    <row r="256" spans="1:6" s="119" customFormat="1" ht="14.25" customHeight="1">
      <c r="A256" s="93" t="s">
        <v>286</v>
      </c>
      <c r="B256" s="97" t="s">
        <v>2401</v>
      </c>
      <c r="C256" s="97">
        <v>3760</v>
      </c>
      <c r="D256" s="97">
        <v>3730</v>
      </c>
      <c r="E256" s="97">
        <v>3870</v>
      </c>
      <c r="F256" s="130">
        <v>830</v>
      </c>
    </row>
    <row r="257" spans="1:6" s="119" customFormat="1" ht="14.25" customHeight="1">
      <c r="A257" s="93" t="s">
        <v>286</v>
      </c>
      <c r="B257" s="97" t="s">
        <v>2411</v>
      </c>
      <c r="C257" s="97">
        <v>3570</v>
      </c>
      <c r="D257" s="97">
        <v>3540</v>
      </c>
      <c r="E257" s="97">
        <v>3650</v>
      </c>
      <c r="F257" s="130">
        <v>790</v>
      </c>
    </row>
    <row r="258" spans="1:6" s="119" customFormat="1" ht="14.25" customHeight="1">
      <c r="A258" s="93" t="s">
        <v>286</v>
      </c>
      <c r="B258" s="97" t="s">
        <v>2421</v>
      </c>
      <c r="C258" s="97">
        <v>3410</v>
      </c>
      <c r="D258" s="97">
        <v>3380</v>
      </c>
      <c r="E258" s="97">
        <v>3500</v>
      </c>
      <c r="F258" s="130">
        <v>830</v>
      </c>
    </row>
    <row r="259" spans="1:6" s="119" customFormat="1" ht="14.25" customHeight="1">
      <c r="A259" s="93" t="s">
        <v>286</v>
      </c>
      <c r="B259" s="97" t="s">
        <v>2431</v>
      </c>
      <c r="C259" s="97">
        <v>3870</v>
      </c>
      <c r="D259" s="97">
        <v>3840</v>
      </c>
      <c r="E259" s="97">
        <v>3970</v>
      </c>
      <c r="F259" s="130">
        <v>830</v>
      </c>
    </row>
    <row r="260" spans="1:6" s="119" customFormat="1" ht="14.25" customHeight="1">
      <c r="A260" s="93" t="s">
        <v>286</v>
      </c>
      <c r="B260" s="97" t="s">
        <v>2441</v>
      </c>
      <c r="C260" s="97">
        <v>3700</v>
      </c>
      <c r="D260" s="97">
        <v>3660</v>
      </c>
      <c r="E260" s="97">
        <v>3810</v>
      </c>
      <c r="F260" s="130">
        <v>790</v>
      </c>
    </row>
    <row r="261" spans="1:6" s="119" customFormat="1" ht="14.25" customHeight="1">
      <c r="A261" s="93" t="s">
        <v>286</v>
      </c>
      <c r="B261" s="97" t="s">
        <v>2451</v>
      </c>
      <c r="C261" s="97">
        <v>3470</v>
      </c>
      <c r="D261" s="97">
        <v>3430</v>
      </c>
      <c r="E261" s="97">
        <v>3640</v>
      </c>
      <c r="F261" s="130">
        <v>760</v>
      </c>
    </row>
    <row r="262" spans="1:6" s="119" customFormat="1" ht="14.25" customHeight="1">
      <c r="A262" s="93" t="s">
        <v>286</v>
      </c>
      <c r="B262" s="97" t="s">
        <v>2461</v>
      </c>
      <c r="C262" s="97">
        <v>3510</v>
      </c>
      <c r="D262" s="97">
        <v>3470</v>
      </c>
      <c r="E262" s="97">
        <v>3680</v>
      </c>
      <c r="F262" s="133"/>
    </row>
    <row r="263" spans="1:6" s="119" customFormat="1" ht="14.25" customHeight="1">
      <c r="A263" s="93" t="s">
        <v>286</v>
      </c>
      <c r="B263" s="97" t="s">
        <v>2471</v>
      </c>
      <c r="C263" s="97">
        <v>3960</v>
      </c>
      <c r="D263" s="97">
        <v>3930</v>
      </c>
      <c r="E263" s="97">
        <v>4070</v>
      </c>
      <c r="F263" s="130">
        <v>830</v>
      </c>
    </row>
    <row r="264" spans="1:6" s="119" customFormat="1" ht="14.25" customHeight="1">
      <c r="A264" s="93" t="s">
        <v>286</v>
      </c>
      <c r="B264" s="97" t="s">
        <v>2480</v>
      </c>
      <c r="C264" s="97">
        <v>4010</v>
      </c>
      <c r="D264" s="97">
        <v>3980</v>
      </c>
      <c r="E264" s="97">
        <v>4150</v>
      </c>
      <c r="F264" s="130">
        <v>760</v>
      </c>
    </row>
    <row r="265" spans="1:6" s="119" customFormat="1" ht="14.25" customHeight="1">
      <c r="A265" s="93" t="s">
        <v>286</v>
      </c>
      <c r="B265" s="97" t="s">
        <v>2488</v>
      </c>
      <c r="C265" s="97">
        <v>3910</v>
      </c>
      <c r="D265" s="97">
        <v>3890</v>
      </c>
      <c r="E265" s="97">
        <v>4040</v>
      </c>
      <c r="F265" s="130">
        <v>780</v>
      </c>
    </row>
    <row r="266" spans="1:6" s="119" customFormat="1" ht="14.25" customHeight="1">
      <c r="A266" s="93" t="s">
        <v>286</v>
      </c>
      <c r="B266" s="97" t="s">
        <v>2496</v>
      </c>
      <c r="C266" s="97">
        <v>3930</v>
      </c>
      <c r="D266" s="97">
        <v>3900</v>
      </c>
      <c r="E266" s="97">
        <v>4080</v>
      </c>
      <c r="F266" s="130">
        <v>770</v>
      </c>
    </row>
    <row r="267" spans="1:6" s="119" customFormat="1" ht="14.25" customHeight="1">
      <c r="A267" s="93" t="s">
        <v>286</v>
      </c>
      <c r="B267" s="97" t="s">
        <v>2503</v>
      </c>
      <c r="C267" s="97">
        <v>3800</v>
      </c>
      <c r="D267" s="97">
        <v>3780</v>
      </c>
      <c r="E267" s="97">
        <v>3930</v>
      </c>
      <c r="F267" s="133"/>
    </row>
    <row r="268" spans="1:6" s="119" customFormat="1" ht="14.25" customHeight="1">
      <c r="A268" s="93" t="s">
        <v>286</v>
      </c>
      <c r="B268" s="97" t="s">
        <v>2510</v>
      </c>
      <c r="C268" s="97">
        <v>3460</v>
      </c>
      <c r="D268" s="97">
        <v>3430</v>
      </c>
      <c r="E268" s="97">
        <v>3560</v>
      </c>
      <c r="F268" s="130">
        <v>840</v>
      </c>
    </row>
    <row r="269" spans="1:6" s="119" customFormat="1" ht="14.25" customHeight="1">
      <c r="A269" s="93" t="s">
        <v>286</v>
      </c>
      <c r="B269" s="97" t="s">
        <v>2517</v>
      </c>
      <c r="C269" s="97">
        <v>3210</v>
      </c>
      <c r="D269" s="97">
        <v>3190</v>
      </c>
      <c r="E269" s="97">
        <v>3310</v>
      </c>
      <c r="F269" s="130">
        <v>730</v>
      </c>
    </row>
    <row r="270" spans="1:6" s="119" customFormat="1" ht="14.25" customHeight="1">
      <c r="A270" s="93" t="s">
        <v>286</v>
      </c>
      <c r="B270" s="97" t="s">
        <v>2524</v>
      </c>
      <c r="C270" s="97">
        <v>3240</v>
      </c>
      <c r="D270" s="97">
        <v>3210</v>
      </c>
      <c r="E270" s="97">
        <v>3390</v>
      </c>
      <c r="F270" s="130">
        <v>820</v>
      </c>
    </row>
    <row r="271" spans="1:6" s="119" customFormat="1" ht="14.25" customHeight="1">
      <c r="A271" s="93" t="s">
        <v>286</v>
      </c>
      <c r="B271" s="97" t="s">
        <v>2531</v>
      </c>
      <c r="C271" s="97">
        <v>3300</v>
      </c>
      <c r="D271" s="97">
        <v>3270</v>
      </c>
      <c r="E271" s="97">
        <v>3380</v>
      </c>
      <c r="F271" s="130">
        <v>750</v>
      </c>
    </row>
    <row r="272" spans="1:6" s="119" customFormat="1" ht="14.25" customHeight="1">
      <c r="A272" s="93" t="s">
        <v>286</v>
      </c>
      <c r="B272" s="97" t="s">
        <v>2536</v>
      </c>
      <c r="C272" s="136"/>
      <c r="D272" s="136"/>
      <c r="E272" s="136"/>
      <c r="F272" s="130">
        <v>740</v>
      </c>
    </row>
    <row r="273" spans="1:6" s="119" customFormat="1" ht="14.25" customHeight="1">
      <c r="A273" s="93" t="s">
        <v>286</v>
      </c>
      <c r="B273" s="97" t="s">
        <v>2541</v>
      </c>
      <c r="C273" s="97">
        <v>3130</v>
      </c>
      <c r="D273" s="97">
        <v>3100</v>
      </c>
      <c r="E273" s="97">
        <v>3230</v>
      </c>
      <c r="F273" s="130">
        <v>700</v>
      </c>
    </row>
    <row r="274" spans="1:6" s="119" customFormat="1" ht="14.25" customHeight="1">
      <c r="A274" s="93" t="s">
        <v>286</v>
      </c>
      <c r="B274" s="97" t="s">
        <v>2546</v>
      </c>
      <c r="C274" s="97">
        <v>3460</v>
      </c>
      <c r="D274" s="97">
        <v>3430</v>
      </c>
      <c r="E274" s="97">
        <v>3560</v>
      </c>
      <c r="F274" s="130">
        <v>690</v>
      </c>
    </row>
    <row r="275" spans="1:6" s="119" customFormat="1" ht="14.25" customHeight="1">
      <c r="A275" s="93" t="s">
        <v>286</v>
      </c>
      <c r="B275" s="97" t="s">
        <v>2551</v>
      </c>
      <c r="C275" s="97">
        <v>4040</v>
      </c>
      <c r="D275" s="97">
        <v>4020</v>
      </c>
      <c r="E275" s="97">
        <v>4160</v>
      </c>
      <c r="F275" s="130">
        <v>820</v>
      </c>
    </row>
    <row r="276" spans="1:6" s="119" customFormat="1" ht="14.25" customHeight="1">
      <c r="A276" s="93" t="s">
        <v>286</v>
      </c>
      <c r="B276" s="97" t="s">
        <v>2556</v>
      </c>
      <c r="C276" s="97">
        <v>3270</v>
      </c>
      <c r="D276" s="97">
        <v>3240</v>
      </c>
      <c r="E276" s="97">
        <v>3350</v>
      </c>
      <c r="F276" s="130">
        <v>680</v>
      </c>
    </row>
    <row r="277" spans="1:6" s="119" customFormat="1" ht="14.25" customHeight="1">
      <c r="A277" s="93" t="s">
        <v>286</v>
      </c>
      <c r="B277" s="97" t="s">
        <v>2561</v>
      </c>
      <c r="C277" s="97">
        <v>2930</v>
      </c>
      <c r="D277" s="97">
        <v>2900</v>
      </c>
      <c r="E277" s="97">
        <v>3000</v>
      </c>
      <c r="F277" s="130">
        <v>640</v>
      </c>
    </row>
    <row r="278" spans="1:6" s="119" customFormat="1" ht="14.25" customHeight="1">
      <c r="A278" s="93" t="s">
        <v>286</v>
      </c>
      <c r="B278" s="97" t="s">
        <v>2566</v>
      </c>
      <c r="C278" s="97">
        <v>4080</v>
      </c>
      <c r="D278" s="97">
        <v>4030</v>
      </c>
      <c r="E278" s="97">
        <v>4140</v>
      </c>
      <c r="F278" s="130">
        <v>850</v>
      </c>
    </row>
    <row r="279" spans="1:6" s="119" customFormat="1" ht="14.25" customHeight="1">
      <c r="A279" s="93" t="s">
        <v>286</v>
      </c>
      <c r="B279" s="97" t="s">
        <v>2570</v>
      </c>
      <c r="C279" s="97"/>
      <c r="D279" s="97"/>
      <c r="E279" s="97"/>
      <c r="F279" s="130">
        <v>760</v>
      </c>
    </row>
    <row r="280" spans="1:6" s="119" customFormat="1" ht="14.25" customHeight="1">
      <c r="A280" s="93" t="s">
        <v>286</v>
      </c>
      <c r="B280" s="97" t="s">
        <v>2574</v>
      </c>
      <c r="C280" s="97"/>
      <c r="D280" s="97"/>
      <c r="E280" s="97"/>
      <c r="F280" s="130">
        <v>760</v>
      </c>
    </row>
    <row r="281" spans="1:6" s="119" customFormat="1" ht="14.25" customHeight="1">
      <c r="A281" s="93" t="s">
        <v>286</v>
      </c>
      <c r="B281" s="97" t="s">
        <v>2578</v>
      </c>
      <c r="C281" s="97"/>
      <c r="D281" s="97"/>
      <c r="E281" s="97"/>
      <c r="F281" s="130">
        <v>780</v>
      </c>
    </row>
    <row r="282" spans="1:6" s="119" customFormat="1" ht="14.25" customHeight="1">
      <c r="A282" s="93" t="s">
        <v>286</v>
      </c>
      <c r="B282" s="97" t="s">
        <v>2582</v>
      </c>
      <c r="C282" s="97"/>
      <c r="D282" s="97"/>
      <c r="E282" s="97"/>
      <c r="F282" s="130">
        <v>730</v>
      </c>
    </row>
    <row r="283" spans="1:6" s="119" customFormat="1" ht="14.25" customHeight="1">
      <c r="A283" s="93" t="s">
        <v>286</v>
      </c>
      <c r="B283" s="97" t="s">
        <v>2586</v>
      </c>
      <c r="C283" s="97"/>
      <c r="D283" s="97"/>
      <c r="E283" s="97"/>
      <c r="F283" s="130">
        <v>770</v>
      </c>
    </row>
    <row r="284" spans="1:6" s="119" customFormat="1" ht="14.25" customHeight="1">
      <c r="A284" s="93" t="s">
        <v>286</v>
      </c>
      <c r="B284" s="97" t="s">
        <v>2589</v>
      </c>
      <c r="C284" s="97"/>
      <c r="D284" s="97"/>
      <c r="E284" s="97"/>
      <c r="F284" s="130">
        <v>640</v>
      </c>
    </row>
    <row r="285" spans="1:6" s="119" customFormat="1" ht="14.25" customHeight="1">
      <c r="A285" s="93" t="s">
        <v>286</v>
      </c>
      <c r="B285" s="97" t="s">
        <v>2592</v>
      </c>
      <c r="C285" s="97"/>
      <c r="D285" s="97"/>
      <c r="E285" s="97"/>
      <c r="F285" s="130">
        <v>640</v>
      </c>
    </row>
    <row r="286" spans="1:6" s="119" customFormat="1" ht="14.25" customHeight="1">
      <c r="A286" s="93" t="s">
        <v>286</v>
      </c>
      <c r="B286" s="97" t="s">
        <v>2595</v>
      </c>
      <c r="C286" s="97"/>
      <c r="D286" s="97"/>
      <c r="E286" s="97"/>
      <c r="F286" s="130">
        <v>850</v>
      </c>
    </row>
    <row r="287" spans="1:6" s="119" customFormat="1" ht="14.25" customHeight="1">
      <c r="A287" s="93" t="s">
        <v>286</v>
      </c>
      <c r="B287" s="97" t="s">
        <v>2598</v>
      </c>
      <c r="C287" s="97"/>
      <c r="D287" s="97"/>
      <c r="E287" s="97"/>
      <c r="F287" s="130">
        <v>760</v>
      </c>
    </row>
    <row r="288" spans="1:6" s="119" customFormat="1" ht="14.25" customHeight="1">
      <c r="A288" s="93" t="s">
        <v>286</v>
      </c>
      <c r="B288" s="97" t="s">
        <v>2601</v>
      </c>
      <c r="C288" s="97"/>
      <c r="D288" s="97"/>
      <c r="E288" s="97"/>
      <c r="F288" s="130">
        <v>830</v>
      </c>
    </row>
    <row r="289" spans="1:6" s="119" customFormat="1" ht="14.25" customHeight="1">
      <c r="A289" s="93" t="s">
        <v>286</v>
      </c>
      <c r="B289" s="108" t="s">
        <v>2604</v>
      </c>
      <c r="C289" s="108"/>
      <c r="D289" s="108"/>
      <c r="E289" s="108"/>
      <c r="F289" s="132">
        <v>680</v>
      </c>
    </row>
    <row r="290" spans="1:6" s="119" customFormat="1" ht="14.25" customHeight="1">
      <c r="A290" s="93" t="s">
        <v>289</v>
      </c>
      <c r="B290" s="94" t="s">
        <v>2278</v>
      </c>
      <c r="C290" s="94">
        <v>2770</v>
      </c>
      <c r="D290" s="94">
        <v>2740</v>
      </c>
      <c r="E290" s="94">
        <v>2720</v>
      </c>
      <c r="F290" s="137"/>
    </row>
    <row r="291" spans="1:6" s="119" customFormat="1" ht="14.25" customHeight="1">
      <c r="A291" s="93" t="s">
        <v>289</v>
      </c>
      <c r="B291" s="97" t="s">
        <v>2291</v>
      </c>
      <c r="C291" s="97">
        <v>2670</v>
      </c>
      <c r="D291" s="97">
        <v>2640</v>
      </c>
      <c r="E291" s="97">
        <v>2620</v>
      </c>
      <c r="F291" s="133"/>
    </row>
    <row r="292" spans="1:6" s="119" customFormat="1" ht="14.25" customHeight="1">
      <c r="A292" s="93" t="s">
        <v>289</v>
      </c>
      <c r="B292" s="97" t="s">
        <v>2305</v>
      </c>
      <c r="C292" s="97">
        <v>2180</v>
      </c>
      <c r="D292" s="97">
        <v>2140</v>
      </c>
      <c r="E292" s="97">
        <v>2120</v>
      </c>
      <c r="F292" s="130">
        <v>490</v>
      </c>
    </row>
    <row r="293" spans="1:6" s="119" customFormat="1" ht="14.25" customHeight="1">
      <c r="A293" s="93" t="s">
        <v>289</v>
      </c>
      <c r="B293" s="97" t="s">
        <v>2611</v>
      </c>
      <c r="C293" s="97"/>
      <c r="D293" s="97"/>
      <c r="E293" s="97"/>
      <c r="F293" s="130">
        <v>470</v>
      </c>
    </row>
    <row r="294" spans="1:6" s="119" customFormat="1" ht="14.25" customHeight="1">
      <c r="A294" s="93" t="s">
        <v>289</v>
      </c>
      <c r="B294" s="97" t="s">
        <v>2317</v>
      </c>
      <c r="C294" s="97">
        <v>2730</v>
      </c>
      <c r="D294" s="97">
        <v>2700</v>
      </c>
      <c r="E294" s="97">
        <v>2680</v>
      </c>
      <c r="F294" s="130">
        <v>490</v>
      </c>
    </row>
    <row r="295" spans="1:6" s="119" customFormat="1" ht="14.25" customHeight="1">
      <c r="A295" s="93" t="s">
        <v>289</v>
      </c>
      <c r="B295" s="97" t="s">
        <v>2329</v>
      </c>
      <c r="C295" s="97">
        <v>2380</v>
      </c>
      <c r="D295" s="97">
        <v>2350</v>
      </c>
      <c r="E295" s="97">
        <v>2330</v>
      </c>
      <c r="F295" s="130">
        <v>530</v>
      </c>
    </row>
    <row r="296" spans="1:6" s="119" customFormat="1" ht="14.25" customHeight="1">
      <c r="A296" s="93" t="s">
        <v>289</v>
      </c>
      <c r="B296" s="97" t="s">
        <v>2340</v>
      </c>
      <c r="C296" s="97">
        <v>2650</v>
      </c>
      <c r="D296" s="97">
        <v>2620</v>
      </c>
      <c r="E296" s="97">
        <v>2590</v>
      </c>
      <c r="F296" s="130">
        <v>590</v>
      </c>
    </row>
    <row r="297" spans="1:6" s="119" customFormat="1" ht="14.25" customHeight="1">
      <c r="A297" s="93" t="s">
        <v>289</v>
      </c>
      <c r="B297" s="97" t="s">
        <v>2351</v>
      </c>
      <c r="C297" s="97">
        <v>2700</v>
      </c>
      <c r="D297" s="97">
        <v>2670</v>
      </c>
      <c r="E297" s="97">
        <v>2650</v>
      </c>
      <c r="F297" s="130">
        <v>630</v>
      </c>
    </row>
    <row r="298" spans="1:6" s="119" customFormat="1" ht="14.25" customHeight="1">
      <c r="A298" s="93" t="s">
        <v>289</v>
      </c>
      <c r="B298" s="97" t="s">
        <v>2362</v>
      </c>
      <c r="C298" s="97">
        <v>2650</v>
      </c>
      <c r="D298" s="97">
        <v>2620</v>
      </c>
      <c r="E298" s="97">
        <v>2590</v>
      </c>
      <c r="F298" s="130">
        <v>640</v>
      </c>
    </row>
    <row r="299" spans="1:6" s="119" customFormat="1" ht="14.25" customHeight="1">
      <c r="A299" s="93" t="s">
        <v>289</v>
      </c>
      <c r="B299" s="97" t="s">
        <v>2372</v>
      </c>
      <c r="C299" s="97">
        <v>2500</v>
      </c>
      <c r="D299" s="97">
        <v>2480</v>
      </c>
      <c r="E299" s="97">
        <v>2460</v>
      </c>
      <c r="F299" s="133"/>
    </row>
    <row r="300" spans="1:6" s="119" customFormat="1" ht="14.25" customHeight="1">
      <c r="A300" s="93" t="s">
        <v>289</v>
      </c>
      <c r="B300" s="97" t="s">
        <v>2382</v>
      </c>
      <c r="C300" s="97">
        <v>2760</v>
      </c>
      <c r="D300" s="97">
        <v>2730</v>
      </c>
      <c r="E300" s="97">
        <v>2700</v>
      </c>
      <c r="F300" s="130">
        <v>630</v>
      </c>
    </row>
    <row r="301" spans="1:6" s="119" customFormat="1" ht="14.25" customHeight="1">
      <c r="A301" s="93" t="s">
        <v>289</v>
      </c>
      <c r="B301" s="97" t="s">
        <v>2392</v>
      </c>
      <c r="C301" s="97">
        <v>2510</v>
      </c>
      <c r="D301" s="97">
        <v>2480</v>
      </c>
      <c r="E301" s="97">
        <v>2460</v>
      </c>
      <c r="F301" s="133"/>
    </row>
    <row r="302" spans="1:6" s="119" customFormat="1" ht="14.25" customHeight="1">
      <c r="A302" s="93" t="s">
        <v>289</v>
      </c>
      <c r="B302" s="97" t="s">
        <v>2402</v>
      </c>
      <c r="C302" s="97">
        <v>2480</v>
      </c>
      <c r="D302" s="97">
        <v>2450</v>
      </c>
      <c r="E302" s="97">
        <v>2420</v>
      </c>
      <c r="F302" s="130">
        <v>600</v>
      </c>
    </row>
    <row r="303" spans="1:6" s="119" customFormat="1" ht="14.25" customHeight="1">
      <c r="A303" s="93" t="s">
        <v>289</v>
      </c>
      <c r="B303" s="97" t="s">
        <v>2412</v>
      </c>
      <c r="C303" s="97">
        <v>2270</v>
      </c>
      <c r="D303" s="97">
        <v>2240</v>
      </c>
      <c r="E303" s="97">
        <v>2210</v>
      </c>
      <c r="F303" s="130">
        <v>540</v>
      </c>
    </row>
    <row r="304" spans="1:6" s="119" customFormat="1" ht="14.25" customHeight="1">
      <c r="A304" s="93" t="s">
        <v>289</v>
      </c>
      <c r="B304" s="97" t="s">
        <v>2422</v>
      </c>
      <c r="C304" s="97">
        <v>2310</v>
      </c>
      <c r="D304" s="97">
        <v>2290</v>
      </c>
      <c r="E304" s="97">
        <v>2270</v>
      </c>
      <c r="F304" s="133"/>
    </row>
    <row r="305" spans="1:6" s="119" customFormat="1" ht="14.25" customHeight="1">
      <c r="A305" s="93" t="s">
        <v>289</v>
      </c>
      <c r="B305" s="97" t="s">
        <v>2432</v>
      </c>
      <c r="C305" s="97">
        <v>2490</v>
      </c>
      <c r="D305" s="97">
        <v>2470</v>
      </c>
      <c r="E305" s="97">
        <v>2440</v>
      </c>
      <c r="F305" s="130">
        <v>560</v>
      </c>
    </row>
    <row r="306" spans="1:6" s="119" customFormat="1" ht="14.25" customHeight="1">
      <c r="A306" s="93" t="s">
        <v>289</v>
      </c>
      <c r="B306" s="97" t="s">
        <v>2442</v>
      </c>
      <c r="C306" s="97">
        <v>2420</v>
      </c>
      <c r="D306" s="97">
        <v>2400</v>
      </c>
      <c r="E306" s="97">
        <v>2380</v>
      </c>
      <c r="F306" s="133"/>
    </row>
    <row r="307" spans="1:6" s="119" customFormat="1" ht="14.25" customHeight="1">
      <c r="A307" s="93" t="s">
        <v>289</v>
      </c>
      <c r="B307" s="97" t="s">
        <v>2452</v>
      </c>
      <c r="C307" s="97">
        <v>2770</v>
      </c>
      <c r="D307" s="97">
        <v>2740</v>
      </c>
      <c r="E307" s="97">
        <v>2710</v>
      </c>
      <c r="F307" s="130">
        <v>650</v>
      </c>
    </row>
    <row r="308" spans="1:6" s="119" customFormat="1" ht="14.25" customHeight="1">
      <c r="A308" s="93" t="s">
        <v>289</v>
      </c>
      <c r="B308" s="97" t="s">
        <v>2462</v>
      </c>
      <c r="C308" s="97">
        <v>2610</v>
      </c>
      <c r="D308" s="97">
        <v>2580</v>
      </c>
      <c r="E308" s="97">
        <v>2550</v>
      </c>
      <c r="F308" s="130">
        <v>580</v>
      </c>
    </row>
    <row r="309" spans="1:6" s="119" customFormat="1" ht="14.25" customHeight="1">
      <c r="A309" s="93" t="s">
        <v>289</v>
      </c>
      <c r="B309" s="97" t="s">
        <v>2472</v>
      </c>
      <c r="C309" s="97">
        <v>2690</v>
      </c>
      <c r="D309" s="97">
        <v>2670</v>
      </c>
      <c r="E309" s="97">
        <v>2650</v>
      </c>
      <c r="F309" s="133"/>
    </row>
    <row r="310" spans="1:6" s="119" customFormat="1" ht="14.25" customHeight="1">
      <c r="A310" s="93" t="s">
        <v>289</v>
      </c>
      <c r="B310" s="97" t="s">
        <v>2481</v>
      </c>
      <c r="C310" s="97">
        <v>2360</v>
      </c>
      <c r="D310" s="97">
        <v>2330</v>
      </c>
      <c r="E310" s="97">
        <v>2310</v>
      </c>
      <c r="F310" s="130">
        <v>560</v>
      </c>
    </row>
    <row r="311" spans="1:6" s="119" customFormat="1" ht="14.25" customHeight="1">
      <c r="A311" s="93" t="s">
        <v>289</v>
      </c>
      <c r="B311" s="97" t="s">
        <v>2489</v>
      </c>
      <c r="C311" s="97">
        <v>1970</v>
      </c>
      <c r="D311" s="97">
        <v>1950</v>
      </c>
      <c r="E311" s="97">
        <v>1920</v>
      </c>
      <c r="F311" s="130">
        <v>470</v>
      </c>
    </row>
    <row r="312" spans="1:6" s="119" customFormat="1" ht="14.25" customHeight="1">
      <c r="A312" s="93" t="s">
        <v>289</v>
      </c>
      <c r="B312" s="97" t="s">
        <v>2497</v>
      </c>
      <c r="C312" s="97">
        <v>2230</v>
      </c>
      <c r="D312" s="97">
        <v>2200</v>
      </c>
      <c r="E312" s="97">
        <v>2170</v>
      </c>
      <c r="F312" s="130">
        <v>460</v>
      </c>
    </row>
    <row r="313" spans="1:6" s="119" customFormat="1" ht="14.25" customHeight="1">
      <c r="A313" s="93" t="s">
        <v>289</v>
      </c>
      <c r="B313" s="97" t="s">
        <v>2504</v>
      </c>
      <c r="C313" s="97">
        <v>2770</v>
      </c>
      <c r="D313" s="97">
        <v>2740</v>
      </c>
      <c r="E313" s="97">
        <v>2710</v>
      </c>
      <c r="F313" s="130">
        <v>610</v>
      </c>
    </row>
    <row r="314" spans="1:6" s="119" customFormat="1" ht="14.25" customHeight="1">
      <c r="A314" s="93" t="s">
        <v>289</v>
      </c>
      <c r="B314" s="97" t="s">
        <v>2511</v>
      </c>
      <c r="C314" s="97"/>
      <c r="D314" s="97"/>
      <c r="E314" s="97"/>
      <c r="F314" s="130">
        <v>490</v>
      </c>
    </row>
    <row r="315" spans="1:6" s="119" customFormat="1" ht="14.25" customHeight="1">
      <c r="A315" s="93" t="s">
        <v>289</v>
      </c>
      <c r="B315" s="97" t="s">
        <v>2518</v>
      </c>
      <c r="C315" s="97"/>
      <c r="D315" s="97"/>
      <c r="E315" s="97"/>
      <c r="F315" s="130">
        <v>520</v>
      </c>
    </row>
    <row r="316" spans="1:6" s="119" customFormat="1" ht="14.25" customHeight="1">
      <c r="A316" s="93" t="s">
        <v>289</v>
      </c>
      <c r="B316" s="108" t="s">
        <v>2525</v>
      </c>
      <c r="C316" s="108"/>
      <c r="D316" s="108"/>
      <c r="E316" s="108"/>
      <c r="F316" s="132">
        <v>460</v>
      </c>
    </row>
    <row r="317" spans="1:6" s="119" customFormat="1" ht="14.25" customHeight="1">
      <c r="A317" s="93" t="s">
        <v>292</v>
      </c>
      <c r="B317" s="94" t="s">
        <v>2279</v>
      </c>
      <c r="C317" s="94">
        <v>1200</v>
      </c>
      <c r="D317" s="94">
        <v>1180</v>
      </c>
      <c r="E317" s="94">
        <v>1160</v>
      </c>
      <c r="F317" s="127">
        <v>370</v>
      </c>
    </row>
    <row r="318" spans="1:6" s="119" customFormat="1" ht="14.25" customHeight="1">
      <c r="A318" s="93" t="s">
        <v>292</v>
      </c>
      <c r="B318" s="97" t="s">
        <v>2292</v>
      </c>
      <c r="C318" s="97">
        <v>1090</v>
      </c>
      <c r="D318" s="97">
        <v>1060</v>
      </c>
      <c r="E318" s="97">
        <v>1040</v>
      </c>
      <c r="F318" s="133"/>
    </row>
    <row r="319" spans="1:6" s="119" customFormat="1" ht="14.25" customHeight="1">
      <c r="A319" s="93" t="s">
        <v>292</v>
      </c>
      <c r="B319" s="97" t="s">
        <v>2306</v>
      </c>
      <c r="C319" s="97">
        <v>1520</v>
      </c>
      <c r="D319" s="97">
        <v>1470</v>
      </c>
      <c r="E319" s="97">
        <v>1440</v>
      </c>
      <c r="F319" s="130">
        <v>370</v>
      </c>
    </row>
    <row r="320" spans="1:6" s="119" customFormat="1" ht="14.25" customHeight="1">
      <c r="A320" s="93" t="s">
        <v>292</v>
      </c>
      <c r="B320" s="97" t="s">
        <v>2318</v>
      </c>
      <c r="C320" s="97">
        <v>1360</v>
      </c>
      <c r="D320" s="97">
        <v>1300</v>
      </c>
      <c r="E320" s="97">
        <v>1270</v>
      </c>
      <c r="F320" s="133"/>
    </row>
    <row r="321" spans="1:6" s="119" customFormat="1" ht="14.25" customHeight="1">
      <c r="A321" s="93" t="s">
        <v>292</v>
      </c>
      <c r="B321" s="97" t="s">
        <v>2330</v>
      </c>
      <c r="C321" s="97">
        <v>1750</v>
      </c>
      <c r="D321" s="97">
        <v>1690</v>
      </c>
      <c r="E321" s="97">
        <v>1660</v>
      </c>
      <c r="F321" s="133"/>
    </row>
    <row r="322" spans="1:6" s="119" customFormat="1" ht="14.25" customHeight="1">
      <c r="A322" s="93" t="s">
        <v>292</v>
      </c>
      <c r="B322" s="97" t="s">
        <v>2341</v>
      </c>
      <c r="C322" s="97">
        <v>1650</v>
      </c>
      <c r="D322" s="97">
        <v>1610</v>
      </c>
      <c r="E322" s="97">
        <v>1580</v>
      </c>
      <c r="F322" s="130">
        <v>500</v>
      </c>
    </row>
    <row r="323" spans="1:6" s="119" customFormat="1" ht="14.25" customHeight="1">
      <c r="A323" s="93" t="s">
        <v>292</v>
      </c>
      <c r="B323" s="97" t="s">
        <v>2352</v>
      </c>
      <c r="C323" s="97">
        <v>1780</v>
      </c>
      <c r="D323" s="97">
        <v>1740</v>
      </c>
      <c r="E323" s="97">
        <v>1720</v>
      </c>
      <c r="F323" s="133"/>
    </row>
    <row r="324" spans="1:6" s="119" customFormat="1" ht="14.25" customHeight="1">
      <c r="A324" s="93" t="s">
        <v>292</v>
      </c>
      <c r="B324" s="97" t="s">
        <v>2363</v>
      </c>
      <c r="C324" s="97">
        <v>1650</v>
      </c>
      <c r="D324" s="97">
        <v>1610</v>
      </c>
      <c r="E324" s="97">
        <v>1580</v>
      </c>
      <c r="F324" s="133"/>
    </row>
    <row r="325" spans="1:6" s="119" customFormat="1" ht="14.25" customHeight="1">
      <c r="A325" s="93" t="s">
        <v>292</v>
      </c>
      <c r="B325" s="97" t="s">
        <v>2373</v>
      </c>
      <c r="C325" s="97">
        <v>1330</v>
      </c>
      <c r="D325" s="97">
        <v>1270</v>
      </c>
      <c r="E325" s="97">
        <v>1240</v>
      </c>
      <c r="F325" s="130">
        <v>430</v>
      </c>
    </row>
    <row r="326" spans="1:6" s="119" customFormat="1" ht="14.25" customHeight="1">
      <c r="A326" s="93" t="s">
        <v>292</v>
      </c>
      <c r="B326" s="97" t="s">
        <v>2383</v>
      </c>
      <c r="C326" s="97">
        <v>1470</v>
      </c>
      <c r="D326" s="97">
        <v>1430</v>
      </c>
      <c r="E326" s="97">
        <v>1400</v>
      </c>
      <c r="F326" s="133"/>
    </row>
    <row r="327" spans="1:6" s="119" customFormat="1" ht="14.25" customHeight="1">
      <c r="A327" s="93" t="s">
        <v>292</v>
      </c>
      <c r="B327" s="97" t="s">
        <v>2393</v>
      </c>
      <c r="C327" s="97">
        <v>1420</v>
      </c>
      <c r="D327" s="97">
        <v>1380</v>
      </c>
      <c r="E327" s="97">
        <v>1360</v>
      </c>
      <c r="F327" s="130">
        <v>420</v>
      </c>
    </row>
    <row r="328" spans="1:6" s="119" customFormat="1" ht="14.25" customHeight="1">
      <c r="A328" s="93" t="s">
        <v>292</v>
      </c>
      <c r="B328" s="97" t="s">
        <v>2403</v>
      </c>
      <c r="C328" s="97">
        <v>1400</v>
      </c>
      <c r="D328" s="97">
        <v>1360</v>
      </c>
      <c r="E328" s="97">
        <v>1330</v>
      </c>
      <c r="F328" s="130">
        <v>460</v>
      </c>
    </row>
    <row r="329" spans="1:6" s="119" customFormat="1" ht="14.25" customHeight="1">
      <c r="A329" s="93" t="s">
        <v>292</v>
      </c>
      <c r="B329" s="97" t="s">
        <v>2413</v>
      </c>
      <c r="C329" s="97">
        <v>1640</v>
      </c>
      <c r="D329" s="97">
        <v>1610</v>
      </c>
      <c r="E329" s="97">
        <v>1580</v>
      </c>
      <c r="F329" s="130">
        <v>410</v>
      </c>
    </row>
    <row r="330" spans="1:6" s="119" customFormat="1" ht="14.25" customHeight="1">
      <c r="A330" s="93" t="s">
        <v>292</v>
      </c>
      <c r="B330" s="97" t="s">
        <v>2423</v>
      </c>
      <c r="C330" s="97">
        <v>1260</v>
      </c>
      <c r="D330" s="97">
        <v>1220</v>
      </c>
      <c r="E330" s="97">
        <v>1200</v>
      </c>
      <c r="F330" s="133"/>
    </row>
    <row r="331" spans="1:6" s="119" customFormat="1" ht="14.25" customHeight="1">
      <c r="A331" s="93" t="s">
        <v>292</v>
      </c>
      <c r="B331" s="97" t="s">
        <v>2433</v>
      </c>
      <c r="C331" s="97">
        <v>1620</v>
      </c>
      <c r="D331" s="97">
        <v>1560</v>
      </c>
      <c r="E331" s="97">
        <v>1530</v>
      </c>
      <c r="F331" s="130">
        <v>490</v>
      </c>
    </row>
    <row r="332" spans="1:6" s="119" customFormat="1" ht="14.25" customHeight="1">
      <c r="A332" s="93" t="s">
        <v>292</v>
      </c>
      <c r="B332" s="97" t="s">
        <v>2443</v>
      </c>
      <c r="C332" s="97">
        <v>1520</v>
      </c>
      <c r="D332" s="97">
        <v>1470</v>
      </c>
      <c r="E332" s="97">
        <v>1440</v>
      </c>
      <c r="F332" s="130">
        <v>440</v>
      </c>
    </row>
    <row r="333" spans="1:6" s="119" customFormat="1" ht="14.25" customHeight="1">
      <c r="A333" s="93" t="s">
        <v>292</v>
      </c>
      <c r="B333" s="97" t="s">
        <v>2453</v>
      </c>
      <c r="C333" s="97">
        <v>1370</v>
      </c>
      <c r="D333" s="97">
        <v>1320</v>
      </c>
      <c r="E333" s="97">
        <v>1300</v>
      </c>
      <c r="F333" s="130">
        <v>460</v>
      </c>
    </row>
    <row r="334" spans="1:6" s="119" customFormat="1" ht="14.25" customHeight="1">
      <c r="A334" s="93" t="s">
        <v>292</v>
      </c>
      <c r="B334" s="97" t="s">
        <v>2463</v>
      </c>
      <c r="C334" s="97">
        <v>1410</v>
      </c>
      <c r="D334" s="97">
        <v>1340</v>
      </c>
      <c r="E334" s="97">
        <v>1310</v>
      </c>
      <c r="F334" s="130">
        <v>410</v>
      </c>
    </row>
    <row r="335" spans="1:6" s="119" customFormat="1" ht="14.25" customHeight="1">
      <c r="A335" s="93" t="s">
        <v>292</v>
      </c>
      <c r="B335" s="97" t="s">
        <v>2473</v>
      </c>
      <c r="C335" s="97">
        <v>1260</v>
      </c>
      <c r="D335" s="97">
        <v>1220</v>
      </c>
      <c r="E335" s="97">
        <v>1200</v>
      </c>
      <c r="F335" s="133"/>
    </row>
    <row r="336" spans="1:6" s="119" customFormat="1" ht="14.25" customHeight="1">
      <c r="A336" s="93" t="s">
        <v>292</v>
      </c>
      <c r="B336" s="97" t="s">
        <v>2482</v>
      </c>
      <c r="C336" s="97">
        <v>1160</v>
      </c>
      <c r="D336" s="97">
        <v>1140</v>
      </c>
      <c r="E336" s="97">
        <v>1120</v>
      </c>
      <c r="F336" s="130">
        <v>430</v>
      </c>
    </row>
    <row r="337" spans="1:6" s="119" customFormat="1" ht="14.25" customHeight="1">
      <c r="A337" s="93" t="s">
        <v>292</v>
      </c>
      <c r="B337" s="108" t="s">
        <v>2490</v>
      </c>
      <c r="C337" s="108"/>
      <c r="D337" s="108"/>
      <c r="E337" s="108"/>
      <c r="F337" s="132">
        <v>380</v>
      </c>
    </row>
    <row r="338" spans="1:6" s="119" customFormat="1" ht="14.25" customHeight="1">
      <c r="A338" s="93" t="s">
        <v>295</v>
      </c>
      <c r="B338" s="94" t="s">
        <v>2280</v>
      </c>
      <c r="C338" s="94">
        <v>880</v>
      </c>
      <c r="D338" s="94">
        <v>850</v>
      </c>
      <c r="E338" s="94">
        <v>830</v>
      </c>
      <c r="F338" s="137"/>
    </row>
    <row r="339" spans="1:6" s="119" customFormat="1" ht="14.25" customHeight="1">
      <c r="A339" s="93" t="s">
        <v>295</v>
      </c>
      <c r="B339" s="97" t="s">
        <v>2293</v>
      </c>
      <c r="C339" s="97">
        <v>830</v>
      </c>
      <c r="D339" s="97">
        <v>800</v>
      </c>
      <c r="E339" s="97">
        <v>780</v>
      </c>
      <c r="F339" s="133"/>
    </row>
    <row r="340" spans="1:6" s="119" customFormat="1" ht="14.25" customHeight="1">
      <c r="A340" s="93" t="s">
        <v>295</v>
      </c>
      <c r="B340" s="97" t="s">
        <v>2307</v>
      </c>
      <c r="C340" s="97">
        <v>980</v>
      </c>
      <c r="D340" s="97">
        <v>950</v>
      </c>
      <c r="E340" s="97">
        <v>920</v>
      </c>
      <c r="F340" s="133"/>
    </row>
    <row r="341" spans="1:6" s="119" customFormat="1" ht="14.25" customHeight="1">
      <c r="A341" s="93" t="s">
        <v>295</v>
      </c>
      <c r="B341" s="97" t="s">
        <v>2319</v>
      </c>
      <c r="C341" s="97">
        <v>760</v>
      </c>
      <c r="D341" s="97">
        <v>720</v>
      </c>
      <c r="E341" s="97">
        <v>690</v>
      </c>
      <c r="F341" s="130">
        <v>350</v>
      </c>
    </row>
    <row r="342" spans="1:6" s="119" customFormat="1" ht="14.25" customHeight="1">
      <c r="A342" s="93" t="s">
        <v>295</v>
      </c>
      <c r="B342" s="97" t="s">
        <v>2331</v>
      </c>
      <c r="C342" s="97">
        <v>910</v>
      </c>
      <c r="D342" s="97">
        <v>870</v>
      </c>
      <c r="E342" s="97">
        <v>850</v>
      </c>
      <c r="F342" s="130">
        <v>370</v>
      </c>
    </row>
    <row r="343" spans="1:6" s="119" customFormat="1" ht="14.25" customHeight="1">
      <c r="A343" s="93" t="s">
        <v>295</v>
      </c>
      <c r="B343" s="97" t="s">
        <v>2342</v>
      </c>
      <c r="C343" s="97">
        <v>800</v>
      </c>
      <c r="D343" s="97">
        <v>760</v>
      </c>
      <c r="E343" s="97">
        <v>730</v>
      </c>
      <c r="F343" s="130">
        <v>340</v>
      </c>
    </row>
    <row r="344" spans="1:6" s="119" customFormat="1" ht="14.25" customHeight="1">
      <c r="A344" s="93" t="s">
        <v>295</v>
      </c>
      <c r="B344" s="108" t="s">
        <v>2353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2" t="s">
        <v>2612</v>
      </c>
      <c r="B1" s="3572"/>
    </row>
    <row r="2" spans="1:6">
      <c r="A2" s="89"/>
      <c r="B2" s="89"/>
    </row>
    <row r="3" spans="1:6">
      <c r="A3" s="89"/>
      <c r="B3" s="89"/>
      <c r="C3" s="90" t="s">
        <v>1805</v>
      </c>
      <c r="D3" s="90" t="s">
        <v>452</v>
      </c>
      <c r="E3" s="90" t="s">
        <v>1806</v>
      </c>
      <c r="F3" s="90" t="s">
        <v>1807</v>
      </c>
    </row>
    <row r="4" spans="1:6">
      <c r="A4" s="91" t="s">
        <v>2281</v>
      </c>
      <c r="B4" s="92" t="s">
        <v>2294</v>
      </c>
      <c r="C4" s="90"/>
      <c r="D4" s="90"/>
      <c r="E4" s="90"/>
      <c r="F4" s="90"/>
    </row>
    <row r="5" spans="1:6">
      <c r="A5" s="93" t="s">
        <v>230</v>
      </c>
      <c r="B5" s="94" t="s">
        <v>2269</v>
      </c>
      <c r="C5" s="95">
        <v>8.8999999999999996E-2</v>
      </c>
      <c r="D5" s="95">
        <v>7.3999999999999996E-2</v>
      </c>
      <c r="E5" s="95">
        <v>7.4999999999999997E-2</v>
      </c>
      <c r="F5" s="96">
        <v>0.1</v>
      </c>
    </row>
    <row r="6" spans="1:6">
      <c r="A6" s="93" t="s">
        <v>230</v>
      </c>
      <c r="B6" s="97" t="s">
        <v>2282</v>
      </c>
      <c r="C6" s="98">
        <v>0.1</v>
      </c>
      <c r="D6" s="98">
        <v>9.0999999999999998E-2</v>
      </c>
      <c r="E6" s="98">
        <v>9.0999999999999998E-2</v>
      </c>
      <c r="F6" s="99">
        <v>0.1</v>
      </c>
    </row>
    <row r="7" spans="1:6">
      <c r="A7" s="93" t="s">
        <v>230</v>
      </c>
      <c r="B7" s="100" t="s">
        <v>2296</v>
      </c>
      <c r="C7" s="98">
        <v>8.5999999999999993E-2</v>
      </c>
      <c r="D7" s="98">
        <v>9.6000000000000002E-2</v>
      </c>
      <c r="E7" s="98">
        <v>7.5999999999999998E-2</v>
      </c>
      <c r="F7" s="99">
        <v>0.1</v>
      </c>
    </row>
    <row r="8" spans="1:6">
      <c r="A8" s="93" t="s">
        <v>230</v>
      </c>
      <c r="B8" s="97" t="s">
        <v>2308</v>
      </c>
      <c r="C8" s="98">
        <v>9.9000000000000005E-2</v>
      </c>
      <c r="D8" s="98">
        <v>9.8000000000000004E-2</v>
      </c>
      <c r="E8" s="98">
        <v>9.8000000000000004E-2</v>
      </c>
      <c r="F8" s="99">
        <v>0.1</v>
      </c>
    </row>
    <row r="9" spans="1:6">
      <c r="A9" s="101" t="s">
        <v>230</v>
      </c>
      <c r="B9" s="102" t="s">
        <v>2320</v>
      </c>
      <c r="C9" s="103">
        <v>0.05</v>
      </c>
      <c r="D9" s="104"/>
      <c r="E9" s="104"/>
      <c r="F9" s="105"/>
    </row>
    <row r="10" spans="1:6">
      <c r="A10" s="93" t="s">
        <v>241</v>
      </c>
      <c r="B10" s="94" t="s">
        <v>2270</v>
      </c>
      <c r="C10" s="95">
        <v>8.8999999999999996E-2</v>
      </c>
      <c r="D10" s="95">
        <v>7.2999999999999995E-2</v>
      </c>
      <c r="E10" s="95">
        <v>8.2000000000000003E-2</v>
      </c>
      <c r="F10" s="96">
        <v>0.1</v>
      </c>
    </row>
    <row r="11" spans="1:6">
      <c r="A11" s="93" t="s">
        <v>241</v>
      </c>
      <c r="B11" s="100" t="s">
        <v>2283</v>
      </c>
      <c r="C11" s="98">
        <v>8.8999999999999996E-2</v>
      </c>
      <c r="D11" s="98">
        <v>7.2999999999999995E-2</v>
      </c>
      <c r="E11" s="98">
        <v>8.2000000000000003E-2</v>
      </c>
      <c r="F11" s="99">
        <v>0.1</v>
      </c>
    </row>
    <row r="12" spans="1:6">
      <c r="A12" s="93" t="s">
        <v>241</v>
      </c>
      <c r="B12" s="100" t="s">
        <v>2297</v>
      </c>
      <c r="C12" s="98">
        <v>6.0999999999999999E-2</v>
      </c>
      <c r="D12" s="98">
        <v>7.0999999999999994E-2</v>
      </c>
      <c r="E12" s="98">
        <v>9.6000000000000002E-2</v>
      </c>
      <c r="F12" s="99">
        <v>0.1</v>
      </c>
    </row>
    <row r="13" spans="1:6">
      <c r="A13" s="93" t="s">
        <v>241</v>
      </c>
      <c r="B13" s="100" t="s">
        <v>2309</v>
      </c>
      <c r="C13" s="98">
        <v>6.9000000000000006E-2</v>
      </c>
      <c r="D13" s="98">
        <v>6.5000000000000002E-2</v>
      </c>
      <c r="E13" s="98">
        <v>6.6000000000000003E-2</v>
      </c>
      <c r="F13" s="99">
        <v>0.1</v>
      </c>
    </row>
    <row r="14" spans="1:6">
      <c r="A14" s="93" t="s">
        <v>241</v>
      </c>
      <c r="B14" s="100" t="s">
        <v>2321</v>
      </c>
      <c r="C14" s="98">
        <v>0.1</v>
      </c>
      <c r="D14" s="98">
        <v>6.5000000000000002E-2</v>
      </c>
      <c r="E14" s="98">
        <v>7.0000000000000007E-2</v>
      </c>
      <c r="F14" s="99">
        <v>0.1</v>
      </c>
    </row>
    <row r="15" spans="1:6">
      <c r="A15" s="93" t="s">
        <v>241</v>
      </c>
      <c r="B15" s="100" t="s">
        <v>2332</v>
      </c>
      <c r="C15" s="98">
        <v>9.8000000000000004E-2</v>
      </c>
      <c r="D15" s="98">
        <v>8.8999999999999996E-2</v>
      </c>
      <c r="E15" s="98">
        <v>8.8999999999999996E-2</v>
      </c>
      <c r="F15" s="99">
        <v>0.1</v>
      </c>
    </row>
    <row r="16" spans="1:6">
      <c r="A16" s="93" t="s">
        <v>241</v>
      </c>
      <c r="B16" s="100" t="s">
        <v>2343</v>
      </c>
      <c r="C16" s="98">
        <v>7.0000000000000007E-2</v>
      </c>
      <c r="D16" s="98">
        <v>9.2999999999999999E-2</v>
      </c>
      <c r="E16" s="98">
        <v>9.6000000000000002E-2</v>
      </c>
      <c r="F16" s="99">
        <v>0.1</v>
      </c>
    </row>
    <row r="17" spans="1:6">
      <c r="A17" s="93" t="s">
        <v>241</v>
      </c>
      <c r="B17" s="100" t="s">
        <v>2354</v>
      </c>
      <c r="C17" s="98">
        <v>9.5000000000000001E-2</v>
      </c>
      <c r="D17" s="98">
        <v>0.1</v>
      </c>
      <c r="E17" s="98">
        <v>0.1</v>
      </c>
      <c r="F17" s="106"/>
    </row>
    <row r="18" spans="1:6">
      <c r="A18" s="93" t="s">
        <v>241</v>
      </c>
      <c r="B18" s="100" t="s">
        <v>2364</v>
      </c>
      <c r="C18" s="98">
        <v>7.3999999999999996E-2</v>
      </c>
      <c r="D18" s="98">
        <v>9.9000000000000005E-2</v>
      </c>
      <c r="E18" s="98">
        <v>0.1</v>
      </c>
      <c r="F18" s="106"/>
    </row>
    <row r="19" spans="1:6">
      <c r="A19" s="93" t="s">
        <v>241</v>
      </c>
      <c r="B19" s="100" t="s">
        <v>2374</v>
      </c>
      <c r="C19" s="98">
        <v>9.9000000000000005E-2</v>
      </c>
      <c r="D19" s="98">
        <v>7.5999999999999998E-2</v>
      </c>
      <c r="E19" s="98">
        <v>8.6999999999999994E-2</v>
      </c>
      <c r="F19" s="106"/>
    </row>
    <row r="20" spans="1:6">
      <c r="A20" s="93" t="s">
        <v>241</v>
      </c>
      <c r="B20" s="100" t="s">
        <v>2384</v>
      </c>
      <c r="C20" s="98">
        <v>9.8000000000000004E-2</v>
      </c>
      <c r="D20" s="98">
        <v>8.5000000000000006E-2</v>
      </c>
      <c r="E20" s="98">
        <v>8.2000000000000003E-2</v>
      </c>
      <c r="F20" s="106"/>
    </row>
    <row r="21" spans="1:6">
      <c r="A21" s="93" t="s">
        <v>241</v>
      </c>
      <c r="B21" s="100" t="s">
        <v>2394</v>
      </c>
      <c r="C21" s="98">
        <v>6.6000000000000003E-2</v>
      </c>
      <c r="D21" s="98">
        <v>6.4000000000000001E-2</v>
      </c>
      <c r="E21" s="98">
        <v>6.5000000000000002E-2</v>
      </c>
      <c r="F21" s="106"/>
    </row>
    <row r="22" spans="1:6">
      <c r="A22" s="93" t="s">
        <v>241</v>
      </c>
      <c r="B22" s="100" t="s">
        <v>2404</v>
      </c>
      <c r="C22" s="98">
        <v>0.08</v>
      </c>
      <c r="D22" s="98">
        <v>9.8000000000000004E-2</v>
      </c>
      <c r="E22" s="98">
        <v>9.8000000000000004E-2</v>
      </c>
      <c r="F22" s="106"/>
    </row>
    <row r="23" spans="1:6">
      <c r="A23" s="93" t="s">
        <v>241</v>
      </c>
      <c r="B23" s="100" t="s">
        <v>2414</v>
      </c>
      <c r="C23" s="98">
        <v>9.9000000000000005E-2</v>
      </c>
      <c r="D23" s="98">
        <v>9.8000000000000004E-2</v>
      </c>
      <c r="E23" s="98">
        <v>9.0999999999999998E-2</v>
      </c>
      <c r="F23" s="106"/>
    </row>
    <row r="24" spans="1:6">
      <c r="A24" s="93" t="s">
        <v>241</v>
      </c>
      <c r="B24" s="100" t="s">
        <v>2424</v>
      </c>
      <c r="C24" s="98">
        <v>8.8999999999999996E-2</v>
      </c>
      <c r="D24" s="98">
        <v>9.7000000000000003E-2</v>
      </c>
      <c r="E24" s="98">
        <v>7.0000000000000007E-2</v>
      </c>
      <c r="F24" s="106"/>
    </row>
    <row r="25" spans="1:6">
      <c r="A25" s="93" t="s">
        <v>241</v>
      </c>
      <c r="B25" s="100" t="s">
        <v>2434</v>
      </c>
      <c r="C25" s="98">
        <v>8.8999999999999996E-2</v>
      </c>
      <c r="D25" s="98">
        <v>0.1</v>
      </c>
      <c r="E25" s="98">
        <v>8.1000000000000003E-2</v>
      </c>
      <c r="F25" s="106"/>
    </row>
    <row r="26" spans="1:6">
      <c r="A26" s="93" t="s">
        <v>241</v>
      </c>
      <c r="B26" s="100" t="s">
        <v>2444</v>
      </c>
      <c r="C26" s="107"/>
      <c r="D26" s="98">
        <v>9.6000000000000002E-2</v>
      </c>
      <c r="E26" s="98">
        <v>9.2999999999999999E-2</v>
      </c>
      <c r="F26" s="106"/>
    </row>
    <row r="27" spans="1:6">
      <c r="A27" s="93" t="s">
        <v>241</v>
      </c>
      <c r="B27" s="100" t="s">
        <v>2454</v>
      </c>
      <c r="C27" s="107"/>
      <c r="D27" s="98">
        <v>7.5999999999999998E-2</v>
      </c>
      <c r="E27" s="98">
        <v>9.1999999999999998E-2</v>
      </c>
      <c r="F27" s="106"/>
    </row>
    <row r="28" spans="1:6">
      <c r="A28" s="101" t="s">
        <v>241</v>
      </c>
      <c r="B28" s="102" t="s">
        <v>2464</v>
      </c>
      <c r="C28" s="104"/>
      <c r="D28" s="103">
        <v>7.5999999999999998E-2</v>
      </c>
      <c r="E28" s="103">
        <v>9.1999999999999998E-2</v>
      </c>
      <c r="F28" s="105"/>
    </row>
    <row r="29" spans="1:6">
      <c r="A29" s="93" t="s">
        <v>251</v>
      </c>
      <c r="B29" s="94" t="s">
        <v>2271</v>
      </c>
      <c r="C29" s="95">
        <v>6.4000000000000001E-2</v>
      </c>
      <c r="D29" s="95">
        <v>6.5000000000000002E-2</v>
      </c>
      <c r="E29" s="95">
        <v>6.9000000000000006E-2</v>
      </c>
      <c r="F29" s="96">
        <v>0.1</v>
      </c>
    </row>
    <row r="30" spans="1:6">
      <c r="A30" s="93" t="s">
        <v>251</v>
      </c>
      <c r="B30" s="100" t="s">
        <v>2284</v>
      </c>
      <c r="C30" s="98">
        <v>6.4000000000000001E-2</v>
      </c>
      <c r="D30" s="98">
        <v>9.9000000000000005E-2</v>
      </c>
      <c r="E30" s="98">
        <v>0.1</v>
      </c>
      <c r="F30" s="99">
        <v>0.1</v>
      </c>
    </row>
    <row r="31" spans="1:6">
      <c r="A31" s="93" t="s">
        <v>251</v>
      </c>
      <c r="B31" s="100" t="s">
        <v>2298</v>
      </c>
      <c r="C31" s="98">
        <v>0.1</v>
      </c>
      <c r="D31" s="98">
        <v>9.5000000000000001E-2</v>
      </c>
      <c r="E31" s="98">
        <v>8.8999999999999996E-2</v>
      </c>
      <c r="F31" s="99">
        <v>0.1</v>
      </c>
    </row>
    <row r="32" spans="1:6">
      <c r="A32" s="93" t="s">
        <v>251</v>
      </c>
      <c r="B32" s="100" t="s">
        <v>2310</v>
      </c>
      <c r="C32" s="98">
        <v>0.05</v>
      </c>
      <c r="D32" s="98">
        <v>0.05</v>
      </c>
      <c r="E32" s="98">
        <v>8.7999999999999995E-2</v>
      </c>
      <c r="F32" s="99">
        <v>0.1</v>
      </c>
    </row>
    <row r="33" spans="1:6">
      <c r="A33" s="93" t="s">
        <v>251</v>
      </c>
      <c r="B33" s="100" t="s">
        <v>2322</v>
      </c>
      <c r="C33" s="98">
        <v>7.4999999999999997E-2</v>
      </c>
      <c r="D33" s="98">
        <v>9.4E-2</v>
      </c>
      <c r="E33" s="98">
        <v>9.7000000000000003E-2</v>
      </c>
      <c r="F33" s="99">
        <v>0.1</v>
      </c>
    </row>
    <row r="34" spans="1:6">
      <c r="A34" s="93" t="s">
        <v>251</v>
      </c>
      <c r="B34" s="100" t="s">
        <v>2333</v>
      </c>
      <c r="C34" s="98">
        <v>9.8000000000000004E-2</v>
      </c>
      <c r="D34" s="98">
        <v>8.5999999999999993E-2</v>
      </c>
      <c r="E34" s="98">
        <v>9.7000000000000003E-2</v>
      </c>
      <c r="F34" s="99">
        <v>0.1</v>
      </c>
    </row>
    <row r="35" spans="1:6">
      <c r="A35" s="93" t="s">
        <v>251</v>
      </c>
      <c r="B35" s="100" t="s">
        <v>2344</v>
      </c>
      <c r="C35" s="98">
        <v>5.8999999999999997E-2</v>
      </c>
      <c r="D35" s="98">
        <v>6.5000000000000002E-2</v>
      </c>
      <c r="E35" s="98">
        <v>7.0000000000000007E-2</v>
      </c>
      <c r="F35" s="99">
        <v>0.1</v>
      </c>
    </row>
    <row r="36" spans="1:6">
      <c r="A36" s="93" t="s">
        <v>251</v>
      </c>
      <c r="B36" s="100" t="s">
        <v>2355</v>
      </c>
      <c r="C36" s="98">
        <v>6.3E-2</v>
      </c>
      <c r="D36" s="98">
        <v>0.1</v>
      </c>
      <c r="E36" s="98">
        <v>0.1</v>
      </c>
      <c r="F36" s="99">
        <v>0.1</v>
      </c>
    </row>
    <row r="37" spans="1:6">
      <c r="A37" s="93" t="s">
        <v>251</v>
      </c>
      <c r="B37" s="100" t="s">
        <v>2365</v>
      </c>
      <c r="C37" s="98">
        <v>7.3999999999999996E-2</v>
      </c>
      <c r="D37" s="98">
        <v>0.1</v>
      </c>
      <c r="E37" s="98">
        <v>0.1</v>
      </c>
      <c r="F37" s="99">
        <v>0.1</v>
      </c>
    </row>
    <row r="38" spans="1:6">
      <c r="A38" s="93" t="s">
        <v>251</v>
      </c>
      <c r="B38" s="100" t="s">
        <v>2375</v>
      </c>
      <c r="C38" s="98">
        <v>0.1</v>
      </c>
      <c r="D38" s="98">
        <v>9.6000000000000002E-2</v>
      </c>
      <c r="E38" s="98">
        <v>9.6000000000000002E-2</v>
      </c>
      <c r="F38" s="106"/>
    </row>
    <row r="39" spans="1:6">
      <c r="A39" s="93" t="s">
        <v>251</v>
      </c>
      <c r="B39" s="100" t="s">
        <v>2385</v>
      </c>
      <c r="C39" s="98">
        <v>0.1</v>
      </c>
      <c r="D39" s="98">
        <v>9.6000000000000002E-2</v>
      </c>
      <c r="E39" s="98">
        <v>9.6000000000000002E-2</v>
      </c>
      <c r="F39" s="106"/>
    </row>
    <row r="40" spans="1:6">
      <c r="A40" s="93" t="s">
        <v>251</v>
      </c>
      <c r="B40" s="100" t="s">
        <v>2395</v>
      </c>
      <c r="C40" s="98">
        <v>9.6000000000000002E-2</v>
      </c>
      <c r="D40" s="98">
        <v>0.1</v>
      </c>
      <c r="E40" s="98">
        <v>9.9000000000000005E-2</v>
      </c>
      <c r="F40" s="106"/>
    </row>
    <row r="41" spans="1:6">
      <c r="A41" s="93" t="s">
        <v>251</v>
      </c>
      <c r="B41" s="100" t="s">
        <v>2405</v>
      </c>
      <c r="C41" s="98">
        <v>9.6000000000000002E-2</v>
      </c>
      <c r="D41" s="98">
        <v>9.8000000000000004E-2</v>
      </c>
      <c r="E41" s="98">
        <v>9.8000000000000004E-2</v>
      </c>
      <c r="F41" s="106"/>
    </row>
    <row r="42" spans="1:6">
      <c r="A42" s="93" t="s">
        <v>251</v>
      </c>
      <c r="B42" s="100" t="s">
        <v>2415</v>
      </c>
      <c r="C42" s="98">
        <v>0.1</v>
      </c>
      <c r="D42" s="98">
        <v>8.7999999999999995E-2</v>
      </c>
      <c r="E42" s="98">
        <v>0.1</v>
      </c>
      <c r="F42" s="106"/>
    </row>
    <row r="43" spans="1:6">
      <c r="A43" s="93" t="s">
        <v>251</v>
      </c>
      <c r="B43" s="100" t="s">
        <v>2425</v>
      </c>
      <c r="C43" s="98">
        <v>9.8000000000000004E-2</v>
      </c>
      <c r="D43" s="98">
        <v>9.7000000000000003E-2</v>
      </c>
      <c r="E43" s="98">
        <v>9.6000000000000002E-2</v>
      </c>
      <c r="F43" s="106"/>
    </row>
    <row r="44" spans="1:6">
      <c r="A44" s="93" t="s">
        <v>251</v>
      </c>
      <c r="B44" s="100" t="s">
        <v>2435</v>
      </c>
      <c r="C44" s="98">
        <v>8.5999999999999993E-2</v>
      </c>
      <c r="D44" s="98">
        <v>7.9000000000000001E-2</v>
      </c>
      <c r="E44" s="98">
        <v>7.0999999999999994E-2</v>
      </c>
      <c r="F44" s="106"/>
    </row>
    <row r="45" spans="1:6">
      <c r="A45" s="93" t="s">
        <v>251</v>
      </c>
      <c r="B45" s="100" t="s">
        <v>2445</v>
      </c>
      <c r="C45" s="98">
        <v>9.8000000000000004E-2</v>
      </c>
      <c r="D45" s="98">
        <v>9.6000000000000002E-2</v>
      </c>
      <c r="E45" s="98">
        <v>9.6000000000000002E-2</v>
      </c>
      <c r="F45" s="106"/>
    </row>
    <row r="46" spans="1:6">
      <c r="A46" s="93" t="s">
        <v>251</v>
      </c>
      <c r="B46" s="100" t="s">
        <v>2455</v>
      </c>
      <c r="C46" s="98">
        <v>8.5999999999999993E-2</v>
      </c>
      <c r="D46" s="98">
        <v>9.8000000000000004E-2</v>
      </c>
      <c r="E46" s="98">
        <v>8.7999999999999995E-2</v>
      </c>
      <c r="F46" s="106"/>
    </row>
    <row r="47" spans="1:6">
      <c r="A47" s="93" t="s">
        <v>251</v>
      </c>
      <c r="B47" s="100" t="s">
        <v>2465</v>
      </c>
      <c r="C47" s="98">
        <v>9.6000000000000002E-2</v>
      </c>
      <c r="D47" s="107"/>
      <c r="E47" s="98">
        <v>6.9000000000000006E-2</v>
      </c>
      <c r="F47" s="106"/>
    </row>
    <row r="48" spans="1:6">
      <c r="A48" s="101" t="s">
        <v>251</v>
      </c>
      <c r="B48" s="102" t="s">
        <v>2474</v>
      </c>
      <c r="C48" s="103">
        <v>9.8000000000000004E-2</v>
      </c>
      <c r="D48" s="104"/>
      <c r="E48" s="103">
        <v>9.5000000000000001E-2</v>
      </c>
      <c r="F48" s="105"/>
    </row>
    <row r="49" spans="1:6">
      <c r="A49" s="93" t="s">
        <v>259</v>
      </c>
      <c r="B49" s="94" t="s">
        <v>2272</v>
      </c>
      <c r="C49" s="95">
        <v>9.7000000000000003E-2</v>
      </c>
      <c r="D49" s="95">
        <v>9.5000000000000001E-2</v>
      </c>
      <c r="E49" s="95">
        <v>9.7000000000000003E-2</v>
      </c>
      <c r="F49" s="96">
        <v>0.1</v>
      </c>
    </row>
    <row r="50" spans="1:6">
      <c r="A50" s="93" t="s">
        <v>259</v>
      </c>
      <c r="B50" s="97" t="s">
        <v>2285</v>
      </c>
      <c r="C50" s="98">
        <v>7.4999999999999997E-2</v>
      </c>
      <c r="D50" s="98">
        <v>9.5000000000000001E-2</v>
      </c>
      <c r="E50" s="98">
        <v>0.1</v>
      </c>
      <c r="F50" s="99">
        <v>0.1</v>
      </c>
    </row>
    <row r="51" spans="1:6">
      <c r="A51" s="93" t="s">
        <v>259</v>
      </c>
      <c r="B51" s="97" t="s">
        <v>2299</v>
      </c>
      <c r="C51" s="98">
        <v>9.8000000000000004E-2</v>
      </c>
      <c r="D51" s="98">
        <v>8.8999999999999996E-2</v>
      </c>
      <c r="E51" s="98">
        <v>0.1</v>
      </c>
      <c r="F51" s="99">
        <v>0.1</v>
      </c>
    </row>
    <row r="52" spans="1:6">
      <c r="A52" s="93" t="s">
        <v>259</v>
      </c>
      <c r="B52" s="97" t="s">
        <v>2311</v>
      </c>
      <c r="C52" s="98">
        <v>9.8000000000000004E-2</v>
      </c>
      <c r="D52" s="98">
        <v>9.7000000000000003E-2</v>
      </c>
      <c r="E52" s="98">
        <v>8.1000000000000003E-2</v>
      </c>
      <c r="F52" s="99">
        <v>0.1</v>
      </c>
    </row>
    <row r="53" spans="1:6">
      <c r="A53" s="93" t="s">
        <v>259</v>
      </c>
      <c r="B53" s="97" t="s">
        <v>2323</v>
      </c>
      <c r="C53" s="98">
        <v>9.7000000000000003E-2</v>
      </c>
      <c r="D53" s="98">
        <v>7.5999999999999998E-2</v>
      </c>
      <c r="E53" s="98">
        <v>7.0999999999999994E-2</v>
      </c>
      <c r="F53" s="99">
        <v>0.1</v>
      </c>
    </row>
    <row r="54" spans="1:6">
      <c r="A54" s="93" t="s">
        <v>259</v>
      </c>
      <c r="B54" s="97" t="s">
        <v>2334</v>
      </c>
      <c r="C54" s="98">
        <v>7.5999999999999998E-2</v>
      </c>
      <c r="D54" s="98">
        <v>0.1</v>
      </c>
      <c r="E54" s="98">
        <v>9.9000000000000005E-2</v>
      </c>
      <c r="F54" s="99">
        <v>0.1</v>
      </c>
    </row>
    <row r="55" spans="1:6">
      <c r="A55" s="93" t="s">
        <v>259</v>
      </c>
      <c r="B55" s="97" t="s">
        <v>2345</v>
      </c>
      <c r="C55" s="98">
        <v>0.1</v>
      </c>
      <c r="D55" s="98">
        <v>0.1</v>
      </c>
      <c r="E55" s="98">
        <v>9.6000000000000002E-2</v>
      </c>
      <c r="F55" s="99">
        <v>0.1</v>
      </c>
    </row>
    <row r="56" spans="1:6">
      <c r="A56" s="93" t="s">
        <v>259</v>
      </c>
      <c r="B56" s="97" t="s">
        <v>2356</v>
      </c>
      <c r="C56" s="98">
        <v>0.1</v>
      </c>
      <c r="D56" s="98">
        <v>9.6000000000000002E-2</v>
      </c>
      <c r="E56" s="98">
        <v>5.1999999999999998E-2</v>
      </c>
      <c r="F56" s="99">
        <v>0.1</v>
      </c>
    </row>
    <row r="57" spans="1:6">
      <c r="A57" s="93" t="s">
        <v>259</v>
      </c>
      <c r="B57" s="97" t="s">
        <v>2366</v>
      </c>
      <c r="C57" s="98">
        <v>9.7000000000000003E-2</v>
      </c>
      <c r="D57" s="98">
        <v>9.6000000000000002E-2</v>
      </c>
      <c r="E57" s="98">
        <v>9.6000000000000002E-2</v>
      </c>
      <c r="F57" s="99">
        <v>0.1</v>
      </c>
    </row>
    <row r="58" spans="1:6">
      <c r="A58" s="93" t="s">
        <v>259</v>
      </c>
      <c r="B58" s="97" t="s">
        <v>2376</v>
      </c>
      <c r="C58" s="98">
        <v>9.6000000000000002E-2</v>
      </c>
      <c r="D58" s="98">
        <v>9.9000000000000005E-2</v>
      </c>
      <c r="E58" s="98">
        <v>9.6000000000000002E-2</v>
      </c>
      <c r="F58" s="99">
        <v>0.1</v>
      </c>
    </row>
    <row r="59" spans="1:6">
      <c r="A59" s="93" t="s">
        <v>259</v>
      </c>
      <c r="B59" s="97" t="s">
        <v>2386</v>
      </c>
      <c r="C59" s="98">
        <v>7.1999999999999995E-2</v>
      </c>
      <c r="D59" s="98">
        <v>9.6000000000000002E-2</v>
      </c>
      <c r="E59" s="98">
        <v>7.0999999999999994E-2</v>
      </c>
      <c r="F59" s="99">
        <v>0.1</v>
      </c>
    </row>
    <row r="60" spans="1:6">
      <c r="A60" s="93" t="s">
        <v>259</v>
      </c>
      <c r="B60" s="97" t="s">
        <v>2396</v>
      </c>
      <c r="C60" s="98">
        <v>9.6000000000000002E-2</v>
      </c>
      <c r="D60" s="98">
        <v>8.8999999999999996E-2</v>
      </c>
      <c r="E60" s="98">
        <v>9.6000000000000002E-2</v>
      </c>
      <c r="F60" s="99">
        <v>0.1</v>
      </c>
    </row>
    <row r="61" spans="1:6">
      <c r="A61" s="93" t="s">
        <v>259</v>
      </c>
      <c r="B61" s="97" t="s">
        <v>2406</v>
      </c>
      <c r="C61" s="98">
        <v>8.8999999999999996E-2</v>
      </c>
      <c r="D61" s="98">
        <v>9.8000000000000004E-2</v>
      </c>
      <c r="E61" s="98">
        <v>8.7999999999999995E-2</v>
      </c>
      <c r="F61" s="106"/>
    </row>
    <row r="62" spans="1:6">
      <c r="A62" s="93" t="s">
        <v>259</v>
      </c>
      <c r="B62" s="97" t="s">
        <v>2416</v>
      </c>
      <c r="C62" s="98">
        <v>9.8000000000000004E-2</v>
      </c>
      <c r="D62" s="98">
        <v>9.2999999999999999E-2</v>
      </c>
      <c r="E62" s="98">
        <v>9.7000000000000003E-2</v>
      </c>
      <c r="F62" s="106"/>
    </row>
    <row r="63" spans="1:6">
      <c r="A63" s="93" t="s">
        <v>259</v>
      </c>
      <c r="B63" s="97" t="s">
        <v>2426</v>
      </c>
      <c r="C63" s="98">
        <v>9.6000000000000002E-2</v>
      </c>
      <c r="D63" s="98">
        <v>9.8000000000000004E-2</v>
      </c>
      <c r="E63" s="98">
        <v>0.09</v>
      </c>
      <c r="F63" s="106"/>
    </row>
    <row r="64" spans="1:6">
      <c r="A64" s="93" t="s">
        <v>259</v>
      </c>
      <c r="B64" s="97" t="s">
        <v>2436</v>
      </c>
      <c r="C64" s="98">
        <v>9.9000000000000005E-2</v>
      </c>
      <c r="D64" s="98">
        <v>9.7000000000000003E-2</v>
      </c>
      <c r="E64" s="98">
        <v>9.9000000000000005E-2</v>
      </c>
      <c r="F64" s="106"/>
    </row>
    <row r="65" spans="1:6">
      <c r="A65" s="93" t="s">
        <v>259</v>
      </c>
      <c r="B65" s="97" t="s">
        <v>2446</v>
      </c>
      <c r="C65" s="98">
        <v>9.8000000000000004E-2</v>
      </c>
      <c r="D65" s="98">
        <v>9.6000000000000002E-2</v>
      </c>
      <c r="E65" s="98">
        <v>9.6000000000000002E-2</v>
      </c>
      <c r="F65" s="106"/>
    </row>
    <row r="66" spans="1:6">
      <c r="A66" s="93" t="s">
        <v>259</v>
      </c>
      <c r="B66" s="97" t="s">
        <v>2456</v>
      </c>
      <c r="C66" s="98">
        <v>9.6000000000000002E-2</v>
      </c>
      <c r="D66" s="98">
        <v>9.1999999999999998E-2</v>
      </c>
      <c r="E66" s="98">
        <v>9.6000000000000002E-2</v>
      </c>
      <c r="F66" s="106"/>
    </row>
    <row r="67" spans="1:6">
      <c r="A67" s="93" t="s">
        <v>259</v>
      </c>
      <c r="B67" s="97" t="s">
        <v>2466</v>
      </c>
      <c r="C67" s="98">
        <v>9.4E-2</v>
      </c>
      <c r="D67" s="98">
        <v>0.1</v>
      </c>
      <c r="E67" s="98">
        <v>8.7999999999999995E-2</v>
      </c>
      <c r="F67" s="106"/>
    </row>
    <row r="68" spans="1:6">
      <c r="A68" s="93" t="s">
        <v>259</v>
      </c>
      <c r="B68" s="97" t="s">
        <v>2475</v>
      </c>
      <c r="C68" s="98">
        <v>0.1</v>
      </c>
      <c r="D68" s="98">
        <v>8.7999999999999995E-2</v>
      </c>
      <c r="E68" s="98">
        <v>9.7000000000000003E-2</v>
      </c>
      <c r="F68" s="106"/>
    </row>
    <row r="69" spans="1:6">
      <c r="A69" s="93" t="s">
        <v>259</v>
      </c>
      <c r="B69" s="97" t="s">
        <v>2483</v>
      </c>
      <c r="C69" s="98">
        <v>6.4000000000000001E-2</v>
      </c>
      <c r="D69" s="98">
        <v>0.1</v>
      </c>
      <c r="E69" s="98">
        <v>0.1</v>
      </c>
      <c r="F69" s="106"/>
    </row>
    <row r="70" spans="1:6">
      <c r="A70" s="93" t="s">
        <v>259</v>
      </c>
      <c r="B70" s="97" t="s">
        <v>2491</v>
      </c>
      <c r="C70" s="98">
        <v>9.0999999999999998E-2</v>
      </c>
      <c r="D70" s="107"/>
      <c r="E70" s="107"/>
      <c r="F70" s="106"/>
    </row>
    <row r="71" spans="1:6">
      <c r="A71" s="93" t="s">
        <v>259</v>
      </c>
      <c r="B71" s="97" t="s">
        <v>2498</v>
      </c>
      <c r="C71" s="98">
        <v>0.1</v>
      </c>
      <c r="D71" s="107"/>
      <c r="E71" s="107"/>
      <c r="F71" s="106"/>
    </row>
    <row r="72" spans="1:6">
      <c r="A72" s="93" t="s">
        <v>259</v>
      </c>
      <c r="B72" s="97" t="s">
        <v>2505</v>
      </c>
      <c r="C72" s="107"/>
      <c r="D72" s="107"/>
      <c r="E72" s="107"/>
      <c r="F72" s="99">
        <v>0.05</v>
      </c>
    </row>
    <row r="73" spans="1:6">
      <c r="A73" s="93" t="s">
        <v>259</v>
      </c>
      <c r="B73" s="97" t="s">
        <v>2512</v>
      </c>
      <c r="C73" s="107"/>
      <c r="D73" s="107"/>
      <c r="E73" s="107"/>
      <c r="F73" s="99">
        <v>0.05</v>
      </c>
    </row>
    <row r="74" spans="1:6">
      <c r="A74" s="93" t="s">
        <v>259</v>
      </c>
      <c r="B74" s="97" t="s">
        <v>2519</v>
      </c>
      <c r="C74" s="107"/>
      <c r="D74" s="107"/>
      <c r="E74" s="107"/>
      <c r="F74" s="99">
        <v>0.05</v>
      </c>
    </row>
    <row r="75" spans="1:6">
      <c r="A75" s="101" t="s">
        <v>259</v>
      </c>
      <c r="B75" s="108" t="s">
        <v>2526</v>
      </c>
      <c r="C75" s="104"/>
      <c r="D75" s="104"/>
      <c r="E75" s="104"/>
      <c r="F75" s="109">
        <v>0.05</v>
      </c>
    </row>
    <row r="76" spans="1:6">
      <c r="A76" s="93" t="s">
        <v>267</v>
      </c>
      <c r="B76" s="94" t="s">
        <v>2273</v>
      </c>
      <c r="C76" s="95">
        <v>0.1</v>
      </c>
      <c r="D76" s="95">
        <v>0.1</v>
      </c>
      <c r="E76" s="95">
        <v>0.1</v>
      </c>
      <c r="F76" s="96">
        <v>0.1</v>
      </c>
    </row>
    <row r="77" spans="1:6">
      <c r="A77" s="93" t="s">
        <v>267</v>
      </c>
      <c r="B77" s="97" t="s">
        <v>2286</v>
      </c>
      <c r="C77" s="98">
        <v>8.7999999999999995E-2</v>
      </c>
      <c r="D77" s="98">
        <v>8.6999999999999994E-2</v>
      </c>
      <c r="E77" s="98">
        <v>7.9000000000000001E-2</v>
      </c>
      <c r="F77" s="99">
        <v>0.1</v>
      </c>
    </row>
    <row r="78" spans="1:6">
      <c r="A78" s="93" t="s">
        <v>267</v>
      </c>
      <c r="B78" s="97" t="s">
        <v>2300</v>
      </c>
      <c r="C78" s="98">
        <v>8.6999999999999994E-2</v>
      </c>
      <c r="D78" s="98">
        <v>8.4000000000000005E-2</v>
      </c>
      <c r="E78" s="98">
        <v>9.6000000000000002E-2</v>
      </c>
      <c r="F78" s="99">
        <v>0.1</v>
      </c>
    </row>
    <row r="79" spans="1:6">
      <c r="A79" s="93" t="s">
        <v>267</v>
      </c>
      <c r="B79" s="97" t="s">
        <v>2312</v>
      </c>
      <c r="C79" s="98">
        <v>9.8000000000000004E-2</v>
      </c>
      <c r="D79" s="98">
        <v>9.8000000000000004E-2</v>
      </c>
      <c r="E79" s="98">
        <v>9.0999999999999998E-2</v>
      </c>
      <c r="F79" s="99">
        <v>0.1</v>
      </c>
    </row>
    <row r="80" spans="1:6">
      <c r="A80" s="93" t="s">
        <v>267</v>
      </c>
      <c r="B80" s="97" t="s">
        <v>2324</v>
      </c>
      <c r="C80" s="98">
        <v>9.6000000000000002E-2</v>
      </c>
      <c r="D80" s="98">
        <v>9.6000000000000002E-2</v>
      </c>
      <c r="E80" s="98">
        <v>0.1</v>
      </c>
      <c r="F80" s="99">
        <v>0.1</v>
      </c>
    </row>
    <row r="81" spans="1:6">
      <c r="A81" s="93" t="s">
        <v>267</v>
      </c>
      <c r="B81" s="97" t="s">
        <v>2335</v>
      </c>
      <c r="C81" s="98">
        <v>9.9000000000000005E-2</v>
      </c>
      <c r="D81" s="98">
        <v>9.9000000000000005E-2</v>
      </c>
      <c r="E81" s="98">
        <v>9.8000000000000004E-2</v>
      </c>
      <c r="F81" s="99">
        <v>0.1</v>
      </c>
    </row>
    <row r="82" spans="1:6">
      <c r="A82" s="93" t="s">
        <v>267</v>
      </c>
      <c r="B82" s="97" t="s">
        <v>2346</v>
      </c>
      <c r="C82" s="98">
        <v>9.9000000000000005E-2</v>
      </c>
      <c r="D82" s="98">
        <v>9.9000000000000005E-2</v>
      </c>
      <c r="E82" s="98">
        <v>9.7000000000000003E-2</v>
      </c>
      <c r="F82" s="99">
        <v>0.1</v>
      </c>
    </row>
    <row r="83" spans="1:6">
      <c r="A83" s="93" t="s">
        <v>267</v>
      </c>
      <c r="B83" s="97" t="s">
        <v>2357</v>
      </c>
      <c r="C83" s="98">
        <v>9.8000000000000004E-2</v>
      </c>
      <c r="D83" s="98">
        <v>9.8000000000000004E-2</v>
      </c>
      <c r="E83" s="98">
        <v>9.8000000000000004E-2</v>
      </c>
      <c r="F83" s="99">
        <v>0.1</v>
      </c>
    </row>
    <row r="84" spans="1:6">
      <c r="A84" s="93" t="s">
        <v>267</v>
      </c>
      <c r="B84" s="97" t="s">
        <v>2367</v>
      </c>
      <c r="C84" s="98">
        <v>9.9000000000000005E-2</v>
      </c>
      <c r="D84" s="98">
        <v>9.9000000000000005E-2</v>
      </c>
      <c r="E84" s="98">
        <v>9.9000000000000005E-2</v>
      </c>
      <c r="F84" s="99">
        <v>0.1</v>
      </c>
    </row>
    <row r="85" spans="1:6">
      <c r="A85" s="93" t="s">
        <v>267</v>
      </c>
      <c r="B85" s="97" t="s">
        <v>2377</v>
      </c>
      <c r="C85" s="98">
        <v>9.9000000000000005E-2</v>
      </c>
      <c r="D85" s="98">
        <v>9.9000000000000005E-2</v>
      </c>
      <c r="E85" s="98">
        <v>9.9000000000000005E-2</v>
      </c>
      <c r="F85" s="99">
        <v>0.1</v>
      </c>
    </row>
    <row r="86" spans="1:6">
      <c r="A86" s="93" t="s">
        <v>267</v>
      </c>
      <c r="B86" s="97" t="s">
        <v>2387</v>
      </c>
      <c r="C86" s="98">
        <v>0.1</v>
      </c>
      <c r="D86" s="98">
        <v>0.1</v>
      </c>
      <c r="E86" s="98">
        <v>7.6999999999999999E-2</v>
      </c>
      <c r="F86" s="99">
        <v>0.1</v>
      </c>
    </row>
    <row r="87" spans="1:6">
      <c r="A87" s="93" t="s">
        <v>267</v>
      </c>
      <c r="B87" s="97" t="s">
        <v>2397</v>
      </c>
      <c r="C87" s="98">
        <v>0.1</v>
      </c>
      <c r="D87" s="98">
        <v>0.1</v>
      </c>
      <c r="E87" s="98">
        <v>9.8000000000000004E-2</v>
      </c>
      <c r="F87" s="106"/>
    </row>
    <row r="88" spans="1:6">
      <c r="A88" s="93" t="s">
        <v>267</v>
      </c>
      <c r="B88" s="97" t="s">
        <v>2407</v>
      </c>
      <c r="C88" s="98">
        <v>9.1999999999999998E-2</v>
      </c>
      <c r="D88" s="98">
        <v>8.5000000000000006E-2</v>
      </c>
      <c r="E88" s="98">
        <v>9.6000000000000002E-2</v>
      </c>
      <c r="F88" s="106"/>
    </row>
    <row r="89" spans="1:6">
      <c r="A89" s="93" t="s">
        <v>267</v>
      </c>
      <c r="B89" s="97" t="s">
        <v>2417</v>
      </c>
      <c r="C89" s="98">
        <v>0.1</v>
      </c>
      <c r="D89" s="98">
        <v>0.1</v>
      </c>
      <c r="E89" s="98">
        <v>9.7000000000000003E-2</v>
      </c>
      <c r="F89" s="106"/>
    </row>
    <row r="90" spans="1:6">
      <c r="A90" s="93" t="s">
        <v>267</v>
      </c>
      <c r="B90" s="97" t="s">
        <v>2427</v>
      </c>
      <c r="C90" s="98">
        <v>9.8000000000000004E-2</v>
      </c>
      <c r="D90" s="98">
        <v>9.8000000000000004E-2</v>
      </c>
      <c r="E90" s="98">
        <v>8.7999999999999995E-2</v>
      </c>
      <c r="F90" s="106"/>
    </row>
    <row r="91" spans="1:6">
      <c r="A91" s="93" t="s">
        <v>267</v>
      </c>
      <c r="B91" s="97" t="s">
        <v>2437</v>
      </c>
      <c r="C91" s="98">
        <v>9.9000000000000005E-2</v>
      </c>
      <c r="D91" s="98">
        <v>9.9000000000000005E-2</v>
      </c>
      <c r="E91" s="98">
        <v>9.0999999999999998E-2</v>
      </c>
      <c r="F91" s="106"/>
    </row>
    <row r="92" spans="1:6">
      <c r="A92" s="93" t="s">
        <v>267</v>
      </c>
      <c r="B92" s="97" t="s">
        <v>2447</v>
      </c>
      <c r="C92" s="98">
        <v>9.6000000000000002E-2</v>
      </c>
      <c r="D92" s="98">
        <v>9.6000000000000002E-2</v>
      </c>
      <c r="E92" s="98">
        <v>7.2999999999999995E-2</v>
      </c>
      <c r="F92" s="106"/>
    </row>
    <row r="93" spans="1:6">
      <c r="A93" s="93" t="s">
        <v>267</v>
      </c>
      <c r="B93" s="97" t="s">
        <v>2457</v>
      </c>
      <c r="C93" s="98">
        <v>9.6000000000000002E-2</v>
      </c>
      <c r="D93" s="98">
        <v>9.6000000000000002E-2</v>
      </c>
      <c r="E93" s="98">
        <v>9.9000000000000005E-2</v>
      </c>
      <c r="F93" s="106"/>
    </row>
    <row r="94" spans="1:6">
      <c r="A94" s="93" t="s">
        <v>267</v>
      </c>
      <c r="B94" s="97" t="s">
        <v>2467</v>
      </c>
      <c r="C94" s="98">
        <v>7.5999999999999998E-2</v>
      </c>
      <c r="D94" s="98">
        <v>7.3999999999999996E-2</v>
      </c>
      <c r="E94" s="98">
        <v>9.7000000000000003E-2</v>
      </c>
      <c r="F94" s="106"/>
    </row>
    <row r="95" spans="1:6">
      <c r="A95" s="93" t="s">
        <v>267</v>
      </c>
      <c r="B95" s="97" t="s">
        <v>2476</v>
      </c>
      <c r="C95" s="98">
        <v>9.9000000000000005E-2</v>
      </c>
      <c r="D95" s="98">
        <v>9.4E-2</v>
      </c>
      <c r="E95" s="98">
        <v>9.6000000000000002E-2</v>
      </c>
      <c r="F95" s="106"/>
    </row>
    <row r="96" spans="1:6">
      <c r="A96" s="93" t="s">
        <v>267</v>
      </c>
      <c r="B96" s="97" t="s">
        <v>2484</v>
      </c>
      <c r="C96" s="98">
        <v>9.9000000000000005E-2</v>
      </c>
      <c r="D96" s="98">
        <v>9.9000000000000005E-2</v>
      </c>
      <c r="E96" s="98">
        <v>9.9000000000000005E-2</v>
      </c>
      <c r="F96" s="106"/>
    </row>
    <row r="97" spans="1:6">
      <c r="A97" s="93" t="s">
        <v>267</v>
      </c>
      <c r="B97" s="97" t="s">
        <v>2492</v>
      </c>
      <c r="C97" s="98">
        <v>9.8000000000000004E-2</v>
      </c>
      <c r="D97" s="98">
        <v>9.8000000000000004E-2</v>
      </c>
      <c r="E97" s="98">
        <v>9.7000000000000003E-2</v>
      </c>
      <c r="F97" s="106"/>
    </row>
    <row r="98" spans="1:6">
      <c r="A98" s="93" t="s">
        <v>267</v>
      </c>
      <c r="B98" s="97" t="s">
        <v>2499</v>
      </c>
      <c r="C98" s="98">
        <v>0.1</v>
      </c>
      <c r="D98" s="98">
        <v>0.1</v>
      </c>
      <c r="E98" s="98">
        <v>9.7000000000000003E-2</v>
      </c>
      <c r="F98" s="106"/>
    </row>
    <row r="99" spans="1:6">
      <c r="A99" s="93" t="s">
        <v>267</v>
      </c>
      <c r="B99" s="97" t="s">
        <v>2506</v>
      </c>
      <c r="C99" s="98">
        <v>0.1</v>
      </c>
      <c r="D99" s="98">
        <v>0.1</v>
      </c>
      <c r="E99" s="107"/>
      <c r="F99" s="106"/>
    </row>
    <row r="100" spans="1:6">
      <c r="A100" s="93" t="s">
        <v>267</v>
      </c>
      <c r="B100" s="97" t="s">
        <v>2513</v>
      </c>
      <c r="C100" s="98">
        <v>0.09</v>
      </c>
      <c r="D100" s="98">
        <v>8.8999999999999996E-2</v>
      </c>
      <c r="E100" s="107"/>
      <c r="F100" s="106"/>
    </row>
    <row r="101" spans="1:6">
      <c r="A101" s="93" t="s">
        <v>267</v>
      </c>
      <c r="B101" s="97" t="s">
        <v>2520</v>
      </c>
      <c r="C101" s="98">
        <v>9.8000000000000004E-2</v>
      </c>
      <c r="D101" s="98">
        <v>9.7000000000000003E-2</v>
      </c>
      <c r="E101" s="107"/>
      <c r="F101" s="106"/>
    </row>
    <row r="102" spans="1:6">
      <c r="A102" s="93" t="s">
        <v>267</v>
      </c>
      <c r="B102" s="97" t="s">
        <v>2527</v>
      </c>
      <c r="C102" s="107"/>
      <c r="D102" s="107"/>
      <c r="E102" s="107"/>
      <c r="F102" s="99">
        <v>0.05</v>
      </c>
    </row>
    <row r="103" spans="1:6" ht="24">
      <c r="A103" s="93" t="s">
        <v>267</v>
      </c>
      <c r="B103" s="97" t="s">
        <v>2532</v>
      </c>
      <c r="C103" s="107"/>
      <c r="D103" s="107"/>
      <c r="E103" s="107"/>
      <c r="F103" s="99">
        <v>0.05</v>
      </c>
    </row>
    <row r="104" spans="1:6">
      <c r="A104" s="93" t="s">
        <v>267</v>
      </c>
      <c r="B104" s="97" t="s">
        <v>2537</v>
      </c>
      <c r="C104" s="107"/>
      <c r="D104" s="107"/>
      <c r="E104" s="107"/>
      <c r="F104" s="99">
        <v>0.05</v>
      </c>
    </row>
    <row r="105" spans="1:6">
      <c r="A105" s="93" t="s">
        <v>267</v>
      </c>
      <c r="B105" s="97" t="s">
        <v>2542</v>
      </c>
      <c r="C105" s="107"/>
      <c r="D105" s="107"/>
      <c r="E105" s="107"/>
      <c r="F105" s="99">
        <v>0.05</v>
      </c>
    </row>
    <row r="106" spans="1:6">
      <c r="A106" s="93" t="s">
        <v>267</v>
      </c>
      <c r="B106" s="97" t="s">
        <v>2547</v>
      </c>
      <c r="C106" s="107"/>
      <c r="D106" s="107"/>
      <c r="E106" s="107"/>
      <c r="F106" s="99">
        <v>0.05</v>
      </c>
    </row>
    <row r="107" spans="1:6" ht="24">
      <c r="A107" s="93" t="s">
        <v>267</v>
      </c>
      <c r="B107" s="97" t="s">
        <v>2552</v>
      </c>
      <c r="C107" s="107"/>
      <c r="D107" s="107"/>
      <c r="E107" s="107"/>
      <c r="F107" s="99">
        <v>0.05</v>
      </c>
    </row>
    <row r="108" spans="1:6" ht="24">
      <c r="A108" s="93" t="s">
        <v>267</v>
      </c>
      <c r="B108" s="97" t="s">
        <v>2557</v>
      </c>
      <c r="C108" s="107"/>
      <c r="D108" s="107"/>
      <c r="E108" s="107"/>
      <c r="F108" s="99">
        <v>0.05</v>
      </c>
    </row>
    <row r="109" spans="1:6" ht="24">
      <c r="A109" s="101" t="s">
        <v>267</v>
      </c>
      <c r="B109" s="108" t="s">
        <v>2562</v>
      </c>
      <c r="C109" s="104"/>
      <c r="D109" s="104"/>
      <c r="E109" s="104"/>
      <c r="F109" s="109">
        <v>0.05</v>
      </c>
    </row>
    <row r="110" spans="1:6">
      <c r="A110" s="93" t="s">
        <v>273</v>
      </c>
      <c r="B110" s="94" t="s">
        <v>2274</v>
      </c>
      <c r="C110" s="95">
        <v>0.129</v>
      </c>
      <c r="D110" s="95">
        <v>0.129</v>
      </c>
      <c r="E110" s="95">
        <v>0.126</v>
      </c>
      <c r="F110" s="96">
        <v>0.13</v>
      </c>
    </row>
    <row r="111" spans="1:6">
      <c r="A111" s="93" t="s">
        <v>273</v>
      </c>
      <c r="B111" s="97" t="s">
        <v>2287</v>
      </c>
      <c r="C111" s="98">
        <v>0.11</v>
      </c>
      <c r="D111" s="98">
        <v>0.11</v>
      </c>
      <c r="E111" s="98">
        <v>9.9000000000000005E-2</v>
      </c>
      <c r="F111" s="99">
        <v>0.128</v>
      </c>
    </row>
    <row r="112" spans="1:6">
      <c r="A112" s="93" t="s">
        <v>273</v>
      </c>
      <c r="B112" s="97" t="s">
        <v>2301</v>
      </c>
      <c r="C112" s="98">
        <v>0.125</v>
      </c>
      <c r="D112" s="98">
        <v>0.125</v>
      </c>
      <c r="E112" s="98">
        <v>0.12</v>
      </c>
      <c r="F112" s="99">
        <v>0.125</v>
      </c>
    </row>
    <row r="113" spans="1:6">
      <c r="A113" s="93" t="s">
        <v>273</v>
      </c>
      <c r="B113" s="97" t="s">
        <v>2313</v>
      </c>
      <c r="C113" s="98">
        <v>0.13</v>
      </c>
      <c r="D113" s="98">
        <v>0.13</v>
      </c>
      <c r="E113" s="98">
        <v>0.13</v>
      </c>
      <c r="F113" s="99">
        <v>0.13</v>
      </c>
    </row>
    <row r="114" spans="1:6">
      <c r="A114" s="93" t="s">
        <v>273</v>
      </c>
      <c r="B114" s="97" t="s">
        <v>2325</v>
      </c>
      <c r="C114" s="98">
        <v>0.123</v>
      </c>
      <c r="D114" s="98">
        <v>0.123</v>
      </c>
      <c r="E114" s="98">
        <v>0.12</v>
      </c>
      <c r="F114" s="99">
        <v>0.13</v>
      </c>
    </row>
    <row r="115" spans="1:6">
      <c r="A115" s="93" t="s">
        <v>273</v>
      </c>
      <c r="B115" s="97" t="s">
        <v>2336</v>
      </c>
      <c r="C115" s="98">
        <v>0.125</v>
      </c>
      <c r="D115" s="98">
        <v>0.125</v>
      </c>
      <c r="E115" s="98">
        <v>0.11700000000000001</v>
      </c>
      <c r="F115" s="99">
        <v>0.13</v>
      </c>
    </row>
    <row r="116" spans="1:6">
      <c r="A116" s="93" t="s">
        <v>273</v>
      </c>
      <c r="B116" s="97" t="s">
        <v>2347</v>
      </c>
      <c r="C116" s="98">
        <v>0.11700000000000001</v>
      </c>
      <c r="D116" s="98">
        <v>0.11700000000000001</v>
      </c>
      <c r="E116" s="98">
        <v>8.7999999999999995E-2</v>
      </c>
      <c r="F116" s="99">
        <v>0.13</v>
      </c>
    </row>
    <row r="117" spans="1:6">
      <c r="A117" s="93" t="s">
        <v>273</v>
      </c>
      <c r="B117" s="97" t="s">
        <v>2358</v>
      </c>
      <c r="C117" s="98">
        <v>0.13</v>
      </c>
      <c r="D117" s="98">
        <v>0.13</v>
      </c>
      <c r="E117" s="98">
        <v>0.129</v>
      </c>
      <c r="F117" s="99">
        <v>0.13</v>
      </c>
    </row>
    <row r="118" spans="1:6">
      <c r="A118" s="93" t="s">
        <v>273</v>
      </c>
      <c r="B118" s="97" t="s">
        <v>2368</v>
      </c>
      <c r="C118" s="98">
        <v>0.123</v>
      </c>
      <c r="D118" s="98">
        <v>0.123</v>
      </c>
      <c r="E118" s="98">
        <v>0.11600000000000001</v>
      </c>
      <c r="F118" s="99">
        <v>0.13</v>
      </c>
    </row>
    <row r="119" spans="1:6">
      <c r="A119" s="93" t="s">
        <v>273</v>
      </c>
      <c r="B119" s="97" t="s">
        <v>2378</v>
      </c>
      <c r="C119" s="98">
        <v>0.127</v>
      </c>
      <c r="D119" s="98">
        <v>0.127</v>
      </c>
      <c r="E119" s="98">
        <v>0.124</v>
      </c>
      <c r="F119" s="99">
        <v>0.13</v>
      </c>
    </row>
    <row r="120" spans="1:6">
      <c r="A120" s="93" t="s">
        <v>273</v>
      </c>
      <c r="B120" s="97" t="s">
        <v>2388</v>
      </c>
      <c r="C120" s="98">
        <v>0.125</v>
      </c>
      <c r="D120" s="98">
        <v>0.125</v>
      </c>
      <c r="E120" s="98">
        <v>0.122</v>
      </c>
      <c r="F120" s="99">
        <v>0.13</v>
      </c>
    </row>
    <row r="121" spans="1:6">
      <c r="A121" s="93" t="s">
        <v>273</v>
      </c>
      <c r="B121" s="97" t="s">
        <v>2398</v>
      </c>
      <c r="C121" s="98">
        <v>0.13</v>
      </c>
      <c r="D121" s="98">
        <v>0.13</v>
      </c>
      <c r="E121" s="98">
        <v>0.13</v>
      </c>
      <c r="F121" s="99">
        <v>0.13</v>
      </c>
    </row>
    <row r="122" spans="1:6">
      <c r="A122" s="93" t="s">
        <v>273</v>
      </c>
      <c r="B122" s="97" t="s">
        <v>2408</v>
      </c>
      <c r="C122" s="98">
        <v>0.13</v>
      </c>
      <c r="D122" s="98">
        <v>0.13</v>
      </c>
      <c r="E122" s="98">
        <v>0.125</v>
      </c>
      <c r="F122" s="99">
        <v>0.13</v>
      </c>
    </row>
    <row r="123" spans="1:6">
      <c r="A123" s="93" t="s">
        <v>273</v>
      </c>
      <c r="B123" s="97" t="s">
        <v>2418</v>
      </c>
      <c r="C123" s="98">
        <v>0.129</v>
      </c>
      <c r="D123" s="98">
        <v>0.129</v>
      </c>
      <c r="E123" s="98">
        <v>0.123</v>
      </c>
      <c r="F123" s="99">
        <v>0.13</v>
      </c>
    </row>
    <row r="124" spans="1:6">
      <c r="A124" s="93" t="s">
        <v>273</v>
      </c>
      <c r="B124" s="97" t="s">
        <v>2428</v>
      </c>
      <c r="C124" s="98">
        <v>0.10199999999999999</v>
      </c>
      <c r="D124" s="98">
        <v>0.10100000000000001</v>
      </c>
      <c r="E124" s="98">
        <v>0.08</v>
      </c>
      <c r="F124" s="106"/>
    </row>
    <row r="125" spans="1:6">
      <c r="A125" s="93" t="s">
        <v>273</v>
      </c>
      <c r="B125" s="97" t="s">
        <v>2438</v>
      </c>
      <c r="C125" s="98">
        <v>0.13</v>
      </c>
      <c r="D125" s="98">
        <v>0.13</v>
      </c>
      <c r="E125" s="98">
        <v>0.129</v>
      </c>
      <c r="F125" s="106"/>
    </row>
    <row r="126" spans="1:6">
      <c r="A126" s="93" t="s">
        <v>273</v>
      </c>
      <c r="B126" s="97" t="s">
        <v>2448</v>
      </c>
      <c r="C126" s="98">
        <v>0.13</v>
      </c>
      <c r="D126" s="98">
        <v>0.13</v>
      </c>
      <c r="E126" s="98">
        <v>0.126</v>
      </c>
      <c r="F126" s="106"/>
    </row>
    <row r="127" spans="1:6">
      <c r="A127" s="93" t="s">
        <v>273</v>
      </c>
      <c r="B127" s="97" t="s">
        <v>2458</v>
      </c>
      <c r="C127" s="98">
        <v>0.125</v>
      </c>
      <c r="D127" s="98">
        <v>0.125</v>
      </c>
      <c r="E127" s="98">
        <v>0.121</v>
      </c>
      <c r="F127" s="106"/>
    </row>
    <row r="128" spans="1:6">
      <c r="A128" s="93" t="s">
        <v>273</v>
      </c>
      <c r="B128" s="97" t="s">
        <v>2468</v>
      </c>
      <c r="C128" s="98">
        <v>0.12</v>
      </c>
      <c r="D128" s="98">
        <v>0.12</v>
      </c>
      <c r="E128" s="98">
        <v>0.105</v>
      </c>
      <c r="F128" s="106"/>
    </row>
    <row r="129" spans="1:6">
      <c r="A129" s="93" t="s">
        <v>273</v>
      </c>
      <c r="B129" s="97" t="s">
        <v>2477</v>
      </c>
      <c r="C129" s="98">
        <v>0.13</v>
      </c>
      <c r="D129" s="98">
        <v>0.13</v>
      </c>
      <c r="E129" s="98">
        <v>0.126</v>
      </c>
      <c r="F129" s="106"/>
    </row>
    <row r="130" spans="1:6">
      <c r="A130" s="93" t="s">
        <v>273</v>
      </c>
      <c r="B130" s="97" t="s">
        <v>2485</v>
      </c>
      <c r="C130" s="98">
        <v>0.125</v>
      </c>
      <c r="D130" s="98">
        <v>0.125</v>
      </c>
      <c r="E130" s="98">
        <v>0.122</v>
      </c>
      <c r="F130" s="106"/>
    </row>
    <row r="131" spans="1:6">
      <c r="A131" s="93" t="s">
        <v>273</v>
      </c>
      <c r="B131" s="97" t="s">
        <v>2493</v>
      </c>
      <c r="C131" s="98">
        <v>0.127</v>
      </c>
      <c r="D131" s="98">
        <v>0.126</v>
      </c>
      <c r="E131" s="98">
        <v>0.123</v>
      </c>
      <c r="F131" s="106"/>
    </row>
    <row r="132" spans="1:6">
      <c r="A132" s="93" t="s">
        <v>273</v>
      </c>
      <c r="B132" s="97" t="s">
        <v>2500</v>
      </c>
      <c r="C132" s="98">
        <v>9.0999999999999998E-2</v>
      </c>
      <c r="D132" s="98">
        <v>0.121</v>
      </c>
      <c r="E132" s="98">
        <v>9.9000000000000005E-2</v>
      </c>
      <c r="F132" s="106"/>
    </row>
    <row r="133" spans="1:6">
      <c r="A133" s="93" t="s">
        <v>273</v>
      </c>
      <c r="B133" s="97" t="s">
        <v>2507</v>
      </c>
      <c r="C133" s="98">
        <v>0.13</v>
      </c>
      <c r="D133" s="98">
        <v>0.13</v>
      </c>
      <c r="E133" s="98">
        <v>0.129</v>
      </c>
      <c r="F133" s="106"/>
    </row>
    <row r="134" spans="1:6">
      <c r="A134" s="93" t="s">
        <v>273</v>
      </c>
      <c r="B134" s="97" t="s">
        <v>2514</v>
      </c>
      <c r="C134" s="98">
        <v>6.8000000000000005E-2</v>
      </c>
      <c r="D134" s="98">
        <v>6.5000000000000002E-2</v>
      </c>
      <c r="E134" s="98">
        <v>6.5000000000000002E-2</v>
      </c>
      <c r="F134" s="99">
        <v>0.13</v>
      </c>
    </row>
    <row r="135" spans="1:6">
      <c r="A135" s="93" t="s">
        <v>273</v>
      </c>
      <c r="B135" s="97" t="s">
        <v>2521</v>
      </c>
      <c r="C135" s="98">
        <v>0.123</v>
      </c>
      <c r="D135" s="98">
        <v>0.123</v>
      </c>
      <c r="E135" s="98">
        <v>0.11</v>
      </c>
      <c r="F135" s="106"/>
    </row>
    <row r="136" spans="1:6">
      <c r="A136" s="93" t="s">
        <v>273</v>
      </c>
      <c r="B136" s="97" t="s">
        <v>2528</v>
      </c>
      <c r="C136" s="98">
        <v>0.13</v>
      </c>
      <c r="D136" s="98">
        <v>0.13</v>
      </c>
      <c r="E136" s="98">
        <v>0.125</v>
      </c>
      <c r="F136" s="106"/>
    </row>
    <row r="137" spans="1:6">
      <c r="A137" s="93" t="s">
        <v>273</v>
      </c>
      <c r="B137" s="97" t="s">
        <v>2533</v>
      </c>
      <c r="C137" s="98">
        <v>0.121</v>
      </c>
      <c r="D137" s="98">
        <v>0.122</v>
      </c>
      <c r="E137" s="98">
        <v>0.115</v>
      </c>
      <c r="F137" s="106"/>
    </row>
    <row r="138" spans="1:6">
      <c r="A138" s="93" t="s">
        <v>273</v>
      </c>
      <c r="B138" s="97" t="s">
        <v>2538</v>
      </c>
      <c r="C138" s="98">
        <v>0.105</v>
      </c>
      <c r="D138" s="98">
        <v>0.125</v>
      </c>
      <c r="E138" s="98">
        <v>0.112</v>
      </c>
      <c r="F138" s="106"/>
    </row>
    <row r="139" spans="1:6">
      <c r="A139" s="93" t="s">
        <v>273</v>
      </c>
      <c r="B139" s="97" t="s">
        <v>2543</v>
      </c>
      <c r="C139" s="98">
        <v>0.127</v>
      </c>
      <c r="D139" s="98">
        <v>0.127</v>
      </c>
      <c r="E139" s="98">
        <v>0.122</v>
      </c>
      <c r="F139" s="99">
        <v>0.13</v>
      </c>
    </row>
    <row r="140" spans="1:6">
      <c r="A140" s="93" t="s">
        <v>273</v>
      </c>
      <c r="B140" s="97" t="s">
        <v>2548</v>
      </c>
      <c r="C140" s="98">
        <v>0.125</v>
      </c>
      <c r="D140" s="98">
        <v>0.125</v>
      </c>
      <c r="E140" s="98">
        <v>0.11899999999999999</v>
      </c>
      <c r="F140" s="99">
        <v>0.13</v>
      </c>
    </row>
    <row r="141" spans="1:6">
      <c r="A141" s="93" t="s">
        <v>273</v>
      </c>
      <c r="B141" s="97" t="s">
        <v>2553</v>
      </c>
      <c r="C141" s="98">
        <v>0.125</v>
      </c>
      <c r="D141" s="98">
        <v>0.125</v>
      </c>
      <c r="E141" s="98">
        <v>0.11700000000000001</v>
      </c>
      <c r="F141" s="106"/>
    </row>
    <row r="142" spans="1:6">
      <c r="A142" s="93" t="s">
        <v>273</v>
      </c>
      <c r="B142" s="97" t="s">
        <v>2558</v>
      </c>
      <c r="C142" s="98">
        <v>0.125</v>
      </c>
      <c r="D142" s="98">
        <v>0.125</v>
      </c>
      <c r="E142" s="98">
        <v>0.115</v>
      </c>
      <c r="F142" s="106"/>
    </row>
    <row r="143" spans="1:6">
      <c r="A143" s="93" t="s">
        <v>273</v>
      </c>
      <c r="B143" s="97" t="s">
        <v>2563</v>
      </c>
      <c r="C143" s="98">
        <v>0.121</v>
      </c>
      <c r="D143" s="98">
        <v>0.121</v>
      </c>
      <c r="E143" s="98">
        <v>0.108</v>
      </c>
      <c r="F143" s="106"/>
    </row>
    <row r="144" spans="1:6">
      <c r="A144" s="93" t="s">
        <v>273</v>
      </c>
      <c r="B144" s="110" t="s">
        <v>2567</v>
      </c>
      <c r="C144" s="111">
        <v>0.126</v>
      </c>
      <c r="D144" s="111">
        <v>0.126</v>
      </c>
      <c r="E144" s="111">
        <v>0.121</v>
      </c>
      <c r="F144" s="106"/>
    </row>
    <row r="145" spans="1:6">
      <c r="A145" s="101" t="s">
        <v>273</v>
      </c>
      <c r="B145" s="112" t="s">
        <v>2571</v>
      </c>
      <c r="C145" s="113"/>
      <c r="D145" s="113"/>
      <c r="E145" s="113"/>
      <c r="F145" s="114">
        <v>0.05</v>
      </c>
    </row>
    <row r="146" spans="1:6" ht="24">
      <c r="A146" s="115" t="s">
        <v>273</v>
      </c>
      <c r="B146" s="100" t="s">
        <v>2575</v>
      </c>
      <c r="C146" s="107"/>
      <c r="D146" s="107"/>
      <c r="E146" s="107"/>
      <c r="F146" s="116">
        <v>0.05</v>
      </c>
    </row>
    <row r="147" spans="1:6" ht="24">
      <c r="A147" s="93" t="s">
        <v>273</v>
      </c>
      <c r="B147" s="97" t="s">
        <v>2579</v>
      </c>
      <c r="C147" s="107"/>
      <c r="D147" s="107"/>
      <c r="E147" s="107"/>
      <c r="F147" s="99">
        <v>0.05</v>
      </c>
    </row>
    <row r="148" spans="1:6" ht="24">
      <c r="A148" s="93" t="s">
        <v>273</v>
      </c>
      <c r="B148" s="97" t="s">
        <v>2583</v>
      </c>
      <c r="C148" s="107"/>
      <c r="D148" s="107"/>
      <c r="E148" s="107"/>
      <c r="F148" s="99">
        <v>0.05</v>
      </c>
    </row>
    <row r="149" spans="1:6" ht="24">
      <c r="A149" s="93" t="s">
        <v>273</v>
      </c>
      <c r="B149" s="97" t="s">
        <v>2587</v>
      </c>
      <c r="C149" s="107"/>
      <c r="D149" s="107"/>
      <c r="E149" s="107"/>
      <c r="F149" s="99">
        <v>0.05</v>
      </c>
    </row>
    <row r="150" spans="1:6" ht="24">
      <c r="A150" s="93" t="s">
        <v>273</v>
      </c>
      <c r="B150" s="97" t="s">
        <v>2590</v>
      </c>
      <c r="C150" s="107"/>
      <c r="D150" s="107"/>
      <c r="E150" s="107"/>
      <c r="F150" s="99">
        <v>0.05</v>
      </c>
    </row>
    <row r="151" spans="1:6" ht="24">
      <c r="A151" s="93" t="s">
        <v>273</v>
      </c>
      <c r="B151" s="97" t="s">
        <v>2593</v>
      </c>
      <c r="C151" s="107"/>
      <c r="D151" s="107"/>
      <c r="E151" s="107"/>
      <c r="F151" s="99">
        <v>0.05</v>
      </c>
    </row>
    <row r="152" spans="1:6" ht="24">
      <c r="A152" s="93" t="s">
        <v>273</v>
      </c>
      <c r="B152" s="97" t="s">
        <v>2596</v>
      </c>
      <c r="C152" s="107"/>
      <c r="D152" s="107"/>
      <c r="E152" s="107"/>
      <c r="F152" s="99">
        <v>0.05</v>
      </c>
    </row>
    <row r="153" spans="1:6">
      <c r="A153" s="93" t="s">
        <v>273</v>
      </c>
      <c r="B153" s="97" t="s">
        <v>2599</v>
      </c>
      <c r="C153" s="107"/>
      <c r="D153" s="107"/>
      <c r="E153" s="107"/>
      <c r="F153" s="99">
        <v>0.05</v>
      </c>
    </row>
    <row r="154" spans="1:6">
      <c r="A154" s="93" t="s">
        <v>273</v>
      </c>
      <c r="B154" s="97" t="s">
        <v>2602</v>
      </c>
      <c r="C154" s="107"/>
      <c r="D154" s="107"/>
      <c r="E154" s="107"/>
      <c r="F154" s="99">
        <v>0.05</v>
      </c>
    </row>
    <row r="155" spans="1:6" ht="24">
      <c r="A155" s="93" t="s">
        <v>273</v>
      </c>
      <c r="B155" s="97" t="s">
        <v>2605</v>
      </c>
      <c r="C155" s="107"/>
      <c r="D155" s="107"/>
      <c r="E155" s="107"/>
      <c r="F155" s="99">
        <v>0.05</v>
      </c>
    </row>
    <row r="156" spans="1:6" ht="24">
      <c r="A156" s="93" t="s">
        <v>273</v>
      </c>
      <c r="B156" s="97" t="s">
        <v>2607</v>
      </c>
      <c r="C156" s="107"/>
      <c r="D156" s="107"/>
      <c r="E156" s="107"/>
      <c r="F156" s="99">
        <v>0.05</v>
      </c>
    </row>
    <row r="157" spans="1:6">
      <c r="A157" s="101" t="s">
        <v>273</v>
      </c>
      <c r="B157" s="108" t="s">
        <v>2609</v>
      </c>
      <c r="C157" s="104"/>
      <c r="D157" s="104"/>
      <c r="E157" s="104"/>
      <c r="F157" s="109">
        <v>0.05</v>
      </c>
    </row>
    <row r="158" spans="1:6">
      <c r="A158" s="93" t="s">
        <v>278</v>
      </c>
      <c r="B158" s="94" t="s">
        <v>2275</v>
      </c>
      <c r="C158" s="95">
        <v>0.13</v>
      </c>
      <c r="D158" s="95">
        <v>0.13</v>
      </c>
      <c r="E158" s="95">
        <v>0.13</v>
      </c>
      <c r="F158" s="96">
        <v>0.13</v>
      </c>
    </row>
    <row r="159" spans="1:6">
      <c r="A159" s="93" t="s">
        <v>278</v>
      </c>
      <c r="B159" s="97" t="s">
        <v>2288</v>
      </c>
      <c r="C159" s="98">
        <v>0.13</v>
      </c>
      <c r="D159" s="98">
        <v>0.13</v>
      </c>
      <c r="E159" s="98">
        <v>0.13</v>
      </c>
      <c r="F159" s="99">
        <v>0.13</v>
      </c>
    </row>
    <row r="160" spans="1:6">
      <c r="A160" s="93" t="s">
        <v>278</v>
      </c>
      <c r="B160" s="97" t="s">
        <v>2302</v>
      </c>
      <c r="C160" s="98">
        <v>0.13</v>
      </c>
      <c r="D160" s="98">
        <v>0.13</v>
      </c>
      <c r="E160" s="98">
        <v>0.129</v>
      </c>
      <c r="F160" s="99">
        <v>0.13</v>
      </c>
    </row>
    <row r="161" spans="1:6">
      <c r="A161" s="93" t="s">
        <v>278</v>
      </c>
      <c r="B161" s="97" t="s">
        <v>2314</v>
      </c>
      <c r="C161" s="98">
        <v>0.128</v>
      </c>
      <c r="D161" s="98">
        <v>0.128</v>
      </c>
      <c r="E161" s="98">
        <v>0.125</v>
      </c>
      <c r="F161" s="99">
        <v>0.13</v>
      </c>
    </row>
    <row r="162" spans="1:6">
      <c r="A162" s="93" t="s">
        <v>278</v>
      </c>
      <c r="B162" s="97" t="s">
        <v>2326</v>
      </c>
      <c r="C162" s="98">
        <v>0.122</v>
      </c>
      <c r="D162" s="98">
        <v>0.122</v>
      </c>
      <c r="E162" s="98">
        <v>0.126</v>
      </c>
      <c r="F162" s="99">
        <v>0.122</v>
      </c>
    </row>
    <row r="163" spans="1:6">
      <c r="A163" s="93" t="s">
        <v>278</v>
      </c>
      <c r="B163" s="97" t="s">
        <v>2337</v>
      </c>
      <c r="C163" s="98">
        <v>0.13</v>
      </c>
      <c r="D163" s="98">
        <v>0.13</v>
      </c>
      <c r="E163" s="98">
        <v>0.125</v>
      </c>
      <c r="F163" s="99">
        <v>0.13</v>
      </c>
    </row>
    <row r="164" spans="1:6">
      <c r="A164" s="93" t="s">
        <v>278</v>
      </c>
      <c r="B164" s="97" t="s">
        <v>2348</v>
      </c>
      <c r="C164" s="98">
        <v>0.13</v>
      </c>
      <c r="D164" s="98">
        <v>0.13</v>
      </c>
      <c r="E164" s="98">
        <v>0.13</v>
      </c>
      <c r="F164" s="99">
        <v>0.13</v>
      </c>
    </row>
    <row r="165" spans="1:6">
      <c r="A165" s="93" t="s">
        <v>278</v>
      </c>
      <c r="B165" s="97" t="s">
        <v>2359</v>
      </c>
      <c r="C165" s="98">
        <v>0.13</v>
      </c>
      <c r="D165" s="98">
        <v>0.13</v>
      </c>
      <c r="E165" s="98">
        <v>0.124</v>
      </c>
      <c r="F165" s="99">
        <v>0.13</v>
      </c>
    </row>
    <row r="166" spans="1:6">
      <c r="A166" s="93" t="s">
        <v>278</v>
      </c>
      <c r="B166" s="97" t="s">
        <v>2369</v>
      </c>
      <c r="C166" s="98">
        <v>0.13</v>
      </c>
      <c r="D166" s="98">
        <v>0.13</v>
      </c>
      <c r="E166" s="98">
        <v>0.13</v>
      </c>
      <c r="F166" s="99">
        <v>0.13</v>
      </c>
    </row>
    <row r="167" spans="1:6">
      <c r="A167" s="93" t="s">
        <v>278</v>
      </c>
      <c r="B167" s="97" t="s">
        <v>2379</v>
      </c>
      <c r="C167" s="98">
        <v>0.125</v>
      </c>
      <c r="D167" s="98">
        <v>0.125</v>
      </c>
      <c r="E167" s="98">
        <v>0.121</v>
      </c>
      <c r="F167" s="106"/>
    </row>
    <row r="168" spans="1:6">
      <c r="A168" s="93" t="s">
        <v>278</v>
      </c>
      <c r="B168" s="97" t="s">
        <v>2389</v>
      </c>
      <c r="C168" s="98">
        <v>0.13</v>
      </c>
      <c r="D168" s="98">
        <v>0.13</v>
      </c>
      <c r="E168" s="98">
        <v>0.126</v>
      </c>
      <c r="F168" s="106"/>
    </row>
    <row r="169" spans="1:6">
      <c r="A169" s="93" t="s">
        <v>278</v>
      </c>
      <c r="B169" s="97" t="s">
        <v>2399</v>
      </c>
      <c r="C169" s="98">
        <v>0.128</v>
      </c>
      <c r="D169" s="98">
        <v>0.129</v>
      </c>
      <c r="E169" s="98">
        <v>0.13</v>
      </c>
      <c r="F169" s="106"/>
    </row>
    <row r="170" spans="1:6">
      <c r="A170" s="93" t="s">
        <v>278</v>
      </c>
      <c r="B170" s="97" t="s">
        <v>2409</v>
      </c>
      <c r="C170" s="98">
        <v>0.14099999999999999</v>
      </c>
      <c r="D170" s="98">
        <v>0.13</v>
      </c>
      <c r="E170" s="98">
        <v>0.125</v>
      </c>
      <c r="F170" s="106"/>
    </row>
    <row r="171" spans="1:6">
      <c r="A171" s="93" t="s">
        <v>278</v>
      </c>
      <c r="B171" s="97" t="s">
        <v>2419</v>
      </c>
      <c r="C171" s="98">
        <v>0.127</v>
      </c>
      <c r="D171" s="98">
        <v>0.126</v>
      </c>
      <c r="E171" s="98">
        <v>0.126</v>
      </c>
      <c r="F171" s="99">
        <v>0.11799999999999999</v>
      </c>
    </row>
    <row r="172" spans="1:6">
      <c r="A172" s="93" t="s">
        <v>278</v>
      </c>
      <c r="B172" s="97" t="s">
        <v>2429</v>
      </c>
      <c r="C172" s="98">
        <v>0.13</v>
      </c>
      <c r="D172" s="98">
        <v>0.13</v>
      </c>
      <c r="E172" s="98">
        <v>0.13</v>
      </c>
      <c r="F172" s="106"/>
    </row>
    <row r="173" spans="1:6">
      <c r="A173" s="93" t="s">
        <v>278</v>
      </c>
      <c r="B173" s="97" t="s">
        <v>2439</v>
      </c>
      <c r="C173" s="98">
        <v>0.13</v>
      </c>
      <c r="D173" s="98">
        <v>0.13</v>
      </c>
      <c r="E173" s="98">
        <v>0.13</v>
      </c>
      <c r="F173" s="106"/>
    </row>
    <row r="174" spans="1:6">
      <c r="A174" s="93" t="s">
        <v>278</v>
      </c>
      <c r="B174" s="97" t="s">
        <v>2449</v>
      </c>
      <c r="C174" s="98">
        <v>0.13</v>
      </c>
      <c r="D174" s="98">
        <v>0.13</v>
      </c>
      <c r="E174" s="98">
        <v>0.13</v>
      </c>
      <c r="F174" s="99">
        <v>0.13</v>
      </c>
    </row>
    <row r="175" spans="1:6">
      <c r="A175" s="93" t="s">
        <v>278</v>
      </c>
      <c r="B175" s="97" t="s">
        <v>2459</v>
      </c>
      <c r="C175" s="98">
        <v>0.13</v>
      </c>
      <c r="D175" s="98">
        <v>0.13</v>
      </c>
      <c r="E175" s="98">
        <v>0.13</v>
      </c>
      <c r="F175" s="99">
        <v>0.13</v>
      </c>
    </row>
    <row r="176" spans="1:6">
      <c r="A176" s="93" t="s">
        <v>278</v>
      </c>
      <c r="B176" s="97" t="s">
        <v>2469</v>
      </c>
      <c r="C176" s="98">
        <v>0.13</v>
      </c>
      <c r="D176" s="98">
        <v>0.13</v>
      </c>
      <c r="E176" s="98">
        <v>0.13</v>
      </c>
      <c r="F176" s="99">
        <v>0.13</v>
      </c>
    </row>
    <row r="177" spans="1:6">
      <c r="A177" s="93" t="s">
        <v>278</v>
      </c>
      <c r="B177" s="97" t="s">
        <v>2478</v>
      </c>
      <c r="C177" s="98">
        <v>0.13</v>
      </c>
      <c r="D177" s="98">
        <v>0.13</v>
      </c>
      <c r="E177" s="98">
        <v>0.13</v>
      </c>
      <c r="F177" s="99">
        <v>0.13</v>
      </c>
    </row>
    <row r="178" spans="1:6">
      <c r="A178" s="93" t="s">
        <v>278</v>
      </c>
      <c r="B178" s="97" t="s">
        <v>2486</v>
      </c>
      <c r="C178" s="98">
        <v>0.13</v>
      </c>
      <c r="D178" s="98">
        <v>0.13</v>
      </c>
      <c r="E178" s="98">
        <v>0.13</v>
      </c>
      <c r="F178" s="99">
        <v>0.127</v>
      </c>
    </row>
    <row r="179" spans="1:6">
      <c r="A179" s="93" t="s">
        <v>278</v>
      </c>
      <c r="B179" s="97" t="s">
        <v>2494</v>
      </c>
      <c r="C179" s="98">
        <v>0.13</v>
      </c>
      <c r="D179" s="98">
        <v>0.13</v>
      </c>
      <c r="E179" s="98">
        <v>0.13</v>
      </c>
      <c r="F179" s="106"/>
    </row>
    <row r="180" spans="1:6">
      <c r="A180" s="93" t="s">
        <v>278</v>
      </c>
      <c r="B180" s="97" t="s">
        <v>2501</v>
      </c>
      <c r="C180" s="98">
        <v>0.13</v>
      </c>
      <c r="D180" s="98">
        <v>0.13</v>
      </c>
      <c r="E180" s="98">
        <v>0.125</v>
      </c>
      <c r="F180" s="99">
        <v>0.13</v>
      </c>
    </row>
    <row r="181" spans="1:6">
      <c r="A181" s="93" t="s">
        <v>278</v>
      </c>
      <c r="B181" s="97" t="s">
        <v>2508</v>
      </c>
      <c r="C181" s="98">
        <v>0.122</v>
      </c>
      <c r="D181" s="98">
        <v>0.123</v>
      </c>
      <c r="E181" s="98">
        <v>0.126</v>
      </c>
      <c r="F181" s="99">
        <v>0.121</v>
      </c>
    </row>
    <row r="182" spans="1:6">
      <c r="A182" s="93" t="s">
        <v>278</v>
      </c>
      <c r="B182" s="97" t="s">
        <v>2515</v>
      </c>
      <c r="C182" s="98">
        <v>0.125</v>
      </c>
      <c r="D182" s="98">
        <v>0.125</v>
      </c>
      <c r="E182" s="98">
        <v>0.11700000000000001</v>
      </c>
      <c r="F182" s="99">
        <v>0.13</v>
      </c>
    </row>
    <row r="183" spans="1:6">
      <c r="A183" s="93" t="s">
        <v>278</v>
      </c>
      <c r="B183" s="97" t="s">
        <v>2522</v>
      </c>
      <c r="C183" s="98">
        <v>0.127</v>
      </c>
      <c r="D183" s="98">
        <v>0.127</v>
      </c>
      <c r="E183" s="98">
        <v>0.128</v>
      </c>
      <c r="F183" s="106"/>
    </row>
    <row r="184" spans="1:6">
      <c r="A184" s="93" t="s">
        <v>278</v>
      </c>
      <c r="B184" s="97" t="s">
        <v>2529</v>
      </c>
      <c r="C184" s="98">
        <v>0.125</v>
      </c>
      <c r="D184" s="98">
        <v>0.125</v>
      </c>
      <c r="E184" s="98">
        <v>0.127</v>
      </c>
      <c r="F184" s="106"/>
    </row>
    <row r="185" spans="1:6">
      <c r="A185" s="93" t="s">
        <v>278</v>
      </c>
      <c r="B185" s="97" t="s">
        <v>2534</v>
      </c>
      <c r="C185" s="98">
        <v>0.127</v>
      </c>
      <c r="D185" s="98">
        <v>0.127</v>
      </c>
      <c r="E185" s="98">
        <v>0.128</v>
      </c>
      <c r="F185" s="99">
        <v>0.13</v>
      </c>
    </row>
    <row r="186" spans="1:6" ht="24">
      <c r="A186" s="93" t="s">
        <v>278</v>
      </c>
      <c r="B186" s="97" t="s">
        <v>2539</v>
      </c>
      <c r="C186" s="107"/>
      <c r="D186" s="107"/>
      <c r="E186" s="107"/>
      <c r="F186" s="99">
        <v>0.05</v>
      </c>
    </row>
    <row r="187" spans="1:6">
      <c r="A187" s="93" t="s">
        <v>278</v>
      </c>
      <c r="B187" s="97" t="s">
        <v>2544</v>
      </c>
      <c r="C187" s="107"/>
      <c r="D187" s="107"/>
      <c r="E187" s="107"/>
      <c r="F187" s="99">
        <v>0.05</v>
      </c>
    </row>
    <row r="188" spans="1:6">
      <c r="A188" s="93" t="s">
        <v>278</v>
      </c>
      <c r="B188" s="97" t="s">
        <v>2549</v>
      </c>
      <c r="C188" s="107"/>
      <c r="D188" s="107"/>
      <c r="E188" s="107"/>
      <c r="F188" s="99">
        <v>0.05</v>
      </c>
    </row>
    <row r="189" spans="1:6" ht="24">
      <c r="A189" s="93" t="s">
        <v>278</v>
      </c>
      <c r="B189" s="97" t="s">
        <v>2554</v>
      </c>
      <c r="C189" s="107"/>
      <c r="D189" s="107"/>
      <c r="E189" s="107"/>
      <c r="F189" s="99">
        <v>0.05</v>
      </c>
    </row>
    <row r="190" spans="1:6" ht="24">
      <c r="A190" s="93" t="s">
        <v>278</v>
      </c>
      <c r="B190" s="97" t="s">
        <v>2559</v>
      </c>
      <c r="C190" s="107"/>
      <c r="D190" s="107"/>
      <c r="E190" s="107"/>
      <c r="F190" s="99">
        <v>0.05</v>
      </c>
    </row>
    <row r="191" spans="1:6" ht="24">
      <c r="A191" s="93" t="s">
        <v>278</v>
      </c>
      <c r="B191" s="97" t="s">
        <v>2564</v>
      </c>
      <c r="C191" s="107"/>
      <c r="D191" s="107"/>
      <c r="E191" s="107"/>
      <c r="F191" s="99">
        <v>0.05</v>
      </c>
    </row>
    <row r="192" spans="1:6" ht="24">
      <c r="A192" s="93" t="s">
        <v>278</v>
      </c>
      <c r="B192" s="97" t="s">
        <v>2568</v>
      </c>
      <c r="C192" s="107"/>
      <c r="D192" s="107"/>
      <c r="E192" s="107"/>
      <c r="F192" s="99">
        <v>0.05</v>
      </c>
    </row>
    <row r="193" spans="1:6" ht="24">
      <c r="A193" s="93" t="s">
        <v>278</v>
      </c>
      <c r="B193" s="97" t="s">
        <v>2572</v>
      </c>
      <c r="C193" s="107"/>
      <c r="D193" s="107"/>
      <c r="E193" s="107"/>
      <c r="F193" s="99">
        <v>0.05</v>
      </c>
    </row>
    <row r="194" spans="1:6" ht="24">
      <c r="A194" s="93" t="s">
        <v>278</v>
      </c>
      <c r="B194" s="97" t="s">
        <v>2576</v>
      </c>
      <c r="C194" s="107"/>
      <c r="D194" s="107"/>
      <c r="E194" s="107"/>
      <c r="F194" s="99">
        <v>0.05</v>
      </c>
    </row>
    <row r="195" spans="1:6">
      <c r="A195" s="93" t="s">
        <v>278</v>
      </c>
      <c r="B195" s="97" t="s">
        <v>2580</v>
      </c>
      <c r="C195" s="107"/>
      <c r="D195" s="107"/>
      <c r="E195" s="107"/>
      <c r="F195" s="99">
        <v>0.05</v>
      </c>
    </row>
    <row r="196" spans="1:6" ht="24">
      <c r="A196" s="93" t="s">
        <v>278</v>
      </c>
      <c r="B196" s="97" t="s">
        <v>2584</v>
      </c>
      <c r="C196" s="107"/>
      <c r="D196" s="107"/>
      <c r="E196" s="107"/>
      <c r="F196" s="99">
        <v>0.05</v>
      </c>
    </row>
    <row r="197" spans="1:6" ht="24">
      <c r="A197" s="93" t="s">
        <v>278</v>
      </c>
      <c r="B197" s="97" t="s">
        <v>2588</v>
      </c>
      <c r="C197" s="107"/>
      <c r="D197" s="107"/>
      <c r="E197" s="107"/>
      <c r="F197" s="99">
        <v>0.05</v>
      </c>
    </row>
    <row r="198" spans="1:6" ht="24">
      <c r="A198" s="93" t="s">
        <v>278</v>
      </c>
      <c r="B198" s="97" t="s">
        <v>2591</v>
      </c>
      <c r="C198" s="107"/>
      <c r="D198" s="107"/>
      <c r="E198" s="107"/>
      <c r="F198" s="99">
        <v>0.05</v>
      </c>
    </row>
    <row r="199" spans="1:6" ht="24">
      <c r="A199" s="93" t="s">
        <v>278</v>
      </c>
      <c r="B199" s="97" t="s">
        <v>2594</v>
      </c>
      <c r="C199" s="107"/>
      <c r="D199" s="107"/>
      <c r="E199" s="107"/>
      <c r="F199" s="99">
        <v>0.05</v>
      </c>
    </row>
    <row r="200" spans="1:6" ht="24">
      <c r="A200" s="93" t="s">
        <v>278</v>
      </c>
      <c r="B200" s="97" t="s">
        <v>2597</v>
      </c>
      <c r="C200" s="107"/>
      <c r="D200" s="107"/>
      <c r="E200" s="107"/>
      <c r="F200" s="99">
        <v>0.05</v>
      </c>
    </row>
    <row r="201" spans="1:6" ht="24">
      <c r="A201" s="93" t="s">
        <v>278</v>
      </c>
      <c r="B201" s="97" t="s">
        <v>2600</v>
      </c>
      <c r="C201" s="107"/>
      <c r="D201" s="107"/>
      <c r="E201" s="107"/>
      <c r="F201" s="99">
        <v>0.05</v>
      </c>
    </row>
    <row r="202" spans="1:6" ht="24">
      <c r="A202" s="93" t="s">
        <v>278</v>
      </c>
      <c r="B202" s="97" t="s">
        <v>2603</v>
      </c>
      <c r="C202" s="107"/>
      <c r="D202" s="107"/>
      <c r="E202" s="107"/>
      <c r="F202" s="99">
        <v>0.05</v>
      </c>
    </row>
    <row r="203" spans="1:6" ht="24">
      <c r="A203" s="93" t="s">
        <v>278</v>
      </c>
      <c r="B203" s="97" t="s">
        <v>2606</v>
      </c>
      <c r="C203" s="107"/>
      <c r="D203" s="107"/>
      <c r="E203" s="107"/>
      <c r="F203" s="99">
        <v>0.05</v>
      </c>
    </row>
    <row r="204" spans="1:6">
      <c r="A204" s="93" t="s">
        <v>278</v>
      </c>
      <c r="B204" s="97" t="s">
        <v>2608</v>
      </c>
      <c r="C204" s="107"/>
      <c r="D204" s="107"/>
      <c r="E204" s="107"/>
      <c r="F204" s="99">
        <v>0.05</v>
      </c>
    </row>
    <row r="205" spans="1:6">
      <c r="A205" s="101" t="s">
        <v>278</v>
      </c>
      <c r="B205" s="108" t="s">
        <v>2610</v>
      </c>
      <c r="C205" s="104"/>
      <c r="D205" s="104"/>
      <c r="E205" s="104"/>
      <c r="F205" s="109">
        <v>0.05</v>
      </c>
    </row>
    <row r="206" spans="1:6">
      <c r="A206" s="93" t="s">
        <v>283</v>
      </c>
      <c r="B206" s="94" t="s">
        <v>2276</v>
      </c>
      <c r="C206" s="95">
        <v>0.15</v>
      </c>
      <c r="D206" s="95">
        <v>0.15</v>
      </c>
      <c r="E206" s="95">
        <v>0.15</v>
      </c>
      <c r="F206" s="96">
        <v>0.15</v>
      </c>
    </row>
    <row r="207" spans="1:6">
      <c r="A207" s="93" t="s">
        <v>283</v>
      </c>
      <c r="B207" s="97" t="s">
        <v>2289</v>
      </c>
      <c r="C207" s="98">
        <v>0.15</v>
      </c>
      <c r="D207" s="98">
        <v>0.15</v>
      </c>
      <c r="E207" s="98">
        <v>0.15</v>
      </c>
      <c r="F207" s="99">
        <v>0.14399999999999999</v>
      </c>
    </row>
    <row r="208" spans="1:6">
      <c r="A208" s="93" t="s">
        <v>283</v>
      </c>
      <c r="B208" s="97" t="s">
        <v>2303</v>
      </c>
      <c r="C208" s="98">
        <v>0.15</v>
      </c>
      <c r="D208" s="98">
        <v>0.15</v>
      </c>
      <c r="E208" s="98">
        <v>0.15</v>
      </c>
      <c r="F208" s="99">
        <v>0.15</v>
      </c>
    </row>
    <row r="209" spans="1:6">
      <c r="A209" s="93" t="s">
        <v>283</v>
      </c>
      <c r="B209" s="97" t="s">
        <v>2315</v>
      </c>
      <c r="C209" s="98">
        <v>0.13700000000000001</v>
      </c>
      <c r="D209" s="98">
        <v>0.13700000000000001</v>
      </c>
      <c r="E209" s="98">
        <v>0.14000000000000001</v>
      </c>
      <c r="F209" s="99">
        <v>0.11700000000000001</v>
      </c>
    </row>
    <row r="210" spans="1:6">
      <c r="A210" s="93" t="s">
        <v>283</v>
      </c>
      <c r="B210" s="97" t="s">
        <v>2327</v>
      </c>
      <c r="C210" s="98">
        <v>0.15</v>
      </c>
      <c r="D210" s="98">
        <v>0.15</v>
      </c>
      <c r="E210" s="98">
        <v>0.15</v>
      </c>
      <c r="F210" s="99">
        <v>0.13800000000000001</v>
      </c>
    </row>
    <row r="211" spans="1:6">
      <c r="A211" s="93" t="s">
        <v>283</v>
      </c>
      <c r="B211" s="97" t="s">
        <v>2338</v>
      </c>
      <c r="C211" s="98">
        <v>0.13700000000000001</v>
      </c>
      <c r="D211" s="98">
        <v>0.13500000000000001</v>
      </c>
      <c r="E211" s="98">
        <v>0.13600000000000001</v>
      </c>
      <c r="F211" s="99">
        <v>0.1</v>
      </c>
    </row>
    <row r="212" spans="1:6">
      <c r="A212" s="93" t="s">
        <v>283</v>
      </c>
      <c r="B212" s="97" t="s">
        <v>2349</v>
      </c>
      <c r="C212" s="98">
        <v>0.15</v>
      </c>
      <c r="D212" s="98">
        <v>0.15</v>
      </c>
      <c r="E212" s="98">
        <v>0.14799999999999999</v>
      </c>
      <c r="F212" s="99">
        <v>0.13600000000000001</v>
      </c>
    </row>
    <row r="213" spans="1:6">
      <c r="A213" s="93" t="s">
        <v>283</v>
      </c>
      <c r="B213" s="97" t="s">
        <v>2360</v>
      </c>
      <c r="C213" s="98">
        <v>0.15</v>
      </c>
      <c r="D213" s="98">
        <v>0.15</v>
      </c>
      <c r="E213" s="98">
        <v>0.15</v>
      </c>
      <c r="F213" s="99">
        <v>0.13800000000000001</v>
      </c>
    </row>
    <row r="214" spans="1:6">
      <c r="A214" s="93" t="s">
        <v>283</v>
      </c>
      <c r="B214" s="97" t="s">
        <v>2370</v>
      </c>
      <c r="C214" s="98">
        <v>9.0999999999999998E-2</v>
      </c>
      <c r="D214" s="98">
        <v>0.09</v>
      </c>
      <c r="E214" s="98">
        <v>9.1999999999999998E-2</v>
      </c>
      <c r="F214" s="106"/>
    </row>
    <row r="215" spans="1:6">
      <c r="A215" s="93" t="s">
        <v>283</v>
      </c>
      <c r="B215" s="97" t="s">
        <v>2380</v>
      </c>
      <c r="C215" s="98">
        <v>0.15</v>
      </c>
      <c r="D215" s="98">
        <v>0.15</v>
      </c>
      <c r="E215" s="98">
        <v>0.15</v>
      </c>
      <c r="F215" s="99">
        <v>0.15</v>
      </c>
    </row>
    <row r="216" spans="1:6">
      <c r="A216" s="93" t="s">
        <v>283</v>
      </c>
      <c r="B216" s="97" t="s">
        <v>2390</v>
      </c>
      <c r="C216" s="98">
        <v>0.14699999999999999</v>
      </c>
      <c r="D216" s="98">
        <v>0.14699999999999999</v>
      </c>
      <c r="E216" s="98">
        <v>0.15</v>
      </c>
      <c r="F216" s="99">
        <v>0.14000000000000001</v>
      </c>
    </row>
    <row r="217" spans="1:6">
      <c r="A217" s="93" t="s">
        <v>283</v>
      </c>
      <c r="B217" s="97" t="s">
        <v>2400</v>
      </c>
      <c r="C217" s="98">
        <v>0.15</v>
      </c>
      <c r="D217" s="98">
        <v>0.15</v>
      </c>
      <c r="E217" s="98">
        <v>0.15</v>
      </c>
      <c r="F217" s="99">
        <v>0.15</v>
      </c>
    </row>
    <row r="218" spans="1:6">
      <c r="A218" s="93" t="s">
        <v>283</v>
      </c>
      <c r="B218" s="97" t="s">
        <v>2410</v>
      </c>
      <c r="C218" s="98">
        <v>0.15</v>
      </c>
      <c r="D218" s="98">
        <v>0.15</v>
      </c>
      <c r="E218" s="98">
        <v>0.15</v>
      </c>
      <c r="F218" s="99">
        <v>0.15</v>
      </c>
    </row>
    <row r="219" spans="1:6">
      <c r="A219" s="93" t="s">
        <v>283</v>
      </c>
      <c r="B219" s="97" t="s">
        <v>2420</v>
      </c>
      <c r="C219" s="98">
        <v>0.15</v>
      </c>
      <c r="D219" s="98">
        <v>0.15</v>
      </c>
      <c r="E219" s="98">
        <v>0.15</v>
      </c>
      <c r="F219" s="99">
        <v>0.14799999999999999</v>
      </c>
    </row>
    <row r="220" spans="1:6">
      <c r="A220" s="93" t="s">
        <v>283</v>
      </c>
      <c r="B220" s="97" t="s">
        <v>2430</v>
      </c>
      <c r="C220" s="98">
        <v>0.15</v>
      </c>
      <c r="D220" s="98">
        <v>0.15</v>
      </c>
      <c r="E220" s="98">
        <v>0.15</v>
      </c>
      <c r="F220" s="99">
        <v>0.15</v>
      </c>
    </row>
    <row r="221" spans="1:6">
      <c r="A221" s="93" t="s">
        <v>283</v>
      </c>
      <c r="B221" s="97" t="s">
        <v>2440</v>
      </c>
      <c r="C221" s="98"/>
      <c r="D221" s="107"/>
      <c r="E221" s="107"/>
      <c r="F221" s="99">
        <v>0.14799999999999999</v>
      </c>
    </row>
    <row r="222" spans="1:6">
      <c r="A222" s="93" t="s">
        <v>283</v>
      </c>
      <c r="B222" s="97" t="s">
        <v>2450</v>
      </c>
      <c r="C222" s="98"/>
      <c r="D222" s="107"/>
      <c r="E222" s="107"/>
      <c r="F222" s="99">
        <v>0.1</v>
      </c>
    </row>
    <row r="223" spans="1:6">
      <c r="A223" s="93" t="s">
        <v>283</v>
      </c>
      <c r="B223" s="97" t="s">
        <v>2460</v>
      </c>
      <c r="C223" s="98"/>
      <c r="D223" s="107"/>
      <c r="E223" s="107"/>
      <c r="F223" s="99">
        <v>0.15</v>
      </c>
    </row>
    <row r="224" spans="1:6">
      <c r="A224" s="93" t="s">
        <v>283</v>
      </c>
      <c r="B224" s="97" t="s">
        <v>2470</v>
      </c>
      <c r="C224" s="98"/>
      <c r="D224" s="107"/>
      <c r="E224" s="107"/>
      <c r="F224" s="99">
        <v>0.15</v>
      </c>
    </row>
    <row r="225" spans="1:6">
      <c r="A225" s="93" t="s">
        <v>283</v>
      </c>
      <c r="B225" s="97" t="s">
        <v>2479</v>
      </c>
      <c r="C225" s="98">
        <v>0.15</v>
      </c>
      <c r="D225" s="98">
        <v>0.15</v>
      </c>
      <c r="E225" s="98">
        <v>0.15</v>
      </c>
      <c r="F225" s="99">
        <v>0.15</v>
      </c>
    </row>
    <row r="226" spans="1:6">
      <c r="A226" s="93" t="s">
        <v>283</v>
      </c>
      <c r="B226" s="97" t="s">
        <v>2487</v>
      </c>
      <c r="C226" s="98">
        <v>0.15</v>
      </c>
      <c r="D226" s="98">
        <v>0.15</v>
      </c>
      <c r="E226" s="98">
        <v>0.15</v>
      </c>
      <c r="F226" s="99">
        <v>0.14799999999999999</v>
      </c>
    </row>
    <row r="227" spans="1:6">
      <c r="A227" s="93" t="s">
        <v>283</v>
      </c>
      <c r="B227" s="97" t="s">
        <v>2495</v>
      </c>
      <c r="C227" s="98">
        <v>0.15</v>
      </c>
      <c r="D227" s="98">
        <v>0.15</v>
      </c>
      <c r="E227" s="98">
        <v>0.15</v>
      </c>
      <c r="F227" s="99">
        <v>0.15</v>
      </c>
    </row>
    <row r="228" spans="1:6">
      <c r="A228" s="93" t="s">
        <v>283</v>
      </c>
      <c r="B228" s="97" t="s">
        <v>2502</v>
      </c>
      <c r="C228" s="98">
        <v>0.15</v>
      </c>
      <c r="D228" s="98">
        <v>0.15</v>
      </c>
      <c r="E228" s="98">
        <v>0.15</v>
      </c>
      <c r="F228" s="99">
        <v>0.15</v>
      </c>
    </row>
    <row r="229" spans="1:6">
      <c r="A229" s="93" t="s">
        <v>283</v>
      </c>
      <c r="B229" s="97" t="s">
        <v>2509</v>
      </c>
      <c r="C229" s="98">
        <v>0.15</v>
      </c>
      <c r="D229" s="98">
        <v>0.15</v>
      </c>
      <c r="E229" s="98">
        <v>0.15</v>
      </c>
      <c r="F229" s="106"/>
    </row>
    <row r="230" spans="1:6">
      <c r="A230" s="93" t="s">
        <v>283</v>
      </c>
      <c r="B230" s="97" t="s">
        <v>2516</v>
      </c>
      <c r="C230" s="98">
        <v>0.14499999999999999</v>
      </c>
      <c r="D230" s="98">
        <v>0.14499999999999999</v>
      </c>
      <c r="E230" s="98">
        <v>0.14399999999999999</v>
      </c>
      <c r="F230" s="106"/>
    </row>
    <row r="231" spans="1:6">
      <c r="A231" s="93" t="s">
        <v>283</v>
      </c>
      <c r="B231" s="97" t="s">
        <v>2523</v>
      </c>
      <c r="C231" s="98">
        <v>0.128</v>
      </c>
      <c r="D231" s="98">
        <v>0.125</v>
      </c>
      <c r="E231" s="98">
        <v>0.13200000000000001</v>
      </c>
      <c r="F231" s="106"/>
    </row>
    <row r="232" spans="1:6">
      <c r="A232" s="93" t="s">
        <v>283</v>
      </c>
      <c r="B232" s="97" t="s">
        <v>2530</v>
      </c>
      <c r="C232" s="98">
        <v>0.14499999999999999</v>
      </c>
      <c r="D232" s="98">
        <v>0.14399999999999999</v>
      </c>
      <c r="E232" s="98">
        <v>0.14599999999999999</v>
      </c>
      <c r="F232" s="99">
        <v>0.13800000000000001</v>
      </c>
    </row>
    <row r="233" spans="1:6">
      <c r="A233" s="93" t="s">
        <v>283</v>
      </c>
      <c r="B233" s="97" t="s">
        <v>2535</v>
      </c>
      <c r="C233" s="98">
        <v>0.14499999999999999</v>
      </c>
      <c r="D233" s="98">
        <v>0.14299999999999999</v>
      </c>
      <c r="E233" s="98">
        <v>0.14199999999999999</v>
      </c>
      <c r="F233" s="106"/>
    </row>
    <row r="234" spans="1:6">
      <c r="A234" s="93" t="s">
        <v>283</v>
      </c>
      <c r="B234" s="97" t="s">
        <v>2613</v>
      </c>
      <c r="C234" s="98">
        <v>0.14000000000000001</v>
      </c>
      <c r="D234" s="98">
        <v>0.14000000000000001</v>
      </c>
      <c r="E234" s="98">
        <v>0.14399999999999999</v>
      </c>
      <c r="F234" s="106"/>
    </row>
    <row r="235" spans="1:6">
      <c r="A235" s="93" t="s">
        <v>283</v>
      </c>
      <c r="B235" s="97" t="s">
        <v>2545</v>
      </c>
      <c r="C235" s="98">
        <v>0.14099999999999999</v>
      </c>
      <c r="D235" s="98">
        <v>0.14199999999999999</v>
      </c>
      <c r="E235" s="98">
        <v>0.14499999999999999</v>
      </c>
      <c r="F235" s="99">
        <v>0.15</v>
      </c>
    </row>
    <row r="236" spans="1:6">
      <c r="A236" s="93" t="s">
        <v>283</v>
      </c>
      <c r="B236" s="97" t="s">
        <v>2550</v>
      </c>
      <c r="C236" s="107"/>
      <c r="D236" s="107"/>
      <c r="E236" s="107"/>
      <c r="F236" s="99">
        <v>0.14299999999999999</v>
      </c>
    </row>
    <row r="237" spans="1:6" ht="24">
      <c r="A237" s="93" t="s">
        <v>283</v>
      </c>
      <c r="B237" s="97" t="s">
        <v>2555</v>
      </c>
      <c r="C237" s="107"/>
      <c r="D237" s="107"/>
      <c r="E237" s="107"/>
      <c r="F237" s="99">
        <v>0.05</v>
      </c>
    </row>
    <row r="238" spans="1:6" ht="24">
      <c r="A238" s="93" t="s">
        <v>283</v>
      </c>
      <c r="B238" s="97" t="s">
        <v>2560</v>
      </c>
      <c r="C238" s="107"/>
      <c r="D238" s="107"/>
      <c r="E238" s="107"/>
      <c r="F238" s="99">
        <v>0.05</v>
      </c>
    </row>
    <row r="239" spans="1:6" ht="24">
      <c r="A239" s="93" t="s">
        <v>283</v>
      </c>
      <c r="B239" s="97" t="s">
        <v>2565</v>
      </c>
      <c r="C239" s="107"/>
      <c r="D239" s="107"/>
      <c r="E239" s="107"/>
      <c r="F239" s="99">
        <v>0.05</v>
      </c>
    </row>
    <row r="240" spans="1:6" ht="24">
      <c r="A240" s="93" t="s">
        <v>283</v>
      </c>
      <c r="B240" s="97" t="s">
        <v>2569</v>
      </c>
      <c r="C240" s="107"/>
      <c r="D240" s="107"/>
      <c r="E240" s="107"/>
      <c r="F240" s="99">
        <v>0.05</v>
      </c>
    </row>
    <row r="241" spans="1:6" ht="24">
      <c r="A241" s="93" t="s">
        <v>283</v>
      </c>
      <c r="B241" s="97" t="s">
        <v>2573</v>
      </c>
      <c r="C241" s="107"/>
      <c r="D241" s="107"/>
      <c r="E241" s="107"/>
      <c r="F241" s="99">
        <v>0.05</v>
      </c>
    </row>
    <row r="242" spans="1:6" ht="24">
      <c r="A242" s="93" t="s">
        <v>283</v>
      </c>
      <c r="B242" s="97" t="s">
        <v>2577</v>
      </c>
      <c r="C242" s="107"/>
      <c r="D242" s="107"/>
      <c r="E242" s="107"/>
      <c r="F242" s="99">
        <v>0.05</v>
      </c>
    </row>
    <row r="243" spans="1:6" ht="24">
      <c r="A243" s="93" t="s">
        <v>283</v>
      </c>
      <c r="B243" s="97" t="s">
        <v>2581</v>
      </c>
      <c r="C243" s="107"/>
      <c r="D243" s="107"/>
      <c r="E243" s="107"/>
      <c r="F243" s="99">
        <v>0.05</v>
      </c>
    </row>
    <row r="244" spans="1:6" ht="24">
      <c r="A244" s="101" t="s">
        <v>283</v>
      </c>
      <c r="B244" s="108" t="s">
        <v>2585</v>
      </c>
      <c r="C244" s="104"/>
      <c r="D244" s="104"/>
      <c r="E244" s="104"/>
      <c r="F244" s="109">
        <v>0.05</v>
      </c>
    </row>
    <row r="245" spans="1:6">
      <c r="A245" s="93" t="s">
        <v>286</v>
      </c>
      <c r="B245" s="94" t="s">
        <v>2277</v>
      </c>
      <c r="C245" s="95">
        <v>0.15</v>
      </c>
      <c r="D245" s="95">
        <v>0.15</v>
      </c>
      <c r="E245" s="95">
        <v>0.15</v>
      </c>
      <c r="F245" s="96">
        <v>0.14299999999999999</v>
      </c>
    </row>
    <row r="246" spans="1:6">
      <c r="A246" s="93" t="s">
        <v>286</v>
      </c>
      <c r="B246" s="97" t="s">
        <v>2290</v>
      </c>
      <c r="C246" s="98">
        <v>0.15</v>
      </c>
      <c r="D246" s="98">
        <v>0.15</v>
      </c>
      <c r="E246" s="98">
        <v>0.15</v>
      </c>
      <c r="F246" s="99">
        <v>0.114</v>
      </c>
    </row>
    <row r="247" spans="1:6">
      <c r="A247" s="93" t="s">
        <v>286</v>
      </c>
      <c r="B247" s="97" t="s">
        <v>2304</v>
      </c>
      <c r="C247" s="98">
        <v>0.15</v>
      </c>
      <c r="D247" s="98">
        <v>0.15</v>
      </c>
      <c r="E247" s="98">
        <v>0.15</v>
      </c>
      <c r="F247" s="99">
        <v>0.15</v>
      </c>
    </row>
    <row r="248" spans="1:6">
      <c r="A248" s="93" t="s">
        <v>286</v>
      </c>
      <c r="B248" s="97" t="s">
        <v>2316</v>
      </c>
      <c r="C248" s="98">
        <v>0.15</v>
      </c>
      <c r="D248" s="98">
        <v>0.15</v>
      </c>
      <c r="E248" s="98">
        <v>0.15</v>
      </c>
      <c r="F248" s="99">
        <v>0.14000000000000001</v>
      </c>
    </row>
    <row r="249" spans="1:6">
      <c r="A249" s="93" t="s">
        <v>286</v>
      </c>
      <c r="B249" s="97" t="s">
        <v>2328</v>
      </c>
      <c r="C249" s="98">
        <v>0.15</v>
      </c>
      <c r="D249" s="98">
        <v>0.14899999999999999</v>
      </c>
      <c r="E249" s="98">
        <v>0.15</v>
      </c>
      <c r="F249" s="99">
        <v>0.1</v>
      </c>
    </row>
    <row r="250" spans="1:6">
      <c r="A250" s="93" t="s">
        <v>286</v>
      </c>
      <c r="B250" s="97" t="s">
        <v>2339</v>
      </c>
      <c r="C250" s="98">
        <v>0.15</v>
      </c>
      <c r="D250" s="98">
        <v>0.15</v>
      </c>
      <c r="E250" s="98">
        <v>0.15</v>
      </c>
      <c r="F250" s="99">
        <v>0.14399999999999999</v>
      </c>
    </row>
    <row r="251" spans="1:6">
      <c r="A251" s="93" t="s">
        <v>286</v>
      </c>
      <c r="B251" s="97" t="s">
        <v>2350</v>
      </c>
      <c r="C251" s="98">
        <v>0.15</v>
      </c>
      <c r="D251" s="98">
        <v>0.15</v>
      </c>
      <c r="E251" s="98">
        <v>0.15</v>
      </c>
      <c r="F251" s="99">
        <v>0.14299999999999999</v>
      </c>
    </row>
    <row r="252" spans="1:6">
      <c r="A252" s="93" t="s">
        <v>286</v>
      </c>
      <c r="B252" s="97" t="s">
        <v>2361</v>
      </c>
      <c r="C252" s="98">
        <v>0.15</v>
      </c>
      <c r="D252" s="98">
        <v>0.15</v>
      </c>
      <c r="E252" s="98">
        <v>0.15</v>
      </c>
      <c r="F252" s="99">
        <v>0.1</v>
      </c>
    </row>
    <row r="253" spans="1:6">
      <c r="A253" s="93" t="s">
        <v>286</v>
      </c>
      <c r="B253" s="97" t="s">
        <v>2371</v>
      </c>
      <c r="C253" s="98">
        <v>0.15</v>
      </c>
      <c r="D253" s="98">
        <v>0.15</v>
      </c>
      <c r="E253" s="98">
        <v>0.15</v>
      </c>
      <c r="F253" s="99">
        <v>0.1</v>
      </c>
    </row>
    <row r="254" spans="1:6">
      <c r="A254" s="93" t="s">
        <v>286</v>
      </c>
      <c r="B254" s="97" t="s">
        <v>2381</v>
      </c>
      <c r="C254" s="107"/>
      <c r="D254" s="107"/>
      <c r="E254" s="107"/>
      <c r="F254" s="99">
        <v>0.15</v>
      </c>
    </row>
    <row r="255" spans="1:6">
      <c r="A255" s="93" t="s">
        <v>286</v>
      </c>
      <c r="B255" s="97" t="s">
        <v>2391</v>
      </c>
      <c r="C255" s="107"/>
      <c r="D255" s="107"/>
      <c r="E255" s="107"/>
      <c r="F255" s="99">
        <v>0.14299999999999999</v>
      </c>
    </row>
    <row r="256" spans="1:6">
      <c r="A256" s="93" t="s">
        <v>286</v>
      </c>
      <c r="B256" s="97" t="s">
        <v>2401</v>
      </c>
      <c r="C256" s="98">
        <v>0.14599999999999999</v>
      </c>
      <c r="D256" s="98">
        <v>0.14699999999999999</v>
      </c>
      <c r="E256" s="98">
        <v>0.15</v>
      </c>
      <c r="F256" s="99">
        <v>0.13200000000000001</v>
      </c>
    </row>
    <row r="257" spans="1:6">
      <c r="A257" s="93" t="s">
        <v>286</v>
      </c>
      <c r="B257" s="97" t="s">
        <v>2411</v>
      </c>
      <c r="C257" s="98">
        <v>0.15</v>
      </c>
      <c r="D257" s="98">
        <v>0.15</v>
      </c>
      <c r="E257" s="98">
        <v>0.15</v>
      </c>
      <c r="F257" s="99">
        <v>0.13900000000000001</v>
      </c>
    </row>
    <row r="258" spans="1:6">
      <c r="A258" s="93" t="s">
        <v>286</v>
      </c>
      <c r="B258" s="97" t="s">
        <v>2421</v>
      </c>
      <c r="C258" s="98">
        <v>0.15</v>
      </c>
      <c r="D258" s="98">
        <v>0.15</v>
      </c>
      <c r="E258" s="98">
        <v>0.15</v>
      </c>
      <c r="F258" s="99">
        <v>0.13</v>
      </c>
    </row>
    <row r="259" spans="1:6">
      <c r="A259" s="93" t="s">
        <v>286</v>
      </c>
      <c r="B259" s="97" t="s">
        <v>2431</v>
      </c>
      <c r="C259" s="98">
        <v>0.14799999999999999</v>
      </c>
      <c r="D259" s="98">
        <v>0.14899999999999999</v>
      </c>
      <c r="E259" s="98">
        <v>0.15</v>
      </c>
      <c r="F259" s="99">
        <v>0.13700000000000001</v>
      </c>
    </row>
    <row r="260" spans="1:6">
      <c r="A260" s="93" t="s">
        <v>286</v>
      </c>
      <c r="B260" s="97" t="s">
        <v>2441</v>
      </c>
      <c r="C260" s="98">
        <v>0.15</v>
      </c>
      <c r="D260" s="98">
        <v>0.15</v>
      </c>
      <c r="E260" s="98">
        <v>0.15</v>
      </c>
      <c r="F260" s="99">
        <v>0.14199999999999999</v>
      </c>
    </row>
    <row r="261" spans="1:6">
      <c r="A261" s="93" t="s">
        <v>286</v>
      </c>
      <c r="B261" s="97" t="s">
        <v>2451</v>
      </c>
      <c r="C261" s="98">
        <v>0.15</v>
      </c>
      <c r="D261" s="98">
        <v>0.15</v>
      </c>
      <c r="E261" s="98">
        <v>0.14899999999999999</v>
      </c>
      <c r="F261" s="99">
        <v>0.14799999999999999</v>
      </c>
    </row>
    <row r="262" spans="1:6">
      <c r="A262" s="93" t="s">
        <v>286</v>
      </c>
      <c r="B262" s="97" t="s">
        <v>2461</v>
      </c>
      <c r="C262" s="98">
        <v>0.15</v>
      </c>
      <c r="D262" s="98">
        <v>0.15</v>
      </c>
      <c r="E262" s="98">
        <v>0.15</v>
      </c>
      <c r="F262" s="106"/>
    </row>
    <row r="263" spans="1:6">
      <c r="A263" s="93" t="s">
        <v>286</v>
      </c>
      <c r="B263" s="97" t="s">
        <v>2471</v>
      </c>
      <c r="C263" s="98">
        <v>0.14899999999999999</v>
      </c>
      <c r="D263" s="98">
        <v>0.14899999999999999</v>
      </c>
      <c r="E263" s="98">
        <v>0.15</v>
      </c>
      <c r="F263" s="99">
        <v>0.13</v>
      </c>
    </row>
    <row r="264" spans="1:6">
      <c r="A264" s="93" t="s">
        <v>286</v>
      </c>
      <c r="B264" s="97" t="s">
        <v>2480</v>
      </c>
      <c r="C264" s="98">
        <v>0.14799999999999999</v>
      </c>
      <c r="D264" s="98">
        <v>0.14699999999999999</v>
      </c>
      <c r="E264" s="98">
        <v>0.15</v>
      </c>
      <c r="F264" s="99">
        <v>7.8E-2</v>
      </c>
    </row>
    <row r="265" spans="1:6">
      <c r="A265" s="93" t="s">
        <v>286</v>
      </c>
      <c r="B265" s="97" t="s">
        <v>2488</v>
      </c>
      <c r="C265" s="98">
        <v>0.15</v>
      </c>
      <c r="D265" s="98">
        <v>0.15</v>
      </c>
      <c r="E265" s="98">
        <v>0.15</v>
      </c>
      <c r="F265" s="99">
        <v>7.3999999999999996E-2</v>
      </c>
    </row>
    <row r="266" spans="1:6">
      <c r="A266" s="93" t="s">
        <v>286</v>
      </c>
      <c r="B266" s="97" t="s">
        <v>2496</v>
      </c>
      <c r="C266" s="98">
        <v>0.14699999999999999</v>
      </c>
      <c r="D266" s="98">
        <v>0.14699999999999999</v>
      </c>
      <c r="E266" s="98">
        <v>0.15</v>
      </c>
      <c r="F266" s="99">
        <v>0.14299999999999999</v>
      </c>
    </row>
    <row r="267" spans="1:6">
      <c r="A267" s="93" t="s">
        <v>286</v>
      </c>
      <c r="B267" s="97" t="s">
        <v>2503</v>
      </c>
      <c r="C267" s="98">
        <v>0.14199999999999999</v>
      </c>
      <c r="D267" s="98">
        <v>0.14299999999999999</v>
      </c>
      <c r="E267" s="98">
        <v>0.15</v>
      </c>
      <c r="F267" s="106"/>
    </row>
    <row r="268" spans="1:6">
      <c r="A268" s="93" t="s">
        <v>286</v>
      </c>
      <c r="B268" s="97" t="s">
        <v>2510</v>
      </c>
      <c r="C268" s="98">
        <v>0.15</v>
      </c>
      <c r="D268" s="98">
        <v>0.15</v>
      </c>
      <c r="E268" s="98">
        <v>0.15</v>
      </c>
      <c r="F268" s="99">
        <v>0.13</v>
      </c>
    </row>
    <row r="269" spans="1:6">
      <c r="A269" s="93" t="s">
        <v>286</v>
      </c>
      <c r="B269" s="97" t="s">
        <v>2517</v>
      </c>
      <c r="C269" s="98">
        <v>0.15</v>
      </c>
      <c r="D269" s="98">
        <v>0.15</v>
      </c>
      <c r="E269" s="98">
        <v>0.15</v>
      </c>
      <c r="F269" s="99">
        <v>0.14299999999999999</v>
      </c>
    </row>
    <row r="270" spans="1:6">
      <c r="A270" s="93" t="s">
        <v>286</v>
      </c>
      <c r="B270" s="97" t="s">
        <v>2524</v>
      </c>
      <c r="C270" s="98">
        <v>0.14499999999999999</v>
      </c>
      <c r="D270" s="98">
        <v>0.14499999999999999</v>
      </c>
      <c r="E270" s="98">
        <v>0.15</v>
      </c>
      <c r="F270" s="99">
        <v>0.14699999999999999</v>
      </c>
    </row>
    <row r="271" spans="1:6">
      <c r="A271" s="93" t="s">
        <v>286</v>
      </c>
      <c r="B271" s="97" t="s">
        <v>2531</v>
      </c>
      <c r="C271" s="98">
        <v>0.15</v>
      </c>
      <c r="D271" s="98">
        <v>0.15</v>
      </c>
      <c r="E271" s="98">
        <v>0.15</v>
      </c>
      <c r="F271" s="99">
        <v>0.13800000000000001</v>
      </c>
    </row>
    <row r="272" spans="1:6">
      <c r="A272" s="93" t="s">
        <v>286</v>
      </c>
      <c r="B272" s="97" t="s">
        <v>2536</v>
      </c>
      <c r="C272" s="107"/>
      <c r="D272" s="107"/>
      <c r="E272" s="107"/>
      <c r="F272" s="99">
        <v>0.14000000000000001</v>
      </c>
    </row>
    <row r="273" spans="1:6">
      <c r="A273" s="93" t="s">
        <v>286</v>
      </c>
      <c r="B273" s="97" t="s">
        <v>2541</v>
      </c>
      <c r="C273" s="98">
        <v>0.14199999999999999</v>
      </c>
      <c r="D273" s="98">
        <v>0.14299999999999999</v>
      </c>
      <c r="E273" s="98">
        <v>0.15</v>
      </c>
      <c r="F273" s="99">
        <v>0.1</v>
      </c>
    </row>
    <row r="274" spans="1:6">
      <c r="A274" s="93" t="s">
        <v>286</v>
      </c>
      <c r="B274" s="97" t="s">
        <v>2546</v>
      </c>
      <c r="C274" s="98">
        <v>0.14799999999999999</v>
      </c>
      <c r="D274" s="98">
        <v>0.14799999999999999</v>
      </c>
      <c r="E274" s="98">
        <v>0.15</v>
      </c>
      <c r="F274" s="99">
        <v>6.7000000000000004E-2</v>
      </c>
    </row>
    <row r="275" spans="1:6">
      <c r="A275" s="93" t="s">
        <v>286</v>
      </c>
      <c r="B275" s="97" t="s">
        <v>2551</v>
      </c>
      <c r="C275" s="98">
        <v>0.15</v>
      </c>
      <c r="D275" s="98">
        <v>0.15</v>
      </c>
      <c r="E275" s="98">
        <v>0.15</v>
      </c>
      <c r="F275" s="99">
        <v>0.15</v>
      </c>
    </row>
    <row r="276" spans="1:6">
      <c r="A276" s="93" t="s">
        <v>286</v>
      </c>
      <c r="B276" s="97" t="s">
        <v>2556</v>
      </c>
      <c r="C276" s="98">
        <v>0.14499999999999999</v>
      </c>
      <c r="D276" s="98">
        <v>0.14299999999999999</v>
      </c>
      <c r="E276" s="98">
        <v>0.15</v>
      </c>
      <c r="F276" s="99">
        <v>5.8999999999999997E-2</v>
      </c>
    </row>
    <row r="277" spans="1:6">
      <c r="A277" s="93" t="s">
        <v>286</v>
      </c>
      <c r="B277" s="97" t="s">
        <v>2561</v>
      </c>
      <c r="C277" s="98">
        <v>0.15</v>
      </c>
      <c r="D277" s="98">
        <v>0.15</v>
      </c>
      <c r="E277" s="98">
        <v>0.15</v>
      </c>
      <c r="F277" s="99">
        <v>0.121</v>
      </c>
    </row>
    <row r="278" spans="1:6">
      <c r="A278" s="93" t="s">
        <v>286</v>
      </c>
      <c r="B278" s="97" t="s">
        <v>2566</v>
      </c>
      <c r="C278" s="98">
        <v>0.15</v>
      </c>
      <c r="D278" s="98">
        <v>0.15</v>
      </c>
      <c r="E278" s="98">
        <v>0.15</v>
      </c>
      <c r="F278" s="99">
        <v>0.13800000000000001</v>
      </c>
    </row>
    <row r="279" spans="1:6" ht="24">
      <c r="A279" s="93" t="s">
        <v>286</v>
      </c>
      <c r="B279" s="97" t="s">
        <v>2570</v>
      </c>
      <c r="C279" s="107"/>
      <c r="D279" s="107"/>
      <c r="E279" s="107"/>
      <c r="F279" s="99">
        <v>0.05</v>
      </c>
    </row>
    <row r="280" spans="1:6" ht="24">
      <c r="A280" s="93" t="s">
        <v>286</v>
      </c>
      <c r="B280" s="97" t="s">
        <v>2574</v>
      </c>
      <c r="C280" s="107"/>
      <c r="D280" s="107"/>
      <c r="E280" s="107"/>
      <c r="F280" s="99">
        <v>0.05</v>
      </c>
    </row>
    <row r="281" spans="1:6" ht="24">
      <c r="A281" s="93" t="s">
        <v>286</v>
      </c>
      <c r="B281" s="97" t="s">
        <v>2578</v>
      </c>
      <c r="C281" s="107"/>
      <c r="D281" s="107"/>
      <c r="E281" s="107"/>
      <c r="F281" s="99">
        <v>0.05</v>
      </c>
    </row>
    <row r="282" spans="1:6" ht="24">
      <c r="A282" s="93" t="s">
        <v>286</v>
      </c>
      <c r="B282" s="97" t="s">
        <v>2582</v>
      </c>
      <c r="C282" s="107"/>
      <c r="D282" s="107"/>
      <c r="E282" s="107"/>
      <c r="F282" s="99">
        <v>0.05</v>
      </c>
    </row>
    <row r="283" spans="1:6" ht="24">
      <c r="A283" s="93" t="s">
        <v>286</v>
      </c>
      <c r="B283" s="97" t="s">
        <v>2586</v>
      </c>
      <c r="C283" s="107"/>
      <c r="D283" s="107"/>
      <c r="E283" s="107"/>
      <c r="F283" s="99">
        <v>0.05</v>
      </c>
    </row>
    <row r="284" spans="1:6" ht="24">
      <c r="A284" s="93" t="s">
        <v>286</v>
      </c>
      <c r="B284" s="97" t="s">
        <v>2589</v>
      </c>
      <c r="C284" s="107"/>
      <c r="D284" s="107"/>
      <c r="E284" s="107"/>
      <c r="F284" s="99">
        <v>0.05</v>
      </c>
    </row>
    <row r="285" spans="1:6" ht="24">
      <c r="A285" s="93" t="s">
        <v>286</v>
      </c>
      <c r="B285" s="97" t="s">
        <v>2592</v>
      </c>
      <c r="C285" s="107"/>
      <c r="D285" s="107"/>
      <c r="E285" s="107"/>
      <c r="F285" s="99">
        <v>0.05</v>
      </c>
    </row>
    <row r="286" spans="1:6" ht="24">
      <c r="A286" s="93" t="s">
        <v>286</v>
      </c>
      <c r="B286" s="97" t="s">
        <v>2595</v>
      </c>
      <c r="C286" s="107"/>
      <c r="D286" s="107"/>
      <c r="E286" s="107"/>
      <c r="F286" s="99">
        <v>0.05</v>
      </c>
    </row>
    <row r="287" spans="1:6" ht="24">
      <c r="A287" s="93" t="s">
        <v>286</v>
      </c>
      <c r="B287" s="97" t="s">
        <v>2598</v>
      </c>
      <c r="C287" s="107"/>
      <c r="D287" s="107"/>
      <c r="E287" s="107"/>
      <c r="F287" s="99">
        <v>0.05</v>
      </c>
    </row>
    <row r="288" spans="1:6" ht="24">
      <c r="A288" s="93" t="s">
        <v>286</v>
      </c>
      <c r="B288" s="97" t="s">
        <v>2601</v>
      </c>
      <c r="C288" s="107"/>
      <c r="D288" s="107"/>
      <c r="E288" s="107"/>
      <c r="F288" s="99">
        <v>0.05</v>
      </c>
    </row>
    <row r="289" spans="1:6" ht="24">
      <c r="A289" s="101" t="s">
        <v>286</v>
      </c>
      <c r="B289" s="108" t="s">
        <v>2604</v>
      </c>
      <c r="C289" s="104"/>
      <c r="D289" s="104"/>
      <c r="E289" s="104"/>
      <c r="F289" s="109">
        <v>0.05</v>
      </c>
    </row>
    <row r="290" spans="1:6">
      <c r="A290" s="93" t="s">
        <v>289</v>
      </c>
      <c r="B290" s="94" t="s">
        <v>2278</v>
      </c>
      <c r="C290" s="95">
        <v>0.15</v>
      </c>
      <c r="D290" s="95">
        <v>0.15</v>
      </c>
      <c r="E290" s="95">
        <v>0.15</v>
      </c>
      <c r="F290" s="117"/>
    </row>
    <row r="291" spans="1:6">
      <c r="A291" s="93" t="s">
        <v>289</v>
      </c>
      <c r="B291" s="97" t="s">
        <v>2291</v>
      </c>
      <c r="C291" s="98">
        <v>0.15</v>
      </c>
      <c r="D291" s="98">
        <v>0.15</v>
      </c>
      <c r="E291" s="98">
        <v>0.15</v>
      </c>
      <c r="F291" s="106"/>
    </row>
    <row r="292" spans="1:6">
      <c r="A292" s="93" t="s">
        <v>289</v>
      </c>
      <c r="B292" s="97" t="s">
        <v>2305</v>
      </c>
      <c r="C292" s="98">
        <v>0.15</v>
      </c>
      <c r="D292" s="98">
        <v>0.15</v>
      </c>
      <c r="E292" s="98">
        <v>0.15</v>
      </c>
      <c r="F292" s="99">
        <v>0.14699999999999999</v>
      </c>
    </row>
    <row r="293" spans="1:6">
      <c r="A293" s="93" t="s">
        <v>289</v>
      </c>
      <c r="B293" s="97" t="s">
        <v>2611</v>
      </c>
      <c r="C293" s="107"/>
      <c r="D293" s="107"/>
      <c r="E293" s="107"/>
      <c r="F293" s="99">
        <v>0.1</v>
      </c>
    </row>
    <row r="294" spans="1:6">
      <c r="A294" s="93" t="s">
        <v>289</v>
      </c>
      <c r="B294" s="97" t="s">
        <v>2317</v>
      </c>
      <c r="C294" s="98">
        <v>0.15</v>
      </c>
      <c r="D294" s="98">
        <v>0.15</v>
      </c>
      <c r="E294" s="98">
        <v>0.15</v>
      </c>
      <c r="F294" s="99">
        <v>0.15</v>
      </c>
    </row>
    <row r="295" spans="1:6">
      <c r="A295" s="93" t="s">
        <v>289</v>
      </c>
      <c r="B295" s="97" t="s">
        <v>2329</v>
      </c>
      <c r="C295" s="98">
        <v>0.15</v>
      </c>
      <c r="D295" s="98">
        <v>0.15</v>
      </c>
      <c r="E295" s="98">
        <v>0.15</v>
      </c>
      <c r="F295" s="99">
        <v>0.15</v>
      </c>
    </row>
    <row r="296" spans="1:6">
      <c r="A296" s="93" t="s">
        <v>289</v>
      </c>
      <c r="B296" s="97" t="s">
        <v>2340</v>
      </c>
      <c r="C296" s="98">
        <v>0.15</v>
      </c>
      <c r="D296" s="98">
        <v>0.15</v>
      </c>
      <c r="E296" s="98">
        <v>0.15</v>
      </c>
      <c r="F296" s="99">
        <v>0.15</v>
      </c>
    </row>
    <row r="297" spans="1:6">
      <c r="A297" s="93" t="s">
        <v>289</v>
      </c>
      <c r="B297" s="97" t="s">
        <v>2351</v>
      </c>
      <c r="C297" s="98">
        <v>0.14799999999999999</v>
      </c>
      <c r="D297" s="98">
        <v>0.14899999999999999</v>
      </c>
      <c r="E297" s="98">
        <v>0.15</v>
      </c>
      <c r="F297" s="99">
        <v>0.13700000000000001</v>
      </c>
    </row>
    <row r="298" spans="1:6">
      <c r="A298" s="93" t="s">
        <v>289</v>
      </c>
      <c r="B298" s="97" t="s">
        <v>2362</v>
      </c>
      <c r="C298" s="98">
        <v>0.13400000000000001</v>
      </c>
      <c r="D298" s="98">
        <v>0.13400000000000001</v>
      </c>
      <c r="E298" s="98">
        <v>0.14499999999999999</v>
      </c>
      <c r="F298" s="99">
        <v>0.14799999999999999</v>
      </c>
    </row>
    <row r="299" spans="1:6">
      <c r="A299" s="93" t="s">
        <v>289</v>
      </c>
      <c r="B299" s="97" t="s">
        <v>2372</v>
      </c>
      <c r="C299" s="98">
        <v>0.15</v>
      </c>
      <c r="D299" s="98">
        <v>0.15</v>
      </c>
      <c r="E299" s="98">
        <v>0.15</v>
      </c>
      <c r="F299" s="106"/>
    </row>
    <row r="300" spans="1:6">
      <c r="A300" s="93" t="s">
        <v>289</v>
      </c>
      <c r="B300" s="97" t="s">
        <v>2382</v>
      </c>
      <c r="C300" s="98">
        <v>0.15</v>
      </c>
      <c r="D300" s="98">
        <v>0.15</v>
      </c>
      <c r="E300" s="98">
        <v>0.15</v>
      </c>
      <c r="F300" s="99">
        <v>0.15</v>
      </c>
    </row>
    <row r="301" spans="1:6">
      <c r="A301" s="93" t="s">
        <v>289</v>
      </c>
      <c r="B301" s="97" t="s">
        <v>2392</v>
      </c>
      <c r="C301" s="98">
        <v>0.15</v>
      </c>
      <c r="D301" s="98">
        <v>0.15</v>
      </c>
      <c r="E301" s="98">
        <v>0.15</v>
      </c>
      <c r="F301" s="106"/>
    </row>
    <row r="302" spans="1:6">
      <c r="A302" s="93" t="s">
        <v>289</v>
      </c>
      <c r="B302" s="97" t="s">
        <v>2402</v>
      </c>
      <c r="C302" s="98">
        <v>0.15</v>
      </c>
      <c r="D302" s="98">
        <v>0.15</v>
      </c>
      <c r="E302" s="98">
        <v>0.15</v>
      </c>
      <c r="F302" s="99">
        <v>0.15</v>
      </c>
    </row>
    <row r="303" spans="1:6">
      <c r="A303" s="93" t="s">
        <v>289</v>
      </c>
      <c r="B303" s="97" t="s">
        <v>2412</v>
      </c>
      <c r="C303" s="98">
        <v>0.15</v>
      </c>
      <c r="D303" s="98">
        <v>0.15</v>
      </c>
      <c r="E303" s="98">
        <v>0.15</v>
      </c>
      <c r="F303" s="99">
        <v>0.15</v>
      </c>
    </row>
    <row r="304" spans="1:6">
      <c r="A304" s="93" t="s">
        <v>289</v>
      </c>
      <c r="B304" s="97" t="s">
        <v>2422</v>
      </c>
      <c r="C304" s="98">
        <v>0.15</v>
      </c>
      <c r="D304" s="98">
        <v>0.15</v>
      </c>
      <c r="E304" s="98">
        <v>0.15</v>
      </c>
      <c r="F304" s="106"/>
    </row>
    <row r="305" spans="1:6">
      <c r="A305" s="93" t="s">
        <v>289</v>
      </c>
      <c r="B305" s="97" t="s">
        <v>2432</v>
      </c>
      <c r="C305" s="98">
        <v>0.15</v>
      </c>
      <c r="D305" s="98">
        <v>0.15</v>
      </c>
      <c r="E305" s="98">
        <v>0.15</v>
      </c>
      <c r="F305" s="99">
        <v>0.14000000000000001</v>
      </c>
    </row>
    <row r="306" spans="1:6">
      <c r="A306" s="93" t="s">
        <v>289</v>
      </c>
      <c r="B306" s="97" t="s">
        <v>2442</v>
      </c>
      <c r="C306" s="98">
        <v>0.15</v>
      </c>
      <c r="D306" s="98">
        <v>0.15</v>
      </c>
      <c r="E306" s="98">
        <v>0.15</v>
      </c>
      <c r="F306" s="106"/>
    </row>
    <row r="307" spans="1:6">
      <c r="A307" s="93" t="s">
        <v>289</v>
      </c>
      <c r="B307" s="97" t="s">
        <v>2452</v>
      </c>
      <c r="C307" s="98">
        <v>0.15</v>
      </c>
      <c r="D307" s="98">
        <v>0.15</v>
      </c>
      <c r="E307" s="98">
        <v>0.15</v>
      </c>
      <c r="F307" s="99">
        <v>0.14299999999999999</v>
      </c>
    </row>
    <row r="308" spans="1:6">
      <c r="A308" s="93" t="s">
        <v>289</v>
      </c>
      <c r="B308" s="97" t="s">
        <v>2462</v>
      </c>
      <c r="C308" s="98">
        <v>0.15</v>
      </c>
      <c r="D308" s="98">
        <v>0.15</v>
      </c>
      <c r="E308" s="98">
        <v>0.15</v>
      </c>
      <c r="F308" s="99">
        <v>0.15</v>
      </c>
    </row>
    <row r="309" spans="1:6">
      <c r="A309" s="93" t="s">
        <v>289</v>
      </c>
      <c r="B309" s="97" t="s">
        <v>2472</v>
      </c>
      <c r="C309" s="98">
        <v>0.15</v>
      </c>
      <c r="D309" s="98">
        <v>0.15</v>
      </c>
      <c r="E309" s="98">
        <v>0.15</v>
      </c>
      <c r="F309" s="106"/>
    </row>
    <row r="310" spans="1:6">
      <c r="A310" s="93" t="s">
        <v>289</v>
      </c>
      <c r="B310" s="97" t="s">
        <v>2481</v>
      </c>
      <c r="C310" s="98">
        <v>0.15</v>
      </c>
      <c r="D310" s="98">
        <v>0.15</v>
      </c>
      <c r="E310" s="98">
        <v>0.15</v>
      </c>
      <c r="F310" s="99">
        <v>0.13700000000000001</v>
      </c>
    </row>
    <row r="311" spans="1:6">
      <c r="A311" s="93" t="s">
        <v>289</v>
      </c>
      <c r="B311" s="97" t="s">
        <v>2489</v>
      </c>
      <c r="C311" s="98">
        <v>0.15</v>
      </c>
      <c r="D311" s="98">
        <v>0.15</v>
      </c>
      <c r="E311" s="98">
        <v>0.15</v>
      </c>
      <c r="F311" s="99">
        <v>0.15</v>
      </c>
    </row>
    <row r="312" spans="1:6">
      <c r="A312" s="93" t="s">
        <v>289</v>
      </c>
      <c r="B312" s="97" t="s">
        <v>2497</v>
      </c>
      <c r="C312" s="98">
        <v>0.15</v>
      </c>
      <c r="D312" s="98">
        <v>0.15</v>
      </c>
      <c r="E312" s="98">
        <v>0.15</v>
      </c>
      <c r="F312" s="99">
        <v>0.1</v>
      </c>
    </row>
    <row r="313" spans="1:6">
      <c r="A313" s="93" t="s">
        <v>289</v>
      </c>
      <c r="B313" s="97" t="s">
        <v>2504</v>
      </c>
      <c r="C313" s="98">
        <v>0.15</v>
      </c>
      <c r="D313" s="98">
        <v>0.15</v>
      </c>
      <c r="E313" s="98">
        <v>0.15</v>
      </c>
      <c r="F313" s="99">
        <v>0.15</v>
      </c>
    </row>
    <row r="314" spans="1:6" ht="24">
      <c r="A314" s="93" t="s">
        <v>289</v>
      </c>
      <c r="B314" s="97" t="s">
        <v>2511</v>
      </c>
      <c r="C314" s="107"/>
      <c r="D314" s="107"/>
      <c r="E314" s="107"/>
      <c r="F314" s="99">
        <v>0.05</v>
      </c>
    </row>
    <row r="315" spans="1:6" ht="24">
      <c r="A315" s="93" t="s">
        <v>289</v>
      </c>
      <c r="B315" s="97" t="s">
        <v>2518</v>
      </c>
      <c r="C315" s="107"/>
      <c r="D315" s="107"/>
      <c r="E315" s="107"/>
      <c r="F315" s="99">
        <v>0.05</v>
      </c>
    </row>
    <row r="316" spans="1:6" ht="24">
      <c r="A316" s="101" t="s">
        <v>289</v>
      </c>
      <c r="B316" s="108" t="s">
        <v>2525</v>
      </c>
      <c r="C316" s="104"/>
      <c r="D316" s="104"/>
      <c r="E316" s="104"/>
      <c r="F316" s="109">
        <v>0.05</v>
      </c>
    </row>
    <row r="317" spans="1:6">
      <c r="A317" s="93" t="s">
        <v>292</v>
      </c>
      <c r="B317" s="94" t="s">
        <v>2279</v>
      </c>
      <c r="C317" s="95">
        <v>0.15</v>
      </c>
      <c r="D317" s="95">
        <v>0.15</v>
      </c>
      <c r="E317" s="95">
        <v>0.15</v>
      </c>
      <c r="F317" s="96">
        <v>0.15</v>
      </c>
    </row>
    <row r="318" spans="1:6">
      <c r="A318" s="93" t="s">
        <v>292</v>
      </c>
      <c r="B318" s="97" t="s">
        <v>2292</v>
      </c>
      <c r="C318" s="98">
        <v>0.107</v>
      </c>
      <c r="D318" s="98">
        <v>0.11</v>
      </c>
      <c r="E318" s="98">
        <v>0.112</v>
      </c>
      <c r="F318" s="106"/>
    </row>
    <row r="319" spans="1:6">
      <c r="A319" s="93" t="s">
        <v>292</v>
      </c>
      <c r="B319" s="97" t="s">
        <v>2306</v>
      </c>
      <c r="C319" s="98">
        <v>0.15</v>
      </c>
      <c r="D319" s="98">
        <v>0.15</v>
      </c>
      <c r="E319" s="98">
        <v>0.15</v>
      </c>
      <c r="F319" s="99">
        <v>0.15</v>
      </c>
    </row>
    <row r="320" spans="1:6">
      <c r="A320" s="93" t="s">
        <v>292</v>
      </c>
      <c r="B320" s="97" t="s">
        <v>2318</v>
      </c>
      <c r="C320" s="98">
        <v>0.15</v>
      </c>
      <c r="D320" s="98">
        <v>0.15</v>
      </c>
      <c r="E320" s="98">
        <v>0.15</v>
      </c>
      <c r="F320" s="106"/>
    </row>
    <row r="321" spans="1:6">
      <c r="A321" s="93" t="s">
        <v>292</v>
      </c>
      <c r="B321" s="97" t="s">
        <v>2330</v>
      </c>
      <c r="C321" s="98">
        <v>0.15</v>
      </c>
      <c r="D321" s="98">
        <v>0.15</v>
      </c>
      <c r="E321" s="98">
        <v>0.15</v>
      </c>
      <c r="F321" s="106"/>
    </row>
    <row r="322" spans="1:6">
      <c r="A322" s="93" t="s">
        <v>292</v>
      </c>
      <c r="B322" s="97" t="s">
        <v>2341</v>
      </c>
      <c r="C322" s="98">
        <v>0.15</v>
      </c>
      <c r="D322" s="98">
        <v>0.15</v>
      </c>
      <c r="E322" s="98">
        <v>0.15</v>
      </c>
      <c r="F322" s="99">
        <v>0.15</v>
      </c>
    </row>
    <row r="323" spans="1:6">
      <c r="A323" s="93" t="s">
        <v>292</v>
      </c>
      <c r="B323" s="97" t="s">
        <v>2352</v>
      </c>
      <c r="C323" s="98">
        <v>0.15</v>
      </c>
      <c r="D323" s="98">
        <v>0.15</v>
      </c>
      <c r="E323" s="98">
        <v>0.15</v>
      </c>
      <c r="F323" s="106"/>
    </row>
    <row r="324" spans="1:6">
      <c r="A324" s="93" t="s">
        <v>292</v>
      </c>
      <c r="B324" s="97" t="s">
        <v>2363</v>
      </c>
      <c r="C324" s="98">
        <v>0.15</v>
      </c>
      <c r="D324" s="98">
        <v>0.15</v>
      </c>
      <c r="E324" s="98">
        <v>0.15</v>
      </c>
      <c r="F324" s="106"/>
    </row>
    <row r="325" spans="1:6">
      <c r="A325" s="93" t="s">
        <v>292</v>
      </c>
      <c r="B325" s="97" t="s">
        <v>2373</v>
      </c>
      <c r="C325" s="98">
        <v>0.15</v>
      </c>
      <c r="D325" s="98">
        <v>0.15</v>
      </c>
      <c r="E325" s="98">
        <v>0.15</v>
      </c>
      <c r="F325" s="99">
        <v>0.14699999999999999</v>
      </c>
    </row>
    <row r="326" spans="1:6">
      <c r="A326" s="93" t="s">
        <v>292</v>
      </c>
      <c r="B326" s="97" t="s">
        <v>2383</v>
      </c>
      <c r="C326" s="98">
        <v>0.15</v>
      </c>
      <c r="D326" s="98">
        <v>0.15</v>
      </c>
      <c r="E326" s="98">
        <v>0.15</v>
      </c>
      <c r="F326" s="106"/>
    </row>
    <row r="327" spans="1:6">
      <c r="A327" s="93" t="s">
        <v>292</v>
      </c>
      <c r="B327" s="97" t="s">
        <v>2393</v>
      </c>
      <c r="C327" s="98">
        <v>0.15</v>
      </c>
      <c r="D327" s="98">
        <v>0.15</v>
      </c>
      <c r="E327" s="98">
        <v>0.15</v>
      </c>
      <c r="F327" s="99">
        <v>0.15</v>
      </c>
    </row>
    <row r="328" spans="1:6">
      <c r="A328" s="93" t="s">
        <v>292</v>
      </c>
      <c r="B328" s="97" t="s">
        <v>2403</v>
      </c>
      <c r="C328" s="98">
        <v>0.15</v>
      </c>
      <c r="D328" s="98">
        <v>0.15</v>
      </c>
      <c r="E328" s="98">
        <v>0.15</v>
      </c>
      <c r="F328" s="99">
        <v>0.14099999999999999</v>
      </c>
    </row>
    <row r="329" spans="1:6">
      <c r="A329" s="93" t="s">
        <v>292</v>
      </c>
      <c r="B329" s="97" t="s">
        <v>2413</v>
      </c>
      <c r="C329" s="98">
        <v>0.15</v>
      </c>
      <c r="D329" s="98">
        <v>0.15</v>
      </c>
      <c r="E329" s="98">
        <v>0.15</v>
      </c>
      <c r="F329" s="99">
        <v>0.15</v>
      </c>
    </row>
    <row r="330" spans="1:6">
      <c r="A330" s="93" t="s">
        <v>292</v>
      </c>
      <c r="B330" s="97" t="s">
        <v>2423</v>
      </c>
      <c r="C330" s="98">
        <v>0.15</v>
      </c>
      <c r="D330" s="98">
        <v>0.15</v>
      </c>
      <c r="E330" s="98">
        <v>0.15</v>
      </c>
      <c r="F330" s="106"/>
    </row>
    <row r="331" spans="1:6">
      <c r="A331" s="93" t="s">
        <v>292</v>
      </c>
      <c r="B331" s="97" t="s">
        <v>2433</v>
      </c>
      <c r="C331" s="98">
        <v>0.15</v>
      </c>
      <c r="D331" s="98">
        <v>0.15</v>
      </c>
      <c r="E331" s="98">
        <v>0.15</v>
      </c>
      <c r="F331" s="99">
        <v>0.15</v>
      </c>
    </row>
    <row r="332" spans="1:6">
      <c r="A332" s="93" t="s">
        <v>292</v>
      </c>
      <c r="B332" s="97" t="s">
        <v>2443</v>
      </c>
      <c r="C332" s="98">
        <v>0.15</v>
      </c>
      <c r="D332" s="98">
        <v>0.15</v>
      </c>
      <c r="E332" s="98">
        <v>0.15</v>
      </c>
      <c r="F332" s="99">
        <v>0.15</v>
      </c>
    </row>
    <row r="333" spans="1:6">
      <c r="A333" s="93" t="s">
        <v>292</v>
      </c>
      <c r="B333" s="97" t="s">
        <v>2453</v>
      </c>
      <c r="C333" s="98">
        <v>0.15</v>
      </c>
      <c r="D333" s="98">
        <v>0.15</v>
      </c>
      <c r="E333" s="98">
        <v>0.15</v>
      </c>
      <c r="F333" s="99">
        <v>0.14099999999999999</v>
      </c>
    </row>
    <row r="334" spans="1:6">
      <c r="A334" s="93" t="s">
        <v>292</v>
      </c>
      <c r="B334" s="97" t="s">
        <v>2463</v>
      </c>
      <c r="C334" s="98">
        <v>0.15</v>
      </c>
      <c r="D334" s="98">
        <v>0.15</v>
      </c>
      <c r="E334" s="98">
        <v>0.15</v>
      </c>
      <c r="F334" s="99">
        <v>0.15</v>
      </c>
    </row>
    <row r="335" spans="1:6">
      <c r="A335" s="93" t="s">
        <v>292</v>
      </c>
      <c r="B335" s="97" t="s">
        <v>2473</v>
      </c>
      <c r="C335" s="98">
        <v>0.15</v>
      </c>
      <c r="D335" s="98">
        <v>0.15</v>
      </c>
      <c r="E335" s="98">
        <v>0.15</v>
      </c>
      <c r="F335" s="106"/>
    </row>
    <row r="336" spans="1:6">
      <c r="A336" s="93" t="s">
        <v>292</v>
      </c>
      <c r="B336" s="97" t="s">
        <v>2482</v>
      </c>
      <c r="C336" s="98">
        <v>0.15</v>
      </c>
      <c r="D336" s="98">
        <v>0.15</v>
      </c>
      <c r="E336" s="98">
        <v>0.15</v>
      </c>
      <c r="F336" s="99">
        <v>0.11799999999999999</v>
      </c>
    </row>
    <row r="337" spans="1:6">
      <c r="A337" s="101" t="s">
        <v>292</v>
      </c>
      <c r="B337" s="108" t="s">
        <v>2490</v>
      </c>
      <c r="C337" s="104"/>
      <c r="D337" s="104"/>
      <c r="E337" s="104"/>
      <c r="F337" s="109">
        <v>0.14299999999999999</v>
      </c>
    </row>
    <row r="338" spans="1:6">
      <c r="A338" s="93" t="s">
        <v>295</v>
      </c>
      <c r="B338" s="94" t="s">
        <v>2280</v>
      </c>
      <c r="C338" s="95">
        <v>0.15</v>
      </c>
      <c r="D338" s="95">
        <v>0.15</v>
      </c>
      <c r="E338" s="95">
        <v>0.15</v>
      </c>
      <c r="F338" s="117"/>
    </row>
    <row r="339" spans="1:6">
      <c r="A339" s="93" t="s">
        <v>295</v>
      </c>
      <c r="B339" s="97" t="s">
        <v>2293</v>
      </c>
      <c r="C339" s="98">
        <v>0.15</v>
      </c>
      <c r="D339" s="98">
        <v>0.15</v>
      </c>
      <c r="E339" s="98">
        <v>0.15</v>
      </c>
      <c r="F339" s="106"/>
    </row>
    <row r="340" spans="1:6">
      <c r="A340" s="93" t="s">
        <v>295</v>
      </c>
      <c r="B340" s="97" t="s">
        <v>2307</v>
      </c>
      <c r="C340" s="98">
        <v>0.15</v>
      </c>
      <c r="D340" s="98">
        <v>0.15</v>
      </c>
      <c r="E340" s="98">
        <v>0.15</v>
      </c>
      <c r="F340" s="106"/>
    </row>
    <row r="341" spans="1:6">
      <c r="A341" s="93" t="s">
        <v>295</v>
      </c>
      <c r="B341" s="97" t="s">
        <v>2319</v>
      </c>
      <c r="C341" s="98">
        <v>0.15</v>
      </c>
      <c r="D341" s="98">
        <v>0.15</v>
      </c>
      <c r="E341" s="98">
        <v>0.15</v>
      </c>
      <c r="F341" s="99">
        <v>0.15</v>
      </c>
    </row>
    <row r="342" spans="1:6">
      <c r="A342" s="93" t="s">
        <v>295</v>
      </c>
      <c r="B342" s="97" t="s">
        <v>2331</v>
      </c>
      <c r="C342" s="98">
        <v>0.15</v>
      </c>
      <c r="D342" s="98">
        <v>0.15</v>
      </c>
      <c r="E342" s="98">
        <v>0.15</v>
      </c>
      <c r="F342" s="99">
        <v>0.15</v>
      </c>
    </row>
    <row r="343" spans="1:6">
      <c r="A343" s="93" t="s">
        <v>295</v>
      </c>
      <c r="B343" s="97" t="s">
        <v>2342</v>
      </c>
      <c r="C343" s="98">
        <v>0.15</v>
      </c>
      <c r="D343" s="98">
        <v>0.15</v>
      </c>
      <c r="E343" s="98">
        <v>0.15</v>
      </c>
      <c r="F343" s="99">
        <v>0.15</v>
      </c>
    </row>
    <row r="344" spans="1:6">
      <c r="A344" s="101" t="s">
        <v>295</v>
      </c>
      <c r="B344" s="108" t="s">
        <v>2353</v>
      </c>
      <c r="C344" s="103">
        <v>0.15</v>
      </c>
      <c r="D344" s="103">
        <v>0.15</v>
      </c>
      <c r="E344" s="103">
        <v>0.15</v>
      </c>
      <c r="F344" s="109">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2614</v>
      </c>
      <c r="C1" s="21">
        <f>项目基本情况!D3</f>
        <v>44889</v>
      </c>
      <c r="D1" s="20" t="s">
        <v>2615</v>
      </c>
      <c r="E1" s="22">
        <f>'数据-取费表'!B22</f>
        <v>1</v>
      </c>
      <c r="F1" s="20" t="s">
        <v>2616</v>
      </c>
      <c r="G1" s="23">
        <f ca="1">INDIRECT("d"&amp;$K$1)/100</f>
        <v>3.6499999999999998E-2</v>
      </c>
      <c r="H1" s="20" t="s">
        <v>2617</v>
      </c>
      <c r="I1" s="23">
        <f ca="1">F4/100</f>
        <v>1.4999999999999999E-2</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2616</v>
      </c>
      <c r="E2" s="24"/>
      <c r="F2" s="24" t="s">
        <v>2618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2619</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2620</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2621</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2622</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2623</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2625</v>
      </c>
      <c r="C10" s="48"/>
      <c r="D10" s="48"/>
      <c r="E10" s="48"/>
      <c r="F10" s="48"/>
      <c r="G10" s="48"/>
      <c r="H10" s="48"/>
      <c r="I10" s="16"/>
      <c r="J10" s="16"/>
      <c r="K10" s="48"/>
      <c r="L10" s="49" t="s">
        <v>2626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2627</v>
      </c>
      <c r="C11" s="52" t="s">
        <v>2628</v>
      </c>
      <c r="D11" s="53" t="s">
        <v>2629</v>
      </c>
      <c r="E11" s="54"/>
      <c r="F11" s="53" t="s">
        <v>2630</v>
      </c>
      <c r="G11" s="55"/>
      <c r="H11" s="54"/>
      <c r="I11" s="53" t="s">
        <v>2631</v>
      </c>
      <c r="J11" s="54"/>
      <c r="K11" s="50"/>
      <c r="L11" s="51" t="s">
        <v>2627</v>
      </c>
      <c r="M11" s="52" t="s">
        <v>2628</v>
      </c>
      <c r="N11" s="51" t="s">
        <v>2632</v>
      </c>
      <c r="O11" s="53" t="s">
        <v>2633</v>
      </c>
      <c r="P11" s="55"/>
      <c r="Q11" s="55"/>
      <c r="R11" s="55"/>
      <c r="S11" s="55"/>
      <c r="T11" s="54"/>
      <c r="U11" s="53" t="s">
        <v>2634</v>
      </c>
      <c r="V11" s="55"/>
      <c r="W11" s="54"/>
      <c r="X11" s="51" t="s">
        <v>2635</v>
      </c>
      <c r="Y11" s="51" t="s">
        <v>2636</v>
      </c>
      <c r="Z11" s="51" t="s">
        <v>2637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2638</v>
      </c>
      <c r="E12" s="59" t="s">
        <v>2620</v>
      </c>
      <c r="F12" s="59" t="s">
        <v>2621</v>
      </c>
      <c r="G12" s="59" t="s">
        <v>2622</v>
      </c>
      <c r="H12" s="59" t="s">
        <v>2623</v>
      </c>
      <c r="I12" s="73" t="s">
        <v>2639</v>
      </c>
      <c r="J12" s="73" t="s">
        <v>2639</v>
      </c>
      <c r="K12" s="56"/>
      <c r="L12" s="57"/>
      <c r="M12" s="58"/>
      <c r="N12" s="57"/>
      <c r="O12" s="73" t="s">
        <v>2640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2641</v>
      </c>
      <c r="C13" s="62">
        <v>44795</v>
      </c>
      <c r="D13" s="63">
        <v>3.65</v>
      </c>
      <c r="E13" s="63">
        <f>D13</f>
        <v>3.65</v>
      </c>
      <c r="F13" s="63">
        <f>D13</f>
        <v>3.65</v>
      </c>
      <c r="G13" s="63">
        <f>D13</f>
        <v>3.65</v>
      </c>
      <c r="H13" s="63">
        <v>4.3</v>
      </c>
      <c r="I13" s="63"/>
      <c r="J13" s="63"/>
      <c r="K13" s="60"/>
      <c r="L13" s="61" t="s">
        <v>2641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2642</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2643</v>
      </c>
      <c r="Y42" s="65" t="s">
        <v>2643</v>
      </c>
      <c r="Z42" s="65" t="s">
        <v>2643</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2643</v>
      </c>
      <c r="Y43" s="65" t="s">
        <v>2643</v>
      </c>
      <c r="Z43" s="65" t="s">
        <v>2643</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2643</v>
      </c>
      <c r="Y44" s="65" t="s">
        <v>2643</v>
      </c>
      <c r="Z44" s="65" t="s">
        <v>2643</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2643</v>
      </c>
      <c r="Y45" s="65" t="s">
        <v>2643</v>
      </c>
      <c r="Z45" s="65" t="s">
        <v>2643</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2643</v>
      </c>
      <c r="Y46" s="65" t="s">
        <v>2643</v>
      </c>
      <c r="Z46" s="65" t="s">
        <v>2643</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2643</v>
      </c>
      <c r="Y47" s="65" t="s">
        <v>2643</v>
      </c>
      <c r="Z47" s="65" t="s">
        <v>2643</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2643</v>
      </c>
      <c r="Y48" s="65" t="s">
        <v>2643</v>
      </c>
      <c r="Z48" s="65" t="s">
        <v>2643</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2643</v>
      </c>
      <c r="Y49" s="65" t="s">
        <v>2643</v>
      </c>
      <c r="Z49" s="65" t="s">
        <v>2643</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2643</v>
      </c>
      <c r="Y50" s="65" t="s">
        <v>2643</v>
      </c>
      <c r="Z50" s="65" t="s">
        <v>2643</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2643</v>
      </c>
      <c r="V51" s="65" t="s">
        <v>2643</v>
      </c>
      <c r="W51" s="65" t="s">
        <v>2643</v>
      </c>
      <c r="X51" s="65" t="s">
        <v>2643</v>
      </c>
      <c r="Y51" s="65" t="s">
        <v>2643</v>
      </c>
      <c r="Z51" s="65" t="s">
        <v>2643</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2643</v>
      </c>
      <c r="J64" s="65" t="s">
        <v>2643</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2644</v>
      </c>
      <c r="E1" s="2" t="s">
        <v>2645</v>
      </c>
      <c r="F1" s="3" t="s">
        <v>2646</v>
      </c>
    </row>
    <row r="2" spans="1:13" ht="20.25">
      <c r="A2" s="4" t="s">
        <v>2647</v>
      </c>
    </row>
    <row r="3" spans="1:13" ht="16.5">
      <c r="A3" s="5" t="s">
        <v>2648</v>
      </c>
    </row>
    <row r="4" spans="1:13" ht="14.25">
      <c r="A4" s="6" t="s">
        <v>2649</v>
      </c>
      <c r="B4" s="7" t="s">
        <v>1805</v>
      </c>
      <c r="C4" s="8"/>
      <c r="D4" s="9"/>
      <c r="E4" s="7" t="s">
        <v>452</v>
      </c>
      <c r="F4" s="8"/>
      <c r="G4" s="9"/>
      <c r="H4" s="7" t="s">
        <v>2650</v>
      </c>
      <c r="I4" s="8"/>
      <c r="J4" s="9"/>
      <c r="K4" s="7" t="s">
        <v>1807</v>
      </c>
      <c r="L4" s="8"/>
      <c r="M4" s="9"/>
    </row>
    <row r="5" spans="1:13" ht="14.25">
      <c r="A5" s="10" t="s">
        <v>208</v>
      </c>
      <c r="B5" s="6" t="s">
        <v>2651</v>
      </c>
      <c r="C5" s="6" t="s">
        <v>2652</v>
      </c>
      <c r="D5" s="6" t="s">
        <v>2653</v>
      </c>
      <c r="E5" s="6" t="s">
        <v>2651</v>
      </c>
      <c r="F5" s="6" t="s">
        <v>2652</v>
      </c>
      <c r="G5" s="6" t="s">
        <v>2653</v>
      </c>
      <c r="H5" s="6" t="s">
        <v>2651</v>
      </c>
      <c r="I5" s="6" t="s">
        <v>2652</v>
      </c>
      <c r="J5" s="6" t="s">
        <v>2653</v>
      </c>
      <c r="K5" s="6" t="s">
        <v>2651</v>
      </c>
      <c r="L5" s="6" t="s">
        <v>2652</v>
      </c>
      <c r="M5" s="6" t="s">
        <v>2653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6" t="str">
        <f>IF(项目基本情况!B9="房地产市场价值","估价结果一览表","结果表-2")</f>
        <v>结果表-2</v>
      </c>
      <c r="B1" s="3236"/>
      <c r="C1" s="3236"/>
      <c r="D1" s="3236"/>
      <c r="E1" s="3236"/>
      <c r="F1" s="3236"/>
      <c r="G1" s="3236"/>
      <c r="H1" s="3236"/>
      <c r="I1" s="3236"/>
    </row>
    <row r="2" spans="1:9" ht="30" customHeight="1">
      <c r="A2" s="3237" t="s">
        <v>107</v>
      </c>
      <c r="B2" s="3237" t="s">
        <v>108</v>
      </c>
      <c r="C2" s="3237" t="s">
        <v>109</v>
      </c>
      <c r="D2" s="3237" t="str">
        <f>结果表!D116</f>
        <v>出让国有建设用地使用权价值</v>
      </c>
      <c r="E2" s="3237"/>
      <c r="F2" s="3237" t="str">
        <f>结果表!F116</f>
        <v>在建建筑物价值</v>
      </c>
      <c r="G2" s="3237"/>
      <c r="H2" s="3237" t="str">
        <f>IF(项目基本情况!B9="房地产市场价值","房地产市场价值","房地产价值")</f>
        <v>房地产价值</v>
      </c>
      <c r="I2" s="3237"/>
    </row>
    <row r="3" spans="1:9" ht="15">
      <c r="A3" s="3238"/>
      <c r="B3" s="3238"/>
      <c r="C3" s="3238"/>
      <c r="D3" s="3168" t="s">
        <v>110</v>
      </c>
      <c r="E3" s="3168" t="s">
        <v>111</v>
      </c>
      <c r="F3" s="3168" t="s">
        <v>110</v>
      </c>
      <c r="G3" s="3168" t="s">
        <v>111</v>
      </c>
      <c r="H3" s="3168" t="s">
        <v>110</v>
      </c>
      <c r="I3" s="3168" t="s">
        <v>111</v>
      </c>
    </row>
    <row r="4" spans="1:9" ht="15">
      <c r="A4" s="3169" t="str">
        <f>项目基本情况!S2</f>
        <v>北京市房地产</v>
      </c>
      <c r="B4" s="3168">
        <f>项目基本情况!C17</f>
        <v>11398.58</v>
      </c>
      <c r="C4" s="3168">
        <f>项目基本情况!C18</f>
        <v>3431.42</v>
      </c>
      <c r="D4" s="3168">
        <f ca="1">结果表!D118</f>
        <v>23533</v>
      </c>
      <c r="E4" s="3168">
        <f ca="1">结果表!E118</f>
        <v>20646</v>
      </c>
      <c r="F4" s="3168">
        <f ca="1">结果表!F118</f>
        <v>6754</v>
      </c>
      <c r="G4" s="3168">
        <f ca="1">结果表!G118</f>
        <v>5925</v>
      </c>
      <c r="H4" s="3168">
        <f ca="1">结果表!H118</f>
        <v>30287</v>
      </c>
      <c r="I4" s="3168">
        <f ca="1">结果表!I118</f>
        <v>26571</v>
      </c>
    </row>
    <row r="5" spans="1:9" ht="30" customHeight="1">
      <c r="A5" s="3238" t="s">
        <v>112</v>
      </c>
      <c r="B5" s="3238"/>
      <c r="C5" s="3238"/>
      <c r="D5" s="3239" t="str">
        <f ca="1">结果表!D119</f>
        <v>贰亿叁仟伍佰叁拾叁万元整</v>
      </c>
      <c r="E5" s="3239"/>
      <c r="F5" s="3239" t="str">
        <f ca="1">结果表!F119</f>
        <v>陆仟柒佰伍拾肆万元整</v>
      </c>
      <c r="G5" s="3239"/>
      <c r="H5" s="3239" t="str">
        <f ca="1">结果表!H119</f>
        <v>叁亿零贰佰捌拾柒万元整</v>
      </c>
      <c r="I5" s="3239"/>
    </row>
    <row r="6" spans="1:9" ht="15.75">
      <c r="A6" s="3240" t="str">
        <f>结果表!A120</f>
        <v>估价师知悉的法定优先受偿款</v>
      </c>
      <c r="B6" s="3240"/>
      <c r="C6" s="3240"/>
      <c r="D6" s="3240">
        <f>结果表!D120</f>
        <v>0</v>
      </c>
      <c r="E6" s="3240"/>
      <c r="F6" s="3240"/>
      <c r="G6" s="3240"/>
      <c r="H6" s="3240"/>
      <c r="I6" s="3240"/>
    </row>
    <row r="7" spans="1:9" ht="15">
      <c r="A7" s="3238" t="s">
        <v>112</v>
      </c>
      <c r="B7" s="3238"/>
      <c r="C7" s="3238"/>
      <c r="D7" s="3241" t="str">
        <f>结果表!D121</f>
        <v>零元整</v>
      </c>
      <c r="E7" s="3242"/>
      <c r="F7" s="3242"/>
      <c r="G7" s="3242"/>
      <c r="H7" s="3242"/>
      <c r="I7" s="3243"/>
    </row>
    <row r="8" spans="1:9" ht="15.75">
      <c r="A8" s="3240" t="str">
        <f>结果表!A122</f>
        <v>房地产抵押价值</v>
      </c>
      <c r="B8" s="3240"/>
      <c r="C8" s="3240"/>
      <c r="D8" s="3240">
        <f ca="1">结果表!D122</f>
        <v>30287</v>
      </c>
      <c r="E8" s="3240"/>
      <c r="F8" s="3240"/>
      <c r="G8" s="3240"/>
      <c r="H8" s="3240"/>
      <c r="I8" s="3240"/>
    </row>
    <row r="9" spans="1:9" ht="15">
      <c r="A9" s="3238" t="s">
        <v>112</v>
      </c>
      <c r="B9" s="3238"/>
      <c r="C9" s="3238"/>
      <c r="D9" s="3239" t="str">
        <f ca="1">结果表!D123</f>
        <v>叁亿零贰佰捌拾柒万元整</v>
      </c>
      <c r="E9" s="3239"/>
      <c r="F9" s="3239"/>
      <c r="G9" s="3239"/>
      <c r="H9" s="3239"/>
      <c r="I9" s="3239"/>
    </row>
    <row r="10" spans="1:9" ht="15.75">
      <c r="A10" s="3240" t="str">
        <f>结果表!A124</f>
        <v/>
      </c>
      <c r="B10" s="3240"/>
      <c r="C10" s="3240"/>
      <c r="D10" s="3240" t="str">
        <f>结果表!D124</f>
        <v>——</v>
      </c>
      <c r="E10" s="3240"/>
      <c r="F10" s="3240"/>
      <c r="G10" s="3240"/>
      <c r="H10" s="3240"/>
      <c r="I10" s="3240"/>
    </row>
    <row r="11" spans="1:9" ht="15">
      <c r="A11" s="3238" t="s">
        <v>112</v>
      </c>
      <c r="B11" s="3238"/>
      <c r="C11" s="3238"/>
      <c r="D11" s="3239" t="e">
        <f>结果表!D125</f>
        <v>#VALUE!</v>
      </c>
      <c r="E11" s="3239"/>
      <c r="F11" s="3239"/>
      <c r="G11" s="3239"/>
      <c r="H11" s="3239"/>
      <c r="I11" s="3239"/>
    </row>
    <row r="12" spans="1:9" ht="15.75">
      <c r="A12" s="3240" t="str">
        <f>结果表!A126</f>
        <v/>
      </c>
      <c r="B12" s="3240"/>
      <c r="C12" s="3240"/>
      <c r="D12" s="3240" t="str">
        <f>结果表!D126</f>
        <v>——</v>
      </c>
      <c r="E12" s="3240"/>
      <c r="F12" s="3240"/>
      <c r="G12" s="3240"/>
      <c r="H12" s="3240"/>
      <c r="I12" s="3240"/>
    </row>
    <row r="13" spans="1:9" ht="15">
      <c r="A13" s="3244" t="s">
        <v>112</v>
      </c>
      <c r="B13" s="3244"/>
      <c r="C13" s="3244"/>
      <c r="D13" s="3245" t="e">
        <f>结果表!D127</f>
        <v>#VALUE!</v>
      </c>
      <c r="E13" s="3245"/>
      <c r="F13" s="3245"/>
      <c r="G13" s="3245"/>
      <c r="H13" s="3245"/>
      <c r="I13" s="3245"/>
    </row>
    <row r="14" spans="1:9">
      <c r="A14" s="3246" t="s">
        <v>113</v>
      </c>
      <c r="B14" s="3246"/>
      <c r="C14" s="3246"/>
      <c r="D14" s="3246"/>
      <c r="E14" s="3246"/>
      <c r="F14" s="3246"/>
      <c r="G14" s="3246"/>
      <c r="H14" s="3246"/>
      <c r="I14" s="3246"/>
    </row>
    <row r="16" spans="1:9" ht="18.75">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7" t="s">
        <v>114</v>
      </c>
      <c r="B1" s="3247"/>
      <c r="C1" s="3247"/>
      <c r="D1" s="3247"/>
    </row>
    <row r="2" spans="1:4" ht="18">
      <c r="A2" s="3248" t="s">
        <v>115</v>
      </c>
      <c r="B2" s="3248"/>
      <c r="C2" s="3248"/>
      <c r="D2" s="3248"/>
    </row>
    <row r="3" spans="1:4" ht="18.75">
      <c r="A3" s="3157" t="s">
        <v>116</v>
      </c>
      <c r="B3" s="3157" t="s">
        <v>117</v>
      </c>
      <c r="C3" s="3157" t="s">
        <v>118</v>
      </c>
      <c r="D3" s="3157" t="s">
        <v>119</v>
      </c>
    </row>
    <row r="4" spans="1:4" ht="56.25" customHeight="1">
      <c r="A4" s="3158" t="str">
        <f>项目基本情况!B4</f>
        <v>吴薇</v>
      </c>
      <c r="B4" s="3159">
        <f ca="1">项目基本情况!C4</f>
        <v>1419970001</v>
      </c>
      <c r="C4" s="3160"/>
      <c r="D4" s="3161" t="s">
        <v>120</v>
      </c>
    </row>
    <row r="5" spans="1:4" ht="56.25" customHeight="1">
      <c r="A5" s="3158">
        <f>项目基本情况!D4</f>
        <v>0</v>
      </c>
      <c r="B5" s="3159">
        <f>项目基本情况!E4</f>
        <v>0</v>
      </c>
      <c r="C5" s="3162"/>
      <c r="D5" s="3161" t="s">
        <v>120</v>
      </c>
    </row>
    <row r="6" spans="1:4" ht="18">
      <c r="A6" s="3248" t="s">
        <v>121</v>
      </c>
      <c r="B6" s="3248"/>
      <c r="C6" s="3248"/>
      <c r="D6" s="3248"/>
    </row>
    <row r="7" spans="1:4" ht="18.75">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8.75">
      <c r="A10" s="3156" t="s">
        <v>125</v>
      </c>
      <c r="B10" s="3164"/>
      <c r="C10" s="3164"/>
      <c r="D10" s="3164"/>
    </row>
    <row r="11" spans="1:4" ht="30" customHeight="1">
      <c r="A11" s="3249" t="s">
        <v>126</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50" t="str">
        <f>IF(项目基本情况!B8="抵押","4.本次评估估价师所知悉的法定优先受偿款情况说明如下：","——")</f>
        <v>4.本次评估估价师所知悉的法定优先受偿款情况说明如下：</v>
      </c>
      <c r="B14" s="3251"/>
      <c r="C14" s="3251"/>
      <c r="D14" s="3251"/>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127</v>
      </c>
      <c r="B16" s="3252"/>
      <c r="C16" s="3252"/>
      <c r="D16" s="3252"/>
    </row>
    <row r="17" spans="1:4" ht="144" customHeight="1">
      <c r="A17" s="3252" t="s">
        <v>128</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129</v>
      </c>
      <c r="B22" s="3254"/>
      <c r="C22" s="3254"/>
      <c r="D22" s="3254"/>
    </row>
    <row r="23" spans="1:4">
      <c r="A23" s="3165"/>
      <c r="B23" s="1589"/>
      <c r="C23" s="1589"/>
      <c r="D23" s="1589"/>
    </row>
    <row r="24" spans="1:4">
      <c r="A24" s="3165"/>
      <c r="B24" s="1589"/>
      <c r="C24" s="1589"/>
      <c r="D24" s="1589"/>
    </row>
    <row r="25" spans="1:4" ht="18.75">
      <c r="A25" s="3166" t="s">
        <v>130</v>
      </c>
    </row>
    <row r="26" spans="1:4" ht="18">
      <c r="A26" s="3167"/>
    </row>
    <row r="27" spans="1:4" ht="18.75">
      <c r="A27" s="3167" t="s">
        <v>131</v>
      </c>
    </row>
    <row r="30" spans="1:4" ht="18.75">
      <c r="D30" s="3166" t="s">
        <v>132</v>
      </c>
    </row>
    <row r="31" spans="1:4" ht="13.5" customHeight="1">
      <c r="C31" s="3255">
        <v>42551</v>
      </c>
      <c r="D31" s="32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0" ht="18.75">
      <c r="A1" s="3153" t="s">
        <v>133</v>
      </c>
      <c r="B1" s="3154"/>
      <c r="C1" s="3154"/>
      <c r="D1" s="3154"/>
      <c r="E1" s="3154"/>
      <c r="F1" s="3154"/>
      <c r="G1" s="3154"/>
      <c r="H1" s="3154"/>
      <c r="I1" s="3154"/>
      <c r="J1" s="3154"/>
    </row>
    <row r="2" spans="1:10" ht="18.75">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3086"/>
  </cols>
  <sheetData>
    <row r="1" spans="1:7" s="3134" customFormat="1" ht="18.75">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3.5">
      <c r="A15" s="3259" t="s">
        <v>146</v>
      </c>
      <c r="B15" s="3256" t="s">
        <v>147</v>
      </c>
      <c r="C15" s="3257"/>
    </row>
    <row r="16" spans="1:7" ht="13.5">
      <c r="A16" s="3260"/>
      <c r="B16" s="3256" t="s">
        <v>148</v>
      </c>
      <c r="C16" s="3257"/>
    </row>
    <row r="17" spans="1:3" ht="13.5">
      <c r="A17" s="3260"/>
      <c r="B17" s="3263" t="s">
        <v>149</v>
      </c>
      <c r="C17" s="3145" t="s">
        <v>146</v>
      </c>
    </row>
    <row r="18" spans="1:3" ht="13.5">
      <c r="A18" s="3260"/>
      <c r="B18" s="3263"/>
      <c r="C18" s="3145" t="s">
        <v>150</v>
      </c>
    </row>
    <row r="19" spans="1:3" ht="13.5">
      <c r="A19" s="3260"/>
      <c r="B19" s="3263"/>
      <c r="C19" s="3145" t="s">
        <v>151</v>
      </c>
    </row>
    <row r="20" spans="1:3" ht="13.5">
      <c r="A20" s="3261"/>
      <c r="B20" s="3258" t="s">
        <v>152</v>
      </c>
      <c r="C20" s="3257"/>
    </row>
    <row r="21" spans="1:3" ht="13.5">
      <c r="A21" s="3146" t="s">
        <v>153</v>
      </c>
      <c r="B21" s="3147"/>
      <c r="C21" s="3148"/>
    </row>
    <row r="22" spans="1:3" ht="13.5">
      <c r="A22" s="3262" t="s">
        <v>154</v>
      </c>
      <c r="B22" s="3258" t="s">
        <v>155</v>
      </c>
      <c r="C22" s="3257"/>
    </row>
    <row r="23" spans="1:3" ht="13.5">
      <c r="A23" s="3262"/>
      <c r="B23" s="3258" t="s">
        <v>156</v>
      </c>
      <c r="C23" s="3257"/>
    </row>
    <row r="24" spans="1:3" ht="13.5">
      <c r="A24" s="3262"/>
      <c r="B24" s="3258" t="s">
        <v>157</v>
      </c>
      <c r="C24" s="3257"/>
    </row>
    <row r="25" spans="1:3" ht="13.5">
      <c r="A25" s="3262"/>
      <c r="B25" s="3263" t="s">
        <v>158</v>
      </c>
      <c r="C25" s="3145" t="s">
        <v>159</v>
      </c>
    </row>
    <row r="26" spans="1:3" ht="13.5">
      <c r="A26" s="3262"/>
      <c r="B26" s="3263"/>
      <c r="C26" s="3145" t="s">
        <v>160</v>
      </c>
    </row>
    <row r="27" spans="1:3" ht="13.5">
      <c r="A27" s="3262"/>
      <c r="B27" s="3263"/>
      <c r="C27" s="3145" t="s">
        <v>161</v>
      </c>
    </row>
    <row r="28" spans="1:3" ht="13.5">
      <c r="A28" s="3262"/>
      <c r="B28" s="3263"/>
      <c r="C28" s="3145" t="s">
        <v>162</v>
      </c>
    </row>
    <row r="29" spans="1:3" ht="13.5">
      <c r="A29" s="3262"/>
      <c r="B29" s="3263"/>
      <c r="C29" s="3145" t="s">
        <v>163</v>
      </c>
    </row>
    <row r="30" spans="1:3" ht="13.5">
      <c r="A30" s="3262"/>
      <c r="B30" s="3263"/>
      <c r="C30" s="3145" t="s">
        <v>164</v>
      </c>
    </row>
    <row r="31" spans="1:3" ht="13.5">
      <c r="A31" s="3262"/>
      <c r="B31" s="3263"/>
      <c r="C31" s="3145" t="s">
        <v>165</v>
      </c>
    </row>
    <row r="32" spans="1:3" ht="13.5">
      <c r="A32" s="3262"/>
      <c r="B32" s="3263"/>
      <c r="C32" s="3145" t="s">
        <v>166</v>
      </c>
    </row>
    <row r="33" spans="1:3" ht="13.5">
      <c r="A33" s="3262"/>
      <c r="B33" s="3263"/>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44889</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t="str">
        <f ca="1">IF(C4&lt;B2,"已过期",1119970066)</f>
        <v>已过期</v>
      </c>
      <c r="C4" s="3115">
        <v>44876</v>
      </c>
      <c r="D4" s="3116" t="str">
        <f ca="1">A4&amp;"（注册号："&amp;B4&amp;"）"</f>
        <v>梁津（注册号：已过期）</v>
      </c>
      <c r="E4" s="3117" t="s">
        <v>184</v>
      </c>
      <c r="F4" s="3114">
        <f ca="1">IF(G4&lt;B2,"已过期",96010014)</f>
        <v>96010014</v>
      </c>
      <c r="G4" s="3118">
        <v>47118</v>
      </c>
      <c r="H4" s="3119" t="str">
        <f ca="1">E4&amp;"（注册号："&amp;F4&amp;"）"</f>
        <v>梁津（注册号：96010014）</v>
      </c>
    </row>
    <row r="5" spans="1:8" ht="24" customHeight="1">
      <c r="A5" s="3114" t="s">
        <v>185</v>
      </c>
      <c r="B5" s="3114" t="str">
        <f ca="1">IF(C5&lt;B2,"已过期",1119970111)</f>
        <v>已过期</v>
      </c>
      <c r="C5" s="3115">
        <v>44876</v>
      </c>
      <c r="D5" s="3116" t="str">
        <f t="shared" ref="D5:D16" ca="1" si="0">A5&amp;"（注册号："&amp;B5&amp;"）"</f>
        <v>叶凌（注册号：已过期）</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t="str">
        <f ca="1">IF(C7&lt;B2,"已过期",1120000080)</f>
        <v>已过期</v>
      </c>
      <c r="C7" s="3115">
        <v>44876</v>
      </c>
      <c r="D7" s="3116" t="str">
        <f t="shared" ca="1" si="0"/>
        <v>欧红伟（注册号：已过期）</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t="str">
        <f ca="1">IF(C11&lt;B2,"已过期",1120070131)</f>
        <v>已过期</v>
      </c>
      <c r="C11" s="3115">
        <v>44849</v>
      </c>
      <c r="D11" s="3116" t="str">
        <f t="shared" ca="1" si="0"/>
        <v>郑燚（注册号：已过期）</v>
      </c>
      <c r="E11" s="3117" t="s">
        <v>191</v>
      </c>
      <c r="F11" s="3114">
        <f ca="1">IF(G11&lt;B2,"已过期",2014110011)</f>
        <v>2014110011</v>
      </c>
      <c r="G11" s="3118">
        <v>49302</v>
      </c>
      <c r="H11" s="3119" t="str">
        <f t="shared" ca="1" si="1"/>
        <v>郑燚（注册号：2014110011）</v>
      </c>
    </row>
    <row r="12" spans="1:8" ht="24" customHeight="1">
      <c r="A12" s="3114" t="s">
        <v>192</v>
      </c>
      <c r="B12" s="3114" t="str">
        <f ca="1">IF(C12&lt;B2,"已过期",1120040230)</f>
        <v>已过期</v>
      </c>
      <c r="C12" s="3120">
        <v>44864</v>
      </c>
      <c r="D12" s="3116" t="str">
        <f t="shared" ca="1" si="0"/>
        <v>苏海（注册号：已过期）</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6"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2017-03-01T09:15:00Z</cp:lastPrinted>
  <dcterms:created xsi:type="dcterms:W3CDTF">2015-07-13T07:17:00Z</dcterms:created>
  <dcterms:modified xsi:type="dcterms:W3CDTF">2022-11-24T13:37:18Z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BC3EC02FAC874EBF9CC533390412F4B5</vt:lpwstr>
  </property>
  <property fmtid="{D5CDD505-2E9C-101B-9397-08002B2CF9AE}" pid="3" name="KSOProductBuildVer">
    <vt:lpwstr>2052-11.1.0.13607</vt:lpwstr>
  </property>
  <property fmtid="{D5CDD505-2E9C-101B-9397-08002B2CF9AE}" pid="4" name="KSOReadingLayout">
    <vt:bool>true</vt:bool>
  </property>
</Properties>
</file>